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0" xWindow="-120" yWindow="-120" windowWidth="29040" windowHeight="15840" tabRatio="0" firstSheet="0" activeTab="0" autoFilterDateGrouping="1"/>
  </bookViews>
  <sheets>
    <sheet name="Sheet1" sheetId="1" state="visible" r:id="rId1"/>
  </sheets>
  <definedNames/>
  <calcPr calcId="191029" fullCalcOnLoad="1" refMode="R1C1"/>
</workbook>
</file>

<file path=xl/styles.xml><?xml version="1.0" encoding="utf-8"?>
<styleSheet xmlns="http://schemas.openxmlformats.org/spreadsheetml/2006/main">
  <numFmts count="0"/>
  <fonts count="12">
    <font>
      <name val="Arial"/>
      <charset val="204"/>
      <family val="2"/>
      <sz val="8"/>
    </font>
    <font>
      <name val="Arial"/>
      <charset val="1"/>
      <sz val="6"/>
    </font>
    <font>
      <name val="Arial"/>
      <charset val="204"/>
      <family val="2"/>
      <b val="1"/>
      <i val="1"/>
      <sz val="14"/>
    </font>
    <font>
      <name val="Arial"/>
      <charset val="204"/>
      <family val="2"/>
      <sz val="6"/>
    </font>
    <font>
      <name val="Arial"/>
      <charset val="204"/>
      <family val="2"/>
      <b val="1"/>
      <sz val="8"/>
    </font>
    <font>
      <name val="Arial"/>
      <charset val="1"/>
      <b val="1"/>
      <sz val="8"/>
    </font>
    <font>
      <name val="Microsoft Sans Serif"/>
      <charset val="204"/>
      <family val="2"/>
      <i val="1"/>
      <sz val="8"/>
    </font>
    <font>
      <name val="Microsoft Sans Serif"/>
      <charset val="204"/>
      <family val="2"/>
      <b val="1"/>
      <sz val="8"/>
      <u val="single"/>
    </font>
    <font>
      <name val="Microsoft Sans Serif"/>
      <charset val="204"/>
      <family val="2"/>
      <i val="1"/>
      <sz val="6"/>
    </font>
    <font>
      <name val="Times New Roman"/>
      <charset val="204"/>
      <family val="1"/>
      <b val="1"/>
      <i val="1"/>
      <sz val="10"/>
      <u val="single"/>
    </font>
    <font>
      <name val="Arial"/>
      <charset val="204"/>
      <family val="2"/>
      <color theme="10"/>
      <sz val="8"/>
      <u val="single"/>
    </font>
    <font>
      <name val="Arial"/>
      <charset val="204"/>
      <family val="2"/>
      <b val="1"/>
      <color theme="10"/>
      <sz val="8"/>
      <u val="single"/>
    </font>
  </fonts>
  <fills count="2">
    <fill>
      <patternFill/>
    </fill>
    <fill>
      <patternFill patternType="gray125"/>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applyAlignment="1">
      <alignment horizontal="left"/>
    </xf>
    <xf numFmtId="0" fontId="10" fillId="0" borderId="0" applyAlignment="1" applyProtection="1">
      <alignment vertical="top"/>
      <protection locked="0" hidden="0"/>
    </xf>
  </cellStyleXfs>
  <cellXfs count="39">
    <xf numFmtId="0" fontId="0" fillId="0" borderId="0" pivotButton="0" quotePrefix="0" xfId="0"/>
    <xf numFmtId="0" fontId="1" fillId="0" borderId="0" pivotButton="0" quotePrefix="0" xfId="0"/>
    <xf numFmtId="0" fontId="0" fillId="0" borderId="0" applyAlignment="1" pivotButton="0" quotePrefix="0" xfId="0">
      <alignment horizontal="left" wrapText="1"/>
    </xf>
    <xf numFmtId="0" fontId="0" fillId="0" borderId="0" pivotButton="0" quotePrefix="0" xfId="0"/>
    <xf numFmtId="0" fontId="3" fillId="0" borderId="0" applyAlignment="1" pivotButton="0" quotePrefix="0" xfId="0">
      <alignment horizontal="left"/>
    </xf>
    <xf numFmtId="0" fontId="0" fillId="0" borderId="0" applyAlignment="1" pivotButton="0" quotePrefix="0" xfId="0">
      <alignment horizontal="left"/>
    </xf>
    <xf numFmtId="0" fontId="0" fillId="0" borderId="0" applyAlignment="1" pivotButton="0" quotePrefix="0" xfId="0">
      <alignment horizontal="left" wrapText="1"/>
    </xf>
    <xf numFmtId="0" fontId="4" fillId="0" borderId="0" pivotButton="0" quotePrefix="0" xfId="0"/>
    <xf numFmtId="0" fontId="4" fillId="0" borderId="0" applyAlignment="1" pivotButton="0" quotePrefix="0" xfId="0">
      <alignment horizontal="left"/>
    </xf>
    <xf numFmtId="0" fontId="5" fillId="0" borderId="0" applyAlignment="1" pivotButton="0" quotePrefix="0" xfId="0">
      <alignment horizontal="left"/>
    </xf>
    <xf numFmtId="0" fontId="4" fillId="0" borderId="0" applyAlignment="1" pivotButton="0" quotePrefix="0" xfId="0">
      <alignment horizontal="left" wrapText="1"/>
    </xf>
    <xf numFmtId="0" fontId="4" fillId="0" borderId="0" applyAlignment="1" pivotButton="0" quotePrefix="0" xfId="0">
      <alignment horizontal="centerContinuous"/>
    </xf>
    <xf numFmtId="0" fontId="4" fillId="0" borderId="0" applyAlignment="1" pivotButton="0" quotePrefix="0" xfId="0">
      <alignment horizontal="centerContinuous" wrapText="1"/>
    </xf>
    <xf numFmtId="0" fontId="3" fillId="0" borderId="0" applyAlignment="1" pivotButton="0" quotePrefix="0" xfId="0">
      <alignment horizontal="right"/>
    </xf>
    <xf numFmtId="0" fontId="0" fillId="0" borderId="0" applyAlignment="1" pivotButton="0" quotePrefix="0" xfId="0">
      <alignment horizontal="right"/>
    </xf>
    <xf numFmtId="0" fontId="8" fillId="0" borderId="0" applyAlignment="1" pivotButton="0" quotePrefix="0" xfId="0">
      <alignment horizontal="right" vertical="top"/>
    </xf>
    <xf numFmtId="0" fontId="9" fillId="0" borderId="0" applyAlignment="1" pivotButton="0" quotePrefix="0" xfId="0">
      <alignment horizontal="left" vertical="center"/>
    </xf>
    <xf numFmtId="0" fontId="0" fillId="0" borderId="1" applyAlignment="1" pivotButton="0" quotePrefix="0" xfId="0">
      <alignment vertical="center"/>
    </xf>
    <xf numFmtId="0" fontId="4" fillId="0" borderId="1" applyAlignment="1" pivotButton="0" quotePrefix="0" xfId="0">
      <alignment horizontal="center" vertical="center"/>
    </xf>
    <xf numFmtId="0" fontId="4" fillId="0" borderId="1" applyAlignment="1" pivotButton="0" quotePrefix="0" xfId="0">
      <alignment horizontal="center" vertical="center" wrapText="1"/>
    </xf>
    <xf numFmtId="0" fontId="4" fillId="0" borderId="2" applyAlignment="1" pivotButton="0" quotePrefix="0" xfId="0">
      <alignment horizontal="center" vertical="center"/>
    </xf>
    <xf numFmtId="0" fontId="4" fillId="0" borderId="2" applyAlignment="1" pivotButton="0" quotePrefix="0" xfId="0">
      <alignment horizontal="center" vertical="center" wrapText="1"/>
    </xf>
    <xf numFmtId="0" fontId="0" fillId="0" borderId="0" applyAlignment="1" pivotButton="0" quotePrefix="0" xfId="0">
      <alignment vertical="center"/>
    </xf>
    <xf numFmtId="0" fontId="0" fillId="0" borderId="2" pivotButton="0" quotePrefix="0" xfId="0"/>
    <xf numFmtId="49" fontId="0" fillId="0" borderId="2" pivotButton="0" quotePrefix="0" xfId="0"/>
    <xf numFmtId="0" fontId="0" fillId="0" borderId="2" applyAlignment="1" pivotButton="0" quotePrefix="0" xfId="0">
      <alignment horizontal="left" vertical="top" wrapText="1"/>
    </xf>
    <xf numFmtId="0" fontId="11" fillId="0" borderId="2" applyAlignment="1" pivotButton="0" quotePrefix="0" xfId="1">
      <alignment horizontal="left" vertical="center"/>
    </xf>
    <xf numFmtId="4" fontId="0" fillId="0" borderId="2" pivotButton="0" quotePrefix="0" xfId="0"/>
    <xf numFmtId="0" fontId="0" fillId="0" borderId="2" applyAlignment="1" pivotButton="0" quotePrefix="0" xfId="0">
      <alignment wrapText="1"/>
    </xf>
    <xf numFmtId="0" fontId="0" fillId="0" borderId="3" pivotButton="0" quotePrefix="0" xfId="0"/>
    <xf numFmtId="0" fontId="1" fillId="0" borderId="3" pivotButton="0" quotePrefix="0" xfId="0"/>
    <xf numFmtId="0" fontId="4" fillId="0" borderId="0" applyAlignment="1" pivotButton="0" quotePrefix="0" xfId="0">
      <alignment horizontal="left"/>
    </xf>
    <xf numFmtId="0" fontId="0" fillId="0" borderId="0" applyAlignment="1" pivotButton="0" quotePrefix="0" xfId="0">
      <alignment horizontal="left"/>
    </xf>
    <xf numFmtId="0" fontId="0" fillId="0" borderId="0" applyAlignment="1" pivotButton="0" quotePrefix="0" xfId="0">
      <alignment horizontal="right"/>
    </xf>
    <xf numFmtId="0" fontId="2" fillId="0" borderId="0" applyAlignment="1" pivotButton="0" quotePrefix="0" xfId="0">
      <alignment horizontal="left"/>
    </xf>
    <xf numFmtId="0" fontId="6" fillId="0" borderId="0" applyAlignment="1" pivotButton="0" quotePrefix="0" xfId="0">
      <alignment horizontal="right"/>
    </xf>
    <xf numFmtId="0" fontId="7" fillId="0" borderId="0" applyAlignment="1" pivotButton="0" quotePrefix="0" xfId="0">
      <alignment horizontal="left"/>
    </xf>
    <xf numFmtId="0" fontId="4" fillId="0" borderId="0" applyAlignment="1" pivotButton="0" quotePrefix="0" xfId="0">
      <alignment horizontal="right"/>
    </xf>
    <xf numFmtId="0" fontId="3" fillId="0" borderId="0" applyAlignment="1" pivotButton="0" quotePrefix="0" xfId="0">
      <alignment horizontal="left"/>
    </xf>
  </cellXfs>
  <cellStyles count="2">
    <cellStyle name="Обычный" xfId="0" builtinId="0"/>
    <cellStyle name="Гиперссылка" xfId="1"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049"/>
  <sheetViews>
    <sheetView tabSelected="1" workbookViewId="0">
      <selection activeCell="A8" sqref="A8:IV8"/>
    </sheetView>
  </sheetViews>
  <sheetFormatPr baseColWidth="8" defaultColWidth="10.33203125" defaultRowHeight="11.25"/>
  <cols>
    <col width="3" customWidth="1" style="3" min="1" max="1"/>
    <col width="10.33203125" customWidth="1" style="3" min="2" max="2"/>
    <col width="13.83203125" customWidth="1" style="1" min="3" max="4"/>
    <col width="21.5" customWidth="1" style="3" min="5" max="5"/>
    <col width="4.33203125" customWidth="1" style="3" min="6" max="6"/>
    <col width="8" customWidth="1" style="3" min="7" max="7"/>
    <col width="4.6640625" customWidth="1" style="3" min="8" max="9"/>
    <col width="17.33203125" customWidth="1" style="3" min="10" max="10"/>
    <col width="12.6640625" customWidth="1" style="3" min="11" max="11"/>
    <col width="10.33203125" customWidth="1" style="3" min="12" max="12"/>
    <col width="7" customWidth="1" style="3" min="13" max="16"/>
    <col width="7" customWidth="1" style="1" min="17" max="17"/>
    <col width="100.83203125" customWidth="1" style="6" min="18" max="18"/>
    <col width="15.83203125" customWidth="1" style="3" min="19" max="19"/>
  </cols>
  <sheetData>
    <row r="1" ht="18.75" customHeight="1" s="3">
      <c r="B1" s="34" t="inlineStr">
        <is>
          <t>ЦЕНТРПОЛИГРАФ</t>
        </is>
      </c>
      <c r="Q1" s="38" t="n"/>
      <c r="R1" s="6" t="n"/>
    </row>
    <row r="2" customFormat="1" s="7">
      <c r="B2" s="31" t="inlineStr">
        <is>
          <t>111024, Москва, 1-ая ул. Энтузиастов, 15</t>
        </is>
      </c>
      <c r="Q2" s="9" t="n"/>
      <c r="R2" s="10" t="n"/>
    </row>
    <row r="3" customFormat="1" s="7">
      <c r="B3" s="31" t="inlineStr">
        <is>
          <t>тел. (495) 781-45-46,673-50-61,673-48-91,673-21-48, факс (495) 673-41-55</t>
        </is>
      </c>
      <c r="C3" s="11" t="n"/>
      <c r="D3" s="11" t="n"/>
      <c r="E3" s="12" t="n"/>
      <c r="F3" s="11" t="n"/>
      <c r="G3" s="11" t="n"/>
      <c r="H3" s="11" t="n"/>
      <c r="I3" s="11" t="n"/>
      <c r="J3" s="35" t="inlineStr">
        <is>
          <t>дата прайс-листа:</t>
        </is>
      </c>
      <c r="L3" s="36" t="inlineStr">
        <is>
          <t>29 Сентября 2026 г.</t>
        </is>
      </c>
      <c r="P3" s="37" t="n"/>
      <c r="R3" s="10" t="n"/>
    </row>
    <row r="4" s="3">
      <c r="B4" s="31" t="inlineStr">
        <is>
          <t>E-mail: cnpol@cnpol.ru</t>
        </is>
      </c>
      <c r="C4" s="13" t="n"/>
      <c r="D4" s="38" t="n"/>
      <c r="N4" s="33" t="n"/>
      <c r="Q4" s="15" t="n"/>
      <c r="R4" s="6" t="n"/>
    </row>
    <row r="5" s="3">
      <c r="B5" s="31" t="inlineStr">
        <is>
          <t>www.centrpoligraf.ru</t>
        </is>
      </c>
      <c r="Q5" s="32" t="n"/>
      <c r="R5" s="6" t="n"/>
    </row>
    <row r="6" ht="13.5" customHeight="1" s="3">
      <c r="B6" s="31" t="inlineStr">
        <is>
          <t>www.cnpol.ru</t>
        </is>
      </c>
      <c r="C6" s="33" t="n"/>
      <c r="D6" s="32" t="n"/>
      <c r="J6" s="16" t="inlineStr">
        <is>
          <t>цены в прайс-листе приведены с учетом НДС</t>
        </is>
      </c>
      <c r="L6" s="33" t="n"/>
      <c r="Q6" s="33" t="n"/>
      <c r="R6" s="6" t="n"/>
    </row>
    <row r="7" s="3">
      <c r="B7" s="32" t="n"/>
      <c r="Q7" s="32" t="n"/>
      <c r="R7" s="6" t="n"/>
    </row>
    <row r="8" customFormat="1" s="22">
      <c r="A8" s="17" t="n"/>
      <c r="B8" s="18" t="inlineStr">
        <is>
          <t>Код</t>
        </is>
      </c>
      <c r="C8" s="19" t="inlineStr">
        <is>
          <t>Серия</t>
        </is>
      </c>
      <c r="D8" s="18" t="inlineStr">
        <is>
          <t>Автор</t>
        </is>
      </c>
      <c r="E8" s="18" t="inlineStr">
        <is>
          <t>Название</t>
        </is>
      </c>
      <c r="F8" s="18" t="inlineStr">
        <is>
          <t>Том</t>
        </is>
      </c>
      <c r="G8" s="19" t="inlineStr">
        <is>
          <t>Цена</t>
        </is>
      </c>
      <c r="H8" s="18" t="inlineStr">
        <is>
          <t>НДС</t>
        </is>
      </c>
      <c r="I8" s="18" t="inlineStr">
        <is>
          <t>Стд</t>
        </is>
      </c>
      <c r="J8" s="18" t="inlineStr">
        <is>
          <t>ISBN</t>
        </is>
      </c>
      <c r="K8" s="18" t="inlineStr">
        <is>
          <t>Формат</t>
        </is>
      </c>
      <c r="L8" s="18" t="inlineStr">
        <is>
          <t>Перепл.</t>
        </is>
      </c>
      <c r="M8" s="18" t="inlineStr">
        <is>
          <t>Стр.</t>
        </is>
      </c>
      <c r="N8" s="18" t="inlineStr">
        <is>
          <t>Год</t>
        </is>
      </c>
      <c r="O8" s="20" t="inlineStr">
        <is>
          <t>Вес</t>
        </is>
      </c>
      <c r="P8" s="20" t="inlineStr">
        <is>
          <t>экз.</t>
        </is>
      </c>
      <c r="Q8" s="20" t="inlineStr">
        <is>
          <t>пач.</t>
        </is>
      </c>
      <c r="R8" s="21" t="inlineStr">
        <is>
          <t>Аннотация</t>
        </is>
      </c>
      <c r="S8" s="21" t="inlineStr">
        <is>
          <t>Фото на сайте</t>
        </is>
      </c>
    </row>
    <row r="9" ht="50.1" customHeight="1" s="3">
      <c r="A9" s="23" t="n"/>
      <c r="B9" s="24" t="inlineStr">
        <is>
          <t>12803</t>
        </is>
      </c>
      <c r="C9" s="23" t="n">
        <v>365</v>
      </c>
      <c r="D9" s="23" t="inlineStr">
        <is>
          <t>Михайлова Л.</t>
        </is>
      </c>
      <c r="E9" s="23" t="inlineStr">
        <is>
          <t>365 рецептов здоровья от лучших целителей</t>
        </is>
      </c>
      <c r="F9" s="23" t="inlineStr">
        <is>
          <t>        </t>
        </is>
      </c>
      <c r="G9" s="23" t="n">
        <v>358</v>
      </c>
      <c r="H9" s="23" t="n">
        <v>10</v>
      </c>
      <c r="I9" s="23" t="n">
        <v>28</v>
      </c>
      <c r="J9" s="23" t="inlineStr">
        <is>
          <t>978-5-227-02859-4</t>
        </is>
      </c>
      <c r="K9" s="23" t="inlineStr">
        <is>
          <t>60x84 1/32</t>
        </is>
      </c>
      <c r="L9" s="23" t="inlineStr">
        <is>
          <t>тв</t>
        </is>
      </c>
      <c r="M9" s="23" t="n">
        <v>381</v>
      </c>
      <c r="N9" s="23" t="n">
        <v>2011</v>
      </c>
      <c r="O9" s="23" t="n">
        <v>177</v>
      </c>
      <c r="P9" s="23" t="n"/>
      <c r="Q9" s="23" t="n"/>
      <c r="R9" s="25" t="inlineStr">
        <is>
          <t>"Природные лекарства: целебные растения, продукты пчеловодства, мумие, глина, — если правильно и своевременно их использовать, помогают справиться со многими заболе¬ваниями.
В нашей книге собраны самые действенные рецепты от лучших российских целителей с Алтая, Урала, из Сибири, ¬Нечерноземья. Лечитесь смело, ведь уникальность при¬родных лекарств заключается в том, что, в отличие от ме¬дицинских препаратов, они не только эффективны и дешевы, но и безопасны для нашего организма. Будьте здоровы 365 дней в году!
"</t>
        </is>
      </c>
      <c r="S9" s="26">
        <f>HYPERLINK("http://www.cnpol.ru/covers/12803.jpg","фото на сайте")</f>
        <v/>
      </c>
    </row>
    <row r="10" ht="50.1" customHeight="1" s="3">
      <c r="A10" s="23" t="inlineStr">
        <is>
          <t>Д</t>
        </is>
      </c>
      <c r="B10" s="24" t="inlineStr">
        <is>
          <t>21840</t>
        </is>
      </c>
      <c r="C10" s="23" t="inlineStr">
        <is>
          <t>400 РОМАНОВЫ</t>
        </is>
      </c>
      <c r="D10" s="23" t="inlineStr">
        <is>
          <t>Зимин И.В.</t>
        </is>
      </c>
      <c r="E10" s="23" t="inlineStr">
        <is>
          <t>Александровский дворец в Царском Селе. Люди и стены. 1796—1917. Повседневная жизнь Российского императорского двора</t>
        </is>
      </c>
      <c r="F10" s="23" t="inlineStr">
        <is>
          <t>        </t>
        </is>
      </c>
      <c r="G10" s="27" t="n">
        <v>1795</v>
      </c>
      <c r="H10" s="23" t="n">
        <v>10</v>
      </c>
      <c r="I10" s="23" t="n">
        <v>4</v>
      </c>
      <c r="J10" s="23" t="inlineStr">
        <is>
          <t>978-5-227-11166-1</t>
        </is>
      </c>
      <c r="K10" s="23" t="inlineStr">
        <is>
          <t>60x90 1/16</t>
        </is>
      </c>
      <c r="L10" s="23" t="inlineStr">
        <is>
          <t>тв</t>
        </is>
      </c>
      <c r="M10" s="23" t="n">
        <v>640</v>
      </c>
      <c r="N10" s="23" t="n">
        <v>2025</v>
      </c>
      <c r="O10" s="23" t="n">
        <v>732</v>
      </c>
      <c r="P10" s="23" t="n"/>
      <c r="Q10" s="23" t="n"/>
      <c r="R10" s="25" t="inlineStr">
        <is>
          <t>В окрестностях Петербурга за 200 лет его имперской истории сформировалось настоящее созвездие императорских резиденций. Одни из них, например Петергоф, несмотря на колоссальные потери военных лет, продолжают блистать всеми красками. Другие, например Ропша, практически утрачены. Третьи находятся в тени своих блестящих соседей. К последним относится Александровский дворец Царского Села. Вместе с тем Александровский дворец занимает особое место среди пригородных императорских резиденций и в первую очередь потому, что на его стены лег отсвет трагической судьбы последней императорской семьи — семьи Николая II. Именно из этого дворца семью увезли рано утром 1 августа 1917 г. в Сибирь, откуда им не суждено было вернуться… Сегодня дворец живет новой жизнью. Действует постоянная экспозиция, рассказывающая о его истории и хозяевах. Осваивается музейное пространство второго этажа и подвала, реставрируются и открываются новые парадные залы... Множество людей, не являясь профессиональными искусствоведами или историками, прекрасно знают и любят Александровский дворец. Эта книга с ее бесчисленными подробностями и деталями обращена к ним.</t>
        </is>
      </c>
      <c r="S10" s="26">
        <f>HYPERLINK("http://www.cnpol.ru/covers/21840.jpg","фото на сайте")</f>
        <v/>
      </c>
    </row>
    <row r="11" ht="50.1" customHeight="1" s="3">
      <c r="A11" s="23" t="inlineStr">
        <is>
          <t>Д</t>
        </is>
      </c>
      <c r="B11" s="24" t="inlineStr">
        <is>
          <t>21769</t>
        </is>
      </c>
      <c r="C11" s="23" t="inlineStr">
        <is>
          <t>400 РОМАНОВЫ</t>
        </is>
      </c>
      <c r="D11" s="23" t="inlineStr">
        <is>
          <t>Зимин И.В.</t>
        </is>
      </c>
      <c r="E11" s="23" t="inlineStr">
        <is>
          <t>Александровский парк Царского Села. XVIII - начало XX в. Повседневная жизнь Российского императорского двора</t>
        </is>
      </c>
      <c r="F11" s="23" t="inlineStr">
        <is>
          <t>        </t>
        </is>
      </c>
      <c r="G11" s="27" t="n">
        <v>1245</v>
      </c>
      <c r="H11" s="23" t="n">
        <v>10</v>
      </c>
      <c r="I11" s="23" t="n">
        <v>6</v>
      </c>
      <c r="J11" s="23" t="inlineStr">
        <is>
          <t>978-5-227-11142-5</t>
        </is>
      </c>
      <c r="K11" s="23" t="inlineStr">
        <is>
          <t>60x90 1/16</t>
        </is>
      </c>
      <c r="L11" s="23" t="inlineStr">
        <is>
          <t>тв</t>
        </is>
      </c>
      <c r="M11" s="23" t="n">
        <v>383</v>
      </c>
      <c r="N11" s="23" t="n">
        <v>2025</v>
      </c>
      <c r="O11" s="23" t="n">
        <v>507</v>
      </c>
      <c r="P11" s="23" t="n"/>
      <c r="Q11" s="23" t="n"/>
      <c r="R11" s="25" t="inlineStr">
        <is>
          <t>Эта книга является логическим продолжением опубликованной ранее работы И.В. Зимина «Александровский дворец в Царском Селе». Обращение к истории Александровского парка с его многочисленными сооружениями и павильонами обусловлено тем, что парк и дворец составляют единое пространство загородной императорской резиденции и изучать историю одного вне истории другого ­неправомерно. История Александровского парка имеет более глубокие корни в прошлом, нежели история Александровского дворца. Все императоры и императрицы, с начала XVIII в. жившие в Царском Селе, с любовью и усердием обустраивали свои резиденции и парки. В результате на территории Александровского парка возник причудливый сплав архитектурных фантазий и предпочтений, в которых проявился не только талант архитекторов, но и отблеск личных увлечений российских монархов…</t>
        </is>
      </c>
      <c r="S11" s="26">
        <f>HYPERLINK("http://www.cnpol.ru/covers/21769.jpg","фото на сайте")</f>
        <v/>
      </c>
    </row>
    <row r="12" ht="50.1" customHeight="1" s="3">
      <c r="A12" s="23" t="n"/>
      <c r="B12" s="24" t="inlineStr">
        <is>
          <t>16209</t>
        </is>
      </c>
      <c r="C12" s="23" t="inlineStr">
        <is>
          <t>400 РОМАНОВЫ</t>
        </is>
      </c>
      <c r="D12" s="23" t="inlineStr">
        <is>
          <t>Зимин И.В, Соколов А.Р</t>
        </is>
      </c>
      <c r="E12" s="23" t="inlineStr">
        <is>
          <t>Благотворительность семьи Романовых. XIX- начало XX в. Повседневная жизнь Российского императорского двора</t>
        </is>
      </c>
      <c r="F12" s="23" t="inlineStr">
        <is>
          <t>        </t>
        </is>
      </c>
      <c r="G12" s="27" t="n">
        <v>1225</v>
      </c>
      <c r="H12" s="23" t="n">
        <v>10</v>
      </c>
      <c r="I12" s="23" t="n">
        <v>10</v>
      </c>
      <c r="J12" s="23" t="inlineStr">
        <is>
          <t>978-5-227-06025-9</t>
        </is>
      </c>
      <c r="K12" s="23" t="inlineStr">
        <is>
          <t>84x108 1/32</t>
        </is>
      </c>
      <c r="L12" s="23" t="inlineStr">
        <is>
          <t>тв</t>
        </is>
      </c>
      <c r="M12" s="23" t="n">
        <v>604</v>
      </c>
      <c r="N12" s="23" t="n">
        <v>2015</v>
      </c>
      <c r="O12" s="23" t="n">
        <v>620</v>
      </c>
      <c r="P12" s="23" t="n"/>
      <c r="Q12" s="23" t="n"/>
      <c r="R12" s="25" t="inlineStr">
        <is>
          <t>Перед вами продолжение серии о жизни правителей России. В книге изложены результаты глубокого и всестороннего ис­следования существования и деятельности благотворительных учреждений, находившихся под покро­вительством членов Импе­раторской фамилии в период XIX — начала ХХ в. Бла­го­творительные ведомства, комитеты, общества и входив­шие в их состав попечительские учреждения осуществляли широ­кую поддержку различным категориям нуждавшихся, оказывали достаточно совершенную по тем временам социальную помощь. Рассказ об этом представляет собой не только «академиче­ский» интерес, потому что и для современной России проблема привлечения общественных сил и средств к решению социальных задач остается чрезвычайно актуальной. Многое из опыта работы ведомств и комитетов под покрови­тельством Дома Романовых может быть востребовано и в наше время.</t>
        </is>
      </c>
      <c r="S12" s="26">
        <f>HYPERLINK("http://www.cnpol.ru/covers/16209.jpg","фото на сайте")</f>
        <v/>
      </c>
    </row>
    <row r="13" ht="50.1" customHeight="1" s="3">
      <c r="A13" s="23" t="inlineStr">
        <is>
          <t>Д</t>
        </is>
      </c>
      <c r="B13" s="24" t="inlineStr">
        <is>
          <t>22153</t>
        </is>
      </c>
      <c r="C13" s="23" t="inlineStr">
        <is>
          <t>400 РОМАНОВЫ</t>
        </is>
      </c>
      <c r="D13" s="23" t="inlineStr">
        <is>
          <t>Зимин И.В.</t>
        </is>
      </c>
      <c r="E13" s="23" t="inlineStr">
        <is>
          <t>Взрослый мир императорских резиденций. Вторая четверть XIX — начало XX в. Повседневная жизнь Российс</t>
        </is>
      </c>
      <c r="F13" s="23" t="inlineStr">
        <is>
          <t>        </t>
        </is>
      </c>
      <c r="G13" s="27" t="n">
        <v>1460</v>
      </c>
      <c r="H13" s="23" t="n">
        <v>10</v>
      </c>
      <c r="I13" s="23" t="n">
        <v>10</v>
      </c>
      <c r="J13" s="23" t="inlineStr">
        <is>
          <t>978-5-227-11313-9</t>
        </is>
      </c>
      <c r="K13" s="23" t="inlineStr">
        <is>
          <t>84x108 1/32</t>
        </is>
      </c>
      <c r="L13" s="23" t="inlineStr">
        <is>
          <t>тв</t>
        </is>
      </c>
      <c r="M13" s="23" t="n">
        <v>557</v>
      </c>
      <c r="N13" s="23" t="n">
        <v>2026</v>
      </c>
      <c r="O13" s="23" t="n">
        <v>575</v>
      </c>
      <c r="P13" s="23" t="n"/>
      <c r="Q13" s="23" t="n"/>
      <c r="R13" s="25" t="inlineStr">
        <is>
          <t>Из книги вы узнаете много нового и интересного о членах императорской фамилии. Поймете, что их жизнь совсем не была бесконечной чередой праздников и торжественных церемоний. Помазанники Божии — живые люди со своими характерами, вкусами, причудами, странностями, увлечениями. Каковы они были в быту? Чем увлекались на досуге? Как ладили между собой великие князья? Об этом и о многом другом рассказано в обстоятельном исследовании доктора исторических наук, профессора Игоря Викторовича Зимина.</t>
        </is>
      </c>
      <c r="S13" s="26">
        <f>HYPERLINK("http://www.cnpol.ru/covers/22153.jpg","фото на сайте")</f>
        <v/>
      </c>
    </row>
    <row r="14" ht="50.1" customHeight="1" s="3">
      <c r="A14" s="23" t="n"/>
      <c r="B14" s="24" t="inlineStr">
        <is>
          <t>18423</t>
        </is>
      </c>
      <c r="C14" s="23" t="inlineStr">
        <is>
          <t>400 РОМАНОВЫ</t>
        </is>
      </c>
      <c r="D14" s="23" t="inlineStr">
        <is>
          <t>Зимин И.В.</t>
        </is>
      </c>
      <c r="E14" s="23" t="inlineStr">
        <is>
          <t>Врачи двора Его Императорского величества или Как лечили царскую семью</t>
        </is>
      </c>
      <c r="F14" s="23" t="inlineStr">
        <is>
          <t>        </t>
        </is>
      </c>
      <c r="G14" s="27" t="n">
        <v>1519</v>
      </c>
      <c r="H14" s="23" t="n">
        <v>10</v>
      </c>
      <c r="I14" s="23" t="n">
        <v>6</v>
      </c>
      <c r="J14" s="23" t="inlineStr">
        <is>
          <t>978-5-227-07530-7</t>
        </is>
      </c>
      <c r="K14" s="23" t="inlineStr">
        <is>
          <t>60x90 1/16</t>
        </is>
      </c>
      <c r="L14" s="23" t="inlineStr">
        <is>
          <t>тв</t>
        </is>
      </c>
      <c r="M14" s="23" t="n">
        <v>896</v>
      </c>
      <c r="N14" s="23" t="n">
        <v>2018</v>
      </c>
      <c r="O14" s="23" t="n">
        <v>906</v>
      </c>
      <c r="P14" s="23" t="n"/>
      <c r="Q14" s="23" t="n"/>
      <c r="R14" s="25" t="inlineStr">
        <is>
          <t>Доктор исторических наук, профессор Игорь Викторович Зимин представляет очередную книгу из серии «Повседневная жизнь Российского императорского двора». Стремясь к всесторонности в своем исследовании, автор пытается осмыслить не только чисто врачебные аспекты, но и связь состояния здоровья монархов с историческим процессом. В части медицины Игорь Зимин привлек в качестве экспертов ведущих специалистов, поэтому перед читателями предстанет не просто житейское описание хворей и их пользования, но и взвешенная оценка того или иного случая с точки зрения современной науки. Структура книги отличается от структуры предыдущих книг серии. Она построена в форме вопросов и ответов. Вопросы предлагали автору студенты, историки, врачи, читатели. А уж ответы Игорь Зимин постарался дать как можно более исчерпывающими, не избегая ни неудобных вопросов, ни подчас щекотливых тем. Подобных исследований в нашей исторической литературе еще не встречалось.</t>
        </is>
      </c>
      <c r="S14" s="26">
        <f>HYPERLINK("http://www.cnpol.ru/covers/18423.jpg","фото на сайте")</f>
        <v/>
      </c>
    </row>
    <row r="15" ht="50.1" customHeight="1" s="3">
      <c r="A15" s="23" t="inlineStr">
        <is>
          <t>Д</t>
        </is>
      </c>
      <c r="B15" s="24" t="inlineStr">
        <is>
          <t>21933</t>
        </is>
      </c>
      <c r="C15" s="23" t="inlineStr">
        <is>
          <t>400 РОМАНОВЫ</t>
        </is>
      </c>
      <c r="D15" s="23" t="inlineStr">
        <is>
          <t>Зимин И.В.</t>
        </is>
      </c>
      <c r="E15" s="23" t="inlineStr">
        <is>
          <t>Детский мир императорских резиденций. Быт монархов и их окружение. Повседневная жизнь Российского императорского двора</t>
        </is>
      </c>
      <c r="F15" s="23" t="inlineStr">
        <is>
          <t>        </t>
        </is>
      </c>
      <c r="G15" s="27" t="n">
        <v>1460</v>
      </c>
      <c r="H15" s="23" t="n">
        <v>10</v>
      </c>
      <c r="I15" s="23" t="n">
        <v>5</v>
      </c>
      <c r="J15" s="23" t="inlineStr">
        <is>
          <t>978-5-227-11207-1</t>
        </is>
      </c>
      <c r="K15" s="23" t="inlineStr">
        <is>
          <t>84x108 1/32</t>
        </is>
      </c>
      <c r="L15" s="23" t="inlineStr">
        <is>
          <t>тв</t>
        </is>
      </c>
      <c r="M15" s="23" t="n">
        <v>572</v>
      </c>
      <c r="N15" s="23" t="n">
        <v>2026</v>
      </c>
      <c r="O15" s="23" t="n">
        <v>600</v>
      </c>
      <c r="P15" s="23" t="n"/>
      <c r="Q15" s="23" t="n"/>
      <c r="R15" s="25" t="inlineStr">
        <is>
          <t>Книга — тематическое продолжение исследования доктора исторических наук, профессора И.В. Зимина «Повседневная жизнь императорского двора. Взрослый мир императорских резиденций». В этом издании обстоятельно рассказывается о воспитании детей в царской семье, о повседневном окружении монархов — статс-дамах, фрейлинах, камердинерах и челяди, о бытовых условиях жизни монархов. Множество малоизвестных сведений, несомненно, будут интересны любознательным читателям.</t>
        </is>
      </c>
      <c r="S15" s="26">
        <f>HYPERLINK("http://www.cnpol.ru/covers/21933.jpg","фото на сайте")</f>
        <v/>
      </c>
    </row>
    <row r="16" ht="50.1" customHeight="1" s="3">
      <c r="A16" s="23" t="inlineStr">
        <is>
          <t>Д</t>
        </is>
      </c>
      <c r="B16" s="24" t="inlineStr">
        <is>
          <t>22036</t>
        </is>
      </c>
      <c r="C16" s="23" t="inlineStr">
        <is>
          <t>400 РОМАНОВЫ</t>
        </is>
      </c>
      <c r="D16" s="23" t="inlineStr">
        <is>
          <t>Зимин И.В.</t>
        </is>
      </c>
      <c r="E16" s="23" t="inlineStr">
        <is>
          <t>Екатерина II. Как пополнялись и тратились личные средства. Кошелек императрицы. Повседневная жизнь Российского императорского двора</t>
        </is>
      </c>
      <c r="F16" s="23" t="inlineStr">
        <is>
          <t>        </t>
        </is>
      </c>
      <c r="G16" s="27" t="n">
        <v>1460</v>
      </c>
      <c r="H16" s="23" t="n">
        <v>10</v>
      </c>
      <c r="I16" s="23" t="n">
        <v>10</v>
      </c>
      <c r="J16" s="23" t="inlineStr">
        <is>
          <t>978-5-227-11281-1</t>
        </is>
      </c>
      <c r="K16" s="23" t="inlineStr">
        <is>
          <t>84x108 1/32</t>
        </is>
      </c>
      <c r="L16" s="23" t="inlineStr">
        <is>
          <t>тв</t>
        </is>
      </c>
      <c r="M16" s="23" t="n">
        <v>511</v>
      </c>
      <c r="N16" s="23" t="n">
        <v>2026</v>
      </c>
      <c r="O16" s="23" t="n">
        <v>534</v>
      </c>
      <c r="P16" s="23" t="n"/>
      <c r="Q16" s="23" t="n"/>
      <c r="R16" s="25" t="inlineStr">
        <is>
          <t>Доктор исторических наук, профессор Игорь Викторович Зимин представляет очередную книгу из серии «Повседневная жизнь Российского императорского двора», в которой в увлекательной форме рассказывает, как пополнялись и тратились личные средства императрицы Екатерины II. Издание содержит огромное количество иллюстраций и подлинной информации. Императрица тратила огромные средства на свое образование и строительство, приобретала у петербургских ювелиров бесчисленные табакерки… Можно перечислять многие ее дела, которые в огромном количестве остались храниться в виде денежных счетов в Российском архиве…_x000D_
Денежные счета — это немые документальные свидетельства бесчисленных дел Екатерины Великой на протяжении 34 лет ее царствования, которые мы вспоминаем с благодарностью. И они очень разные — от финансирования закупок для Эрмитажа до приобретения «для Комнаты» личных вещей, и дел этих было столько, что они не вместились в предлагаемую вам для чтения книгу, и автор работает над продолжением истории. Книга не имеет аналогов на современном рынке и заслуживает самого широкого круга читателей.</t>
        </is>
      </c>
      <c r="S16" s="26">
        <f>HYPERLINK("http://www.cnpol.ru/covers/22036.jpg","фото на сайте")</f>
        <v/>
      </c>
    </row>
    <row r="17" ht="50.1" customHeight="1" s="3">
      <c r="A17" s="23" t="inlineStr">
        <is>
          <t>Д</t>
        </is>
      </c>
      <c r="B17" s="24" t="inlineStr">
        <is>
          <t>21741</t>
        </is>
      </c>
      <c r="C17" s="23" t="inlineStr">
        <is>
          <t>400 РОМАНОВЫ</t>
        </is>
      </c>
      <c r="D17" s="23" t="inlineStr">
        <is>
          <t>Зимин И.В.</t>
        </is>
      </c>
      <c r="E17" s="23" t="inlineStr">
        <is>
          <t>Зимний дворец. Люди и стены. История императорской резиденции. 1762—1917</t>
        </is>
      </c>
      <c r="F17" s="23" t="inlineStr">
        <is>
          <t>        </t>
        </is>
      </c>
      <c r="G17" s="27" t="n">
        <v>1949</v>
      </c>
      <c r="H17" s="23" t="n">
        <v>10</v>
      </c>
      <c r="I17" s="23" t="n">
        <v>5</v>
      </c>
      <c r="J17" s="23" t="inlineStr">
        <is>
          <t>978-5-227-11114-2</t>
        </is>
      </c>
      <c r="K17" s="23" t="inlineStr">
        <is>
          <t>70x100 1/16</t>
        </is>
      </c>
      <c r="L17" s="23" t="inlineStr">
        <is>
          <t>тв</t>
        </is>
      </c>
      <c r="M17" s="23" t="n">
        <v>480</v>
      </c>
      <c r="N17" s="23" t="n">
        <v>2025</v>
      </c>
      <c r="O17" s="23" t="n">
        <v>522</v>
      </c>
      <c r="P17" s="23" t="n"/>
      <c r="Q17" s="23" t="n"/>
      <c r="R17" s="25" t="inlineStr">
        <is>
          <t>"Зимний дворец был не только главной парадной резиденцией российских монархов, но и хранилищем бесценных национальных сокровищ, которые начала собирать Екатерина II. Он выполнял великое множество функций: представительскую, жилую, культурную и административно-хозяйственную, которой в книге также уделяется особенное внимание.
За годы своей жизни Зимний дворец видел многое: человеческое счастье и горе, смерти, возвышение и падение государственных деятелей, штурм, смену интерьеров в угоду новой власти, пережил блокаду Ленинграда... Дух этого места был соткан из происходящих в нем событий, живших в нем людей, тайн, которыми он был овеян. С ним связано огромное количество легенд, и сам он — легенда.
В этой книге автор постарался раскрыть для читателя двери Зимнего дворца и показать те старые стены, в которых прошла жизнь людей, во многом определивших судьбу страны: от ризалитов до фасадов, охватывая все три этажа. Повествование сопровождается картинами, фотографиями и документами."</t>
        </is>
      </c>
      <c r="S17" s="26">
        <f>HYPERLINK("http://www.cnpol.ru/covers/21741.jpg","фото на сайте")</f>
        <v/>
      </c>
    </row>
    <row r="18" ht="50.1" customHeight="1" s="3">
      <c r="A18" s="23" t="n"/>
      <c r="B18" s="24" t="inlineStr">
        <is>
          <t>15991</t>
        </is>
      </c>
      <c r="C18" s="23" t="inlineStr">
        <is>
          <t>400 РОМАНОВЫ</t>
        </is>
      </c>
      <c r="D18" s="23" t="inlineStr">
        <is>
          <t>Зимин И.В Орехова Л. Мусаева Р.</t>
        </is>
      </c>
      <c r="E18" s="23" t="inlineStr">
        <is>
          <t>Из истории зубоврачевания или Кто лечил зубы монархам</t>
        </is>
      </c>
      <c r="F18" s="23" t="inlineStr">
        <is>
          <t>        </t>
        </is>
      </c>
      <c r="G18" s="23" t="n">
        <v>927</v>
      </c>
      <c r="H18" s="23" t="n">
        <v>10</v>
      </c>
      <c r="I18" s="23" t="n">
        <v>16</v>
      </c>
      <c r="J18" s="23" t="inlineStr">
        <is>
          <t>978-5-227-05884-3</t>
        </is>
      </c>
      <c r="K18" s="23" t="inlineStr">
        <is>
          <t>84x108 1/32</t>
        </is>
      </c>
      <c r="L18" s="23" t="inlineStr">
        <is>
          <t>тв</t>
        </is>
      </c>
      <c r="M18" s="23" t="n">
        <v>380</v>
      </c>
      <c r="N18" s="23" t="n">
        <v>2015</v>
      </c>
      <c r="O18" s="23" t="n">
        <v>406</v>
      </c>
      <c r="P18" s="23" t="n"/>
      <c r="Q18" s="23" t="n"/>
      <c r="R18" s="25" t="inlineStr">
        <is>
          <t>Перед вами продолжение серии о жизни правителей России. В книге затрагивается такая деликатная область, как состояние здоровья первых лиц государства. Перед лицом болезни все равны, и никто, ни царь, ни его слуга, не застрахован от беспощадной зубной боли…Книга разделена на две части: первая — краткий экскурс в историю зубоврачевания. К сожалению, зубная боль сопровождает человека во все времена и практически не обходит никого, но долгое время лечение и протезирование могли позволить себе лишь сильные мира сего, о чем достаточно подробно и рассказывают авторы. Вторая часть книги посвящена непосредственно лечению российских монархов: Екатерина II , Александр I и Николай I, Александр II и Александр III, а также Николай II и его семья. Большое количество иллюстративного материала и живой язык авторов делают чтение этой книги весьма занимательным.</t>
        </is>
      </c>
      <c r="S18" s="26">
        <f>HYPERLINK("http://www.cnpol.ru/covers/15991.jpg","фото на сайте")</f>
        <v/>
      </c>
    </row>
    <row r="19" ht="50.1" customHeight="1" s="3">
      <c r="A19" s="23" t="inlineStr">
        <is>
          <t>Д</t>
        </is>
      </c>
      <c r="B19" s="24" t="inlineStr">
        <is>
          <t>22067</t>
        </is>
      </c>
      <c r="C19" s="23" t="inlineStr">
        <is>
          <t>400 РОМАНОВЫ</t>
        </is>
      </c>
      <c r="D19" s="23" t="inlineStr">
        <is>
          <t>Зимин И.В., Соколов А.Р., Лазерсон И.И.</t>
        </is>
      </c>
      <c r="E19" s="23" t="inlineStr">
        <is>
          <t>Императорская кухня XIX - начало XX в. Повседневная жизнь Российского императорского двора</t>
        </is>
      </c>
      <c r="F19" s="23" t="inlineStr">
        <is>
          <t>        </t>
        </is>
      </c>
      <c r="G19" s="27" t="n">
        <v>1814</v>
      </c>
      <c r="H19" s="23" t="n">
        <v>10</v>
      </c>
      <c r="I19" s="23" t="n">
        <v>10</v>
      </c>
      <c r="J19" s="23" t="inlineStr">
        <is>
          <t>978-5-227-11290-3</t>
        </is>
      </c>
      <c r="K19" s="23" t="inlineStr">
        <is>
          <t>84x108 1/32</t>
        </is>
      </c>
      <c r="L19" s="23" t="inlineStr">
        <is>
          <t>тв</t>
        </is>
      </c>
      <c r="M19" s="23" t="n">
        <v>350</v>
      </c>
      <c r="N19" s="23" t="n">
        <v>2025</v>
      </c>
      <c r="O19" s="23" t="n">
        <v>450</v>
      </c>
      <c r="P19" s="23" t="n"/>
      <c r="Q19" s="23" t="n"/>
      <c r="R19" s="25" t="inlineStr">
        <is>
          <t>В книге рассказано немало любопытного и подчас неожиданного о сложной организации процессов питания всех категорий обитателей императорских резиденций — от семейств монархов и высокопоставленных придворных до штатных дворцовых служителей и тысяч людей, приглашаемых на праздник.
Вы узнаете о кулинарных пристрастиях российских императоров, о количестве и ассортименте спиртных напитков на царских столах. О том, как контролировалось качество питания и обеспечивалась безопасность на императорских кухнях, об особенностях питания государей вне стен резиденций, в полевых условиях — на войне, на охоте, во время загородных пикников.</t>
        </is>
      </c>
      <c r="S19" s="26">
        <f>HYPERLINK("http://www.cnpol.ru/covers/22067.jpg","фото на сайте")</f>
        <v/>
      </c>
    </row>
    <row r="20" ht="50.1" customHeight="1" s="3">
      <c r="A20" s="23" t="inlineStr">
        <is>
          <t>Д</t>
        </is>
      </c>
      <c r="B20" s="24" t="inlineStr">
        <is>
          <t>22016</t>
        </is>
      </c>
      <c r="C20" s="23" t="inlineStr">
        <is>
          <t>400 РОМАНОВЫ</t>
        </is>
      </c>
      <c r="D20" s="23" t="inlineStr">
        <is>
          <t>Зимин И.В.</t>
        </is>
      </c>
      <c r="E20" s="23" t="inlineStr">
        <is>
          <t>Люди Зимнего дворца. Монаршие особы, их фавориты и слуги</t>
        </is>
      </c>
      <c r="F20" s="23" t="inlineStr">
        <is>
          <t>        </t>
        </is>
      </c>
      <c r="G20" s="27" t="n">
        <v>2339</v>
      </c>
      <c r="H20" s="23" t="n">
        <v>10</v>
      </c>
      <c r="I20" s="23" t="n">
        <v>5</v>
      </c>
      <c r="J20" s="23" t="inlineStr">
        <is>
          <t>978-5-227-11268-2</t>
        </is>
      </c>
      <c r="K20" s="23" t="inlineStr">
        <is>
          <t>60x90 1/16</t>
        </is>
      </c>
      <c r="L20" s="23" t="inlineStr">
        <is>
          <t>тв</t>
        </is>
      </c>
      <c r="M20" s="23" t="n">
        <v>718</v>
      </c>
      <c r="N20" s="23" t="n">
        <v>2026</v>
      </c>
      <c r="O20" s="23" t="n">
        <v>874</v>
      </c>
      <c r="P20" s="23" t="n"/>
      <c r="Q20" s="23" t="n"/>
      <c r="R20" s="25" t="inlineStr">
        <is>
          <t>В предлагаемой книге профессор И.В. Зимин приводит результаты своих очередных исследований повседневных аспектов жизни российских монархов в Зимнем дворце. Кроме того, он обстоятельно рассказывает о традиционных церемониалах, праздниках и развлечениях в монаршем доме, о медиках, обслуживавших государей, об организации охраны Зимнего дворца в различные периоды его истории, о том, что происходило во дворце в революционном 1917 году.</t>
        </is>
      </c>
      <c r="S20" s="26">
        <f>HYPERLINK("http://www.cnpol.ru/covers/22016.jpg","фото на сайте")</f>
        <v/>
      </c>
    </row>
    <row r="21" ht="50.1" customHeight="1" s="3">
      <c r="A21" s="23" t="inlineStr">
        <is>
          <t>Д</t>
        </is>
      </c>
      <c r="B21" s="24" t="inlineStr">
        <is>
          <t>21609</t>
        </is>
      </c>
      <c r="C21" s="23" t="inlineStr">
        <is>
          <t>400 РОМАНОВЫ</t>
        </is>
      </c>
      <c r="D21" s="23" t="inlineStr">
        <is>
          <t>Зимин И.В.</t>
        </is>
      </c>
      <c r="E21" s="23" t="inlineStr">
        <is>
          <t>Царская работа. XIX-начало XXвв. Повседневная жизнь Российского императорского двора</t>
        </is>
      </c>
      <c r="F21" s="23" t="inlineStr">
        <is>
          <t>        </t>
        </is>
      </c>
      <c r="G21" s="27" t="n">
        <v>1581</v>
      </c>
      <c r="H21" s="23" t="n">
        <v>10</v>
      </c>
      <c r="I21" s="23" t="n">
        <v>4</v>
      </c>
      <c r="J21" s="23" t="inlineStr">
        <is>
          <t>978-5-227-11019-0</t>
        </is>
      </c>
      <c r="K21" s="23" t="inlineStr">
        <is>
          <t>84x100 1/32</t>
        </is>
      </c>
      <c r="L21" s="23" t="inlineStr">
        <is>
          <t>тв</t>
        </is>
      </c>
      <c r="M21" s="23" t="n">
        <v>638</v>
      </c>
      <c r="N21" s="23" t="n">
        <v>2025</v>
      </c>
      <c r="O21" s="23" t="n">
        <v>555</v>
      </c>
      <c r="P21" s="23" t="n"/>
      <c r="Q21" s="23" t="n"/>
      <c r="R21" s="25" t="inlineStr">
        <is>
          <t>Автор представляет четвертую книгу из серии «Повседневная жизнь Российского императорского двора». В ней рассказывается о внешней стороне жизни царственных семей, о том, что предназначалось для посторонних взоров, — об интерьерах и рабочих кабинетах монархов, о придворных церемониалах, о личной охране императоров, а также о такой крайне любопытной теме, как императорская кухня.</t>
        </is>
      </c>
      <c r="S21" s="26">
        <f>HYPERLINK("http://www.cnpol.ru/covers/21609.jpg","фото на сайте")</f>
        <v/>
      </c>
    </row>
    <row r="22" ht="50.1" customHeight="1" s="3">
      <c r="A22" s="23" t="inlineStr">
        <is>
          <t>Д</t>
        </is>
      </c>
      <c r="B22" s="24" t="inlineStr">
        <is>
          <t>22142</t>
        </is>
      </c>
      <c r="C22" s="23" t="inlineStr">
        <is>
          <t>400 РОМАНОВЫ</t>
        </is>
      </c>
      <c r="D22" s="23" t="inlineStr">
        <is>
          <t>Зимин И.В.</t>
        </is>
      </c>
      <c r="E22" s="23" t="inlineStr">
        <is>
          <t>Царские деньги. Доходы и расходы Дома Романовых. Повседневная жизнь Российского императорского двора</t>
        </is>
      </c>
      <c r="F22" s="23" t="inlineStr">
        <is>
          <t>        </t>
        </is>
      </c>
      <c r="G22" s="27" t="n">
        <v>1747</v>
      </c>
      <c r="H22" s="23" t="n">
        <v>10</v>
      </c>
      <c r="I22" s="23" t="n">
        <v>6</v>
      </c>
      <c r="J22" s="23" t="inlineStr">
        <is>
          <t>978-5-227-11302-3</t>
        </is>
      </c>
      <c r="K22" s="23" t="inlineStr">
        <is>
          <t>84x108 1/32</t>
        </is>
      </c>
      <c r="L22" s="23" t="inlineStr">
        <is>
          <t>тв</t>
        </is>
      </c>
      <c r="M22" s="23" t="n">
        <v>687</v>
      </c>
      <c r="N22" s="23" t="n">
        <v>2026</v>
      </c>
      <c r="O22" s="23" t="n">
        <v>577</v>
      </c>
      <c r="P22" s="23" t="n"/>
      <c r="Q22" s="23" t="n"/>
      <c r="R22" s="25" t="inlineStr">
        <is>
          <t>Доктор исторических наук, профессор Игорь Викторович Зимин представляет третью книгу из серии «Повседневная жизнь Российского императорского двора». В ней с документальной точностью реконструирована «денежная» сторона жизни императорской семьи. Речь идет об уровне материального благосостояния представителей Дома Романовых, о размерах их личных состояний, повседневных расходах. Вы узнаете, что произошло с собственностью императорской семьи после октябрьского переворота и о следах исчезнувшего «царского золота»… Книга не имеет аналогов на современном рынке и заслуживает внимания самого широкого круга читателей.</t>
        </is>
      </c>
      <c r="S22" s="26">
        <f>HYPERLINK("http://www.cnpol.ru/covers/22142.jpg","фото на сайте")</f>
        <v/>
      </c>
    </row>
    <row r="23" ht="50.1" customHeight="1" s="3">
      <c r="A23" s="23" t="inlineStr">
        <is>
          <t>Д</t>
        </is>
      </c>
      <c r="B23" s="24" t="inlineStr">
        <is>
          <t>21527</t>
        </is>
      </c>
      <c r="C23" s="23" t="inlineStr">
        <is>
          <t>400 РОМАНОВЫ</t>
        </is>
      </c>
      <c r="D23" s="23" t="inlineStr">
        <is>
          <t>Зимин И.В, Соколов А.Р</t>
        </is>
      </c>
      <c r="E23" s="23" t="inlineStr">
        <is>
          <t>Ювелирные сокровища Российского императорского двора</t>
        </is>
      </c>
      <c r="F23" s="23" t="inlineStr">
        <is>
          <t>        </t>
        </is>
      </c>
      <c r="G23" s="27" t="n">
        <v>2440</v>
      </c>
      <c r="H23" s="23" t="n">
        <v>10</v>
      </c>
      <c r="I23" s="23" t="n">
        <v>3</v>
      </c>
      <c r="J23" s="23" t="inlineStr">
        <is>
          <t>978-5-227-10997-2</t>
        </is>
      </c>
      <c r="K23" s="23" t="inlineStr">
        <is>
          <t>60x90 1/16</t>
        </is>
      </c>
      <c r="L23" s="23" t="inlineStr">
        <is>
          <t>тв</t>
        </is>
      </c>
      <c r="M23" s="23" t="n">
        <v>766</v>
      </c>
      <c r="N23" s="23" t="n">
        <v>2025</v>
      </c>
      <c r="O23" s="23" t="n">
        <v>940</v>
      </c>
      <c r="P23" s="23" t="n"/>
      <c r="Q23" s="23" t="n"/>
      <c r="R23" s="25" t="inlineStr">
        <is>
          <t>Сияние бесчисленных драгоценных камней на протяжении столетий было «визитной карточкой» Российского императорского двора. Все мемуаристы, особенно иностранцы, в один голос писали о ювелирном блеске, бывшем неотъемлемой частью парадных церемоний. Ослепительное сверкание бриллиантов, матовое мерцание золота и благородного серебра, жемчужные россыпи, смарагды и яхонты — вся эта роскошь ждет читателя на страницах книги. Вы прочтете о ювелирных «брендах» и ювелирах-поставщиках императорского двора, ювелирных наградах и подарках и даже о кражах в императорских резиденциях. Вас ждут реальные документы с описью коронных бриллиантов, ювелирные альбомы Марии Федоровны и Николая II с эскизами украшений и многое другое._x000D_
Книга построена на архивных документах, и поэтому авторы надеются, что читатели сумеют открыть для себя новые страницы, связанные с удивительным миром российского ювелирного искусства.</t>
        </is>
      </c>
      <c r="S23" s="26">
        <f>HYPERLINK("http://www.cnpol.ru/covers/21527.jpg","фото на сайте")</f>
        <v/>
      </c>
    </row>
    <row r="24" ht="50.1" customHeight="1" s="3">
      <c r="A24" s="23" t="n"/>
      <c r="B24" s="24" t="inlineStr">
        <is>
          <t>10260</t>
        </is>
      </c>
      <c r="C24" s="23" t="inlineStr">
        <is>
          <t>52 ЛС</t>
        </is>
      </c>
      <c r="D24" s="23" t="inlineStr">
        <is>
          <t>Кросс</t>
        </is>
      </c>
      <c r="E24" s="23" t="inlineStr">
        <is>
          <t>52 легких способа бросить курить</t>
        </is>
      </c>
      <c r="F24" s="23" t="inlineStr">
        <is>
          <t>        </t>
        </is>
      </c>
      <c r="G24" s="23" t="n">
        <v>486</v>
      </c>
      <c r="H24" s="23" t="n">
        <v>10</v>
      </c>
      <c r="I24" s="23" t="n">
        <v>12</v>
      </c>
      <c r="J24" s="23" t="inlineStr">
        <is>
          <t>978-5-9524-3271-0</t>
        </is>
      </c>
      <c r="K24" s="23" t="inlineStr">
        <is>
          <t>70x90 1/12</t>
        </is>
      </c>
      <c r="L24" s="23" t="inlineStr">
        <is>
          <t>тв</t>
        </is>
      </c>
      <c r="M24" s="23" t="n">
        <v>256</v>
      </c>
      <c r="N24" s="23" t="n">
        <v>2008</v>
      </c>
      <c r="O24" s="23" t="n">
        <v>304</v>
      </c>
      <c r="P24" s="23" t="n"/>
      <c r="Q24" s="23" t="n"/>
      <c r="R24" s="25" t="inlineStr">
        <is>
          <t>Эта книга - полное и подробное собрание новейшей информации о курении, курильщиках и эффективнейших способах борьбы с курением. Вы сможете определить тот тип курильщика, к которому относитесь, и степень отравления вашего организма никотином. Авторы расскажут о современных лекарственных средствах, помогут внести изменения в распорядок дня, и вы за семь этапов избавитесь от пагубной привычки. Чтение книги являет собой базовый психологический тренинг, который настраивает на безболезненное и окончательное решение никогда не прикасаться к сигарете! _x000D_
Редактор, готовивший рукопись к изданию, бросил курить! Теперь - вы.</t>
        </is>
      </c>
      <c r="S24" s="26">
        <f>HYPERLINK("http://www.cnpol.ru/covers/10260.jpg","фото на сайте")</f>
        <v/>
      </c>
    </row>
    <row r="25" ht="50.1" customHeight="1" s="3">
      <c r="A25" s="23" t="n"/>
      <c r="B25" s="24" t="inlineStr">
        <is>
          <t>10541</t>
        </is>
      </c>
      <c r="C25" s="23" t="inlineStr">
        <is>
          <t>52 ЛС</t>
        </is>
      </c>
      <c r="D25" s="23" t="inlineStr">
        <is>
          <t>Досани С.</t>
        </is>
      </c>
      <c r="E25" s="23" t="inlineStr">
        <is>
          <t>52 легких способа жить в кайф</t>
        </is>
      </c>
      <c r="F25" s="23" t="inlineStr">
        <is>
          <t>        </t>
        </is>
      </c>
      <c r="G25" s="23" t="n">
        <v>486</v>
      </c>
      <c r="H25" s="23" t="n">
        <v>10</v>
      </c>
      <c r="I25" s="23" t="n">
        <v>10</v>
      </c>
      <c r="J25" s="23" t="inlineStr">
        <is>
          <t>978-5-9524-3711-1</t>
        </is>
      </c>
      <c r="K25" s="23" t="inlineStr">
        <is>
          <t>70x90 1/12</t>
        </is>
      </c>
      <c r="L25" s="23" t="inlineStr">
        <is>
          <t>тв</t>
        </is>
      </c>
      <c r="M25" s="23" t="n">
        <v>191</v>
      </c>
      <c r="N25" s="23" t="n">
        <v>2008</v>
      </c>
      <c r="O25" s="23" t="n">
        <v>300</v>
      </c>
      <c r="P25" s="23" t="n"/>
      <c r="Q25" s="23" t="n"/>
      <c r="R25" s="25" t="inlineStr">
        <is>
          <t>Книга предлагает реальный способ выхода из депрессии. Она даст вам ответы на самые противоречивые вопросы и убедит в том, что самые простые и доступные средства могут творить чудеса. Перед вами предстанут безграничные возможности музыкальной терапии, природных антидепрессантов, дружеского общения, специального рациона питания и даже магнитов.</t>
        </is>
      </c>
      <c r="S25" s="26">
        <f>HYPERLINK("http://www.cnpol.ru/covers/10541.jpg","фото на сайте")</f>
        <v/>
      </c>
    </row>
    <row r="26" ht="50.1" customHeight="1" s="3">
      <c r="A26" s="23" t="n"/>
      <c r="B26" s="24" t="inlineStr">
        <is>
          <t>10466</t>
        </is>
      </c>
      <c r="C26" s="23" t="inlineStr">
        <is>
          <t>52 ЛС</t>
        </is>
      </c>
      <c r="D26" s="23" t="inlineStr">
        <is>
          <t>Перрет</t>
        </is>
      </c>
      <c r="E26" s="23" t="inlineStr">
        <is>
          <t>52 легких способа извлечь пользу из развода</t>
        </is>
      </c>
      <c r="F26" s="23" t="inlineStr">
        <is>
          <t>        </t>
        </is>
      </c>
      <c r="G26" s="23" t="n">
        <v>486</v>
      </c>
      <c r="H26" s="23" t="n">
        <v>10</v>
      </c>
      <c r="I26" s="23" t="n">
        <v>10</v>
      </c>
      <c r="J26" s="23" t="inlineStr">
        <is>
          <t>978-5-9524-3632-9</t>
        </is>
      </c>
      <c r="K26" s="23" t="inlineStr">
        <is>
          <t>70x90 1/12</t>
        </is>
      </c>
      <c r="L26" s="23" t="inlineStr">
        <is>
          <t>тв</t>
        </is>
      </c>
      <c r="M26" s="23" t="n">
        <v>207</v>
      </c>
      <c r="N26" s="23" t="n">
        <v>2008</v>
      </c>
      <c r="O26" s="23" t="n">
        <v>316</v>
      </c>
      <c r="P26" s="23" t="n"/>
      <c r="Q26" s="23" t="n"/>
      <c r="R26" s="25" t="inlineStr">
        <is>
          <t>Книга поможет вам пережить развод и пройти путь от мучительного одиночества и растерянности к радости и вере в блестящее будущее. Кроме того, автор советует как оградить детей от стресса, и помогает понять, что неудавшийся брак открывает иные уровни возможностей. Также даны практические советы для решения юридической стороны развода.</t>
        </is>
      </c>
      <c r="S26" s="26">
        <f>HYPERLINK("http://www.cnpol.ru/covers/10466.jpg","фото на сайте")</f>
        <v/>
      </c>
    </row>
    <row r="27" ht="50.1" customHeight="1" s="3">
      <c r="A27" s="23" t="n"/>
      <c r="B27" s="24" t="inlineStr">
        <is>
          <t>10310</t>
        </is>
      </c>
      <c r="C27" s="23" t="inlineStr">
        <is>
          <t>52 ЛС</t>
        </is>
      </c>
      <c r="D27" s="23" t="inlineStr">
        <is>
          <t>Френсис Д.</t>
        </is>
      </c>
      <c r="E27" s="23" t="inlineStr">
        <is>
          <t>52 легких способа научить детей питаться правильно</t>
        </is>
      </c>
      <c r="F27" s="23" t="inlineStr">
        <is>
          <t>        </t>
        </is>
      </c>
      <c r="G27" s="23" t="n">
        <v>486</v>
      </c>
      <c r="H27" s="23" t="n">
        <v>10</v>
      </c>
      <c r="I27" s="23" t="n">
        <v>12</v>
      </c>
      <c r="J27" s="23" t="inlineStr">
        <is>
          <t>978-5-9524-3486-8</t>
        </is>
      </c>
      <c r="K27" s="23" t="inlineStr">
        <is>
          <t>70x90 1/12</t>
        </is>
      </c>
      <c r="L27" s="23" t="inlineStr">
        <is>
          <t>тв</t>
        </is>
      </c>
      <c r="M27" s="23" t="n">
        <v>191</v>
      </c>
      <c r="N27" s="23" t="n">
        <v>2008</v>
      </c>
      <c r="O27" s="23" t="n">
        <v>304</v>
      </c>
      <c r="P27" s="23" t="n"/>
      <c r="Q27" s="23" t="n"/>
      <c r="R27" s="25" t="inlineStr">
        <is>
          <t>В книге вы найдете конкретную информацию о том, как заставить юных любителей чипсов есть овощи и фрукты, как научиться читать этикетки на продуктах или планировать диету малыша-вегетарианца. Полезная еда на скорую руку, здоровое меню для школьников, борьба с избыточным весом ребенка - все это и многое другое покажется не таким сложным, как вы думали раньше.</t>
        </is>
      </c>
      <c r="S27" s="26">
        <f>HYPERLINK("http://www.cnpol.ru/covers/10310.jpg","фото на сайте")</f>
        <v/>
      </c>
    </row>
    <row r="28" ht="50.1" customHeight="1" s="3">
      <c r="A28" s="23" t="n"/>
      <c r="B28" s="24" t="inlineStr">
        <is>
          <t>10596</t>
        </is>
      </c>
      <c r="C28" s="23" t="inlineStr">
        <is>
          <t>52 ЛС</t>
        </is>
      </c>
      <c r="D28" s="23" t="inlineStr">
        <is>
          <t>Хаггинс К.</t>
        </is>
      </c>
      <c r="E28" s="23" t="inlineStr">
        <is>
          <t>52 легких способа получить от беременности удовольствие</t>
        </is>
      </c>
      <c r="F28" s="23" t="inlineStr">
        <is>
          <t>        </t>
        </is>
      </c>
      <c r="G28" s="23" t="n">
        <v>486</v>
      </c>
      <c r="H28" s="23" t="n">
        <v>10</v>
      </c>
      <c r="I28" s="23" t="n">
        <v>12</v>
      </c>
      <c r="J28" s="23" t="inlineStr">
        <is>
          <t>978-5-9524-3656-5</t>
        </is>
      </c>
      <c r="K28" s="23" t="inlineStr">
        <is>
          <t>70x90 1/12</t>
        </is>
      </c>
      <c r="L28" s="23" t="inlineStr">
        <is>
          <t>тв</t>
        </is>
      </c>
      <c r="M28" s="23" t="n">
        <v>191</v>
      </c>
      <c r="N28" s="23" t="n">
        <v>2008</v>
      </c>
      <c r="O28" s="23" t="n">
        <v>296</v>
      </c>
      <c r="P28" s="23" t="n"/>
      <c r="Q28" s="23" t="n"/>
      <c r="R28" s="25" t="inlineStr">
        <is>
          <t>Эту книгу для вас написала женщина, которая была беременна четыре раза и у которой были такие же сомнения и страхи, как и у вас. Вы готовы стать матерью? Какое белье нужно носить во время беременности: практичное и удобное или миниатюрное и сексуальное, какое носят все рок-звезды? Насколько вы прибавите в весе? Как избежать растяжек, из-за которых кажется, что вы постоянно одеты в купальник тигриной раскраски? Увидите ли вы когда-нибудь опять свои ноги? _x000D_
Заметки и советы в этой книге появились благодаря многолетнему опыту автора книги, а также близких, родных и женщин, с которыми она общалась во время работы.</t>
        </is>
      </c>
      <c r="S28" s="26">
        <f>HYPERLINK("http://www.cnpol.ru/covers/10596.jpg","фото на сайте")</f>
        <v/>
      </c>
    </row>
    <row r="29" ht="50.1" customHeight="1" s="3">
      <c r="A29" s="23" t="n"/>
      <c r="B29" s="24" t="inlineStr">
        <is>
          <t>10566</t>
        </is>
      </c>
      <c r="C29" s="23" t="inlineStr">
        <is>
          <t>52 ЛС</t>
        </is>
      </c>
      <c r="D29" s="23" t="inlineStr">
        <is>
          <t>Браун Салли</t>
        </is>
      </c>
      <c r="E29" s="23" t="inlineStr">
        <is>
          <t>52 легких способа сохранить молодость</t>
        </is>
      </c>
      <c r="F29" s="23" t="inlineStr">
        <is>
          <t>        </t>
        </is>
      </c>
      <c r="G29" s="23" t="n">
        <v>486</v>
      </c>
      <c r="H29" s="23" t="n">
        <v>10</v>
      </c>
      <c r="I29" s="23" t="n">
        <v>10</v>
      </c>
      <c r="J29" s="23" t="inlineStr">
        <is>
          <t>978-5-9524-3708-1</t>
        </is>
      </c>
      <c r="K29" s="23" t="inlineStr">
        <is>
          <t>70x90 1/12</t>
        </is>
      </c>
      <c r="L29" s="23" t="inlineStr">
        <is>
          <t>тв</t>
        </is>
      </c>
      <c r="M29" s="23" t="n">
        <v>191</v>
      </c>
      <c r="N29" s="23" t="n">
        <v>2008</v>
      </c>
      <c r="O29" s="23" t="n">
        <v>296</v>
      </c>
      <c r="P29" s="23" t="n"/>
      <c r="Q29" s="23" t="n"/>
      <c r="R29" s="25" t="inlineStr">
        <is>
          <t>Изложена простая и доступная программа пошаговой деятельности по сохранению и генерированию позитивной энергии, благодаря которой вы сможете укрепить иммунитет, выиграть "войну со свободными радикалами", ощутить волшебную силу известных продуктов.</t>
        </is>
      </c>
      <c r="S29" s="26">
        <f>HYPERLINK("http://www.cnpol.ru/covers/10566.jpg","фото на сайте")</f>
        <v/>
      </c>
    </row>
    <row r="30" ht="50.1" customHeight="1" s="3">
      <c r="A30" s="23" t="n"/>
      <c r="B30" s="24" t="inlineStr">
        <is>
          <t>10433</t>
        </is>
      </c>
      <c r="C30" s="23" t="inlineStr">
        <is>
          <t>52 ЛС</t>
        </is>
      </c>
      <c r="D30" s="23" t="inlineStr">
        <is>
          <t>Хаггинс К.</t>
        </is>
      </c>
      <c r="E30" s="23" t="inlineStr">
        <is>
          <t>52 легких способа укрощения строптивого ребенка</t>
        </is>
      </c>
      <c r="F30" s="23" t="inlineStr">
        <is>
          <t>        </t>
        </is>
      </c>
      <c r="G30" s="23" t="n">
        <v>486</v>
      </c>
      <c r="H30" s="23" t="n">
        <v>10</v>
      </c>
      <c r="I30" s="23" t="n">
        <v>12</v>
      </c>
      <c r="J30" s="23" t="inlineStr">
        <is>
          <t>978-5-9524-3497-4</t>
        </is>
      </c>
      <c r="K30" s="23" t="inlineStr">
        <is>
          <t>70x90 1/12</t>
        </is>
      </c>
      <c r="L30" s="23" t="inlineStr">
        <is>
          <t>тв</t>
        </is>
      </c>
      <c r="M30" s="23" t="n">
        <v>191</v>
      </c>
      <c r="N30" s="23" t="n">
        <v>2008</v>
      </c>
      <c r="O30" s="23" t="n">
        <v>302</v>
      </c>
      <c r="P30" s="23" t="n"/>
      <c r="Q30" s="23" t="n"/>
      <c r="R30" s="25" t="inlineStr">
        <is>
          <t>Ваш ребенок повзрослел, и вы понимаете, что настал интересный, но очень трудный период для семьи. Накопленный до сего времени педагогический опыт в одно мгновение стал бесполезным, и вы впадаете в отчаяние, когда не можете заставить свое чадо ходить в школу и не сидеть ночами за компьютером, возвращаться домой в установленное время и не огрызаться на домашних. У него слишком большая нагрузка или он превратился в существо с дурным характером? В любом случае подростку не обойтисъ без вашей поддержки, а вам - без совета людей, нашедших выход из подобных обстоятельств!</t>
        </is>
      </c>
      <c r="S30" s="26">
        <f>HYPERLINK("http://www.cnpol.ru/covers/10433.jpg","фото на сайте")</f>
        <v/>
      </c>
    </row>
    <row r="31" ht="50.1" customHeight="1" s="3">
      <c r="A31" s="23" t="n"/>
      <c r="B31" s="24" t="inlineStr">
        <is>
          <t>12402</t>
        </is>
      </c>
      <c r="C31" s="23" t="inlineStr">
        <is>
          <t>59 Д</t>
        </is>
      </c>
      <c r="D31" s="23" t="inlineStr">
        <is>
          <t>Камерон Е.</t>
        </is>
      </c>
      <c r="E31" s="23" t="inlineStr">
        <is>
          <t>Секреты превосходной диеты. Как сделать из пышки изящную фигурку</t>
        </is>
      </c>
      <c r="F31" s="23" t="inlineStr">
        <is>
          <t>        </t>
        </is>
      </c>
      <c r="G31" s="23" t="n">
        <v>389</v>
      </c>
      <c r="H31" s="23" t="n">
        <v>10</v>
      </c>
      <c r="I31" s="23" t="n">
        <v>16</v>
      </c>
      <c r="J31" s="23" t="inlineStr">
        <is>
          <t>978-5-227-02025-3</t>
        </is>
      </c>
      <c r="K31" s="23" t="inlineStr">
        <is>
          <t>84x108 1/32</t>
        </is>
      </c>
      <c r="L31" s="23" t="inlineStr">
        <is>
          <t>тв</t>
        </is>
      </c>
      <c r="M31" s="23" t="n">
        <v>253</v>
      </c>
      <c r="N31" s="23" t="n">
        <v>2010</v>
      </c>
      <c r="O31" s="23" t="n">
        <v>282</v>
      </c>
      <c r="P31" s="23" t="n"/>
      <c r="Q31" s="23" t="n"/>
      <c r="R31" s="25" t="inlineStr">
        <is>
          <t>Как научиться всегда быть в форме, радоваться жизни и постоянно совершенствоваться? Эта книга способна вдохновить и поддержать вас в решимости вылепить свою фигуру, скорректировать внешний вид и самое главное — помочь изменить образ мыслей. Попробуйте жизнь в новом качестве!</t>
        </is>
      </c>
      <c r="S31" s="26">
        <f>HYPERLINK("http://www.cnpol.ru/covers/12402.jpg","фото на сайте")</f>
        <v/>
      </c>
    </row>
    <row r="32" ht="50.1" customHeight="1" s="3">
      <c r="A32" s="23" t="n"/>
      <c r="B32" s="24" t="inlineStr">
        <is>
          <t>17324</t>
        </is>
      </c>
      <c r="C32" s="23" t="inlineStr">
        <is>
          <t>BEST №1</t>
        </is>
      </c>
      <c r="D32" s="23" t="inlineStr">
        <is>
          <t>Джеймс П.</t>
        </is>
      </c>
      <c r="E32" s="23" t="inlineStr">
        <is>
          <t>Миллиардер</t>
        </is>
      </c>
      <c r="F32" s="23" t="inlineStr">
        <is>
          <t>        </t>
        </is>
      </c>
      <c r="G32" s="23" t="n">
        <v>577</v>
      </c>
      <c r="H32" s="23" t="n">
        <v>10</v>
      </c>
      <c r="I32" s="23" t="n">
        <v>16</v>
      </c>
      <c r="J32" s="23" t="inlineStr">
        <is>
          <t>978-5-227-07356-3</t>
        </is>
      </c>
      <c r="K32" s="23" t="inlineStr">
        <is>
          <t>84x108 1/32</t>
        </is>
      </c>
      <c r="L32" s="23" t="inlineStr">
        <is>
          <t>Интегр</t>
        </is>
      </c>
      <c r="M32" s="23" t="n">
        <v>320</v>
      </c>
      <c r="N32" s="23" t="n">
        <v>2017</v>
      </c>
      <c r="O32" s="23" t="n">
        <v>256</v>
      </c>
      <c r="P32" s="23" t="n"/>
      <c r="Q32" s="23" t="n"/>
      <c r="R32" s="25" t="inlineStr">
        <is>
          <t>Миллионерами мечтают стать многие, но только не брокер Алекс Рок. Его цель — заработать миллиард. Амбициозный молодой человек не боится играть по-крупному, однако блестящий план, который должен был принести ему желанное богатство, оказывается, связан с гораздо большим риском, чем он рассчитывал. Рок даже не подозревает, какую роль ему предстоит сыграть в крупной политической авантюре, от которой зависит судьба целых государств и сама мировая стабильность. Удастся ли ему уцелеть и не пасть жертвой интриг сильных мира сего? События развиваются так стремительно, что у Алекса просто нет времени беспокоиться из-за ревнивого бывшего бойфренда своей девушки. Но именно этому на первый взгляд невзрачному и неприметному человеку предстоит решить его судьбу...</t>
        </is>
      </c>
      <c r="S32" s="26">
        <f>HYPERLINK("http://www.cnpol.ru/covers/17324.jpg","фото на сайте")</f>
        <v/>
      </c>
    </row>
    <row r="33" ht="50.1" customHeight="1" s="3">
      <c r="A33" s="23" t="n"/>
      <c r="B33" s="24" t="inlineStr">
        <is>
          <t>15888</t>
        </is>
      </c>
      <c r="C33" s="23" t="inlineStr">
        <is>
          <t>BEST №1</t>
        </is>
      </c>
      <c r="D33" s="23" t="inlineStr">
        <is>
          <t>Джеймс П.</t>
        </is>
      </c>
      <c r="E33" s="23" t="inlineStr">
        <is>
          <t>Шпионский тайник</t>
        </is>
      </c>
      <c r="F33" s="23" t="inlineStr">
        <is>
          <t>        </t>
        </is>
      </c>
      <c r="G33" s="23" t="n">
        <v>547</v>
      </c>
      <c r="H33" s="23" t="n">
        <v>10</v>
      </c>
      <c r="I33" s="23" t="n">
        <v>20</v>
      </c>
      <c r="J33" s="23" t="inlineStr">
        <is>
          <t>978-5-227-05822-5</t>
        </is>
      </c>
      <c r="K33" s="23" t="inlineStr">
        <is>
          <t>84x108 1/32</t>
        </is>
      </c>
      <c r="L33" s="23" t="inlineStr">
        <is>
          <t>Интегр</t>
        </is>
      </c>
      <c r="M33" s="23" t="n">
        <v>254</v>
      </c>
      <c r="N33" s="23" t="n">
        <v>2015</v>
      </c>
      <c r="O33" s="23" t="n">
        <v>212</v>
      </c>
      <c r="P33" s="23" t="n"/>
      <c r="Q33" s="23" t="n"/>
      <c r="R33" s="25" t="inlineStr">
        <is>
          <t>Макс Флинн — агент под прикрытием, и работа у него незавидная — шпионить за своими. Когда убить, кого убить, убить или сохранить жизнь — решения требуется принимать мгновенно, если хочешь сам остаться в живых. Но на этот раз Макс оказался в запутанной ситуации. Кто он, этот незнакомец, проникший в его квартиру посреди ночи только для того, чтобы пустить пулю себе в голову? Чем так важен билет на место 14В? И так ли уж невинна прекрасная подруга самого Макса? Мир шпионажа и контршпионажа не оставляет места для ошибок, и Флинн знает, что один­единственный неверный шаг означает смерть.</t>
        </is>
      </c>
      <c r="S33" s="26">
        <f>HYPERLINK("http://www.cnpol.ru/covers/15888.jpg","фото на сайте")</f>
        <v/>
      </c>
    </row>
    <row r="34" ht="50.1" customHeight="1" s="3">
      <c r="A34" s="23" t="n"/>
      <c r="B34" s="24" t="inlineStr">
        <is>
          <t>16719</t>
        </is>
      </c>
      <c r="C34" s="23" t="inlineStr">
        <is>
          <t>BEST №1</t>
        </is>
      </c>
      <c r="D34" s="23" t="inlineStr">
        <is>
          <t>Джеймс П.</t>
        </is>
      </c>
      <c r="E34" s="23" t="inlineStr">
        <is>
          <t>Шпионский тайник</t>
        </is>
      </c>
      <c r="F34" s="23" t="inlineStr">
        <is>
          <t>        </t>
        </is>
      </c>
      <c r="G34" s="23" t="n">
        <v>547</v>
      </c>
      <c r="H34" s="23" t="n">
        <v>10</v>
      </c>
      <c r="I34" s="23" t="n">
        <v>20</v>
      </c>
      <c r="J34" s="23" t="inlineStr">
        <is>
          <t>978-5-227-06775-3</t>
        </is>
      </c>
      <c r="K34" s="23" t="inlineStr">
        <is>
          <t>84x108 1/32</t>
        </is>
      </c>
      <c r="L34" s="23" t="inlineStr">
        <is>
          <t>Интегр</t>
        </is>
      </c>
      <c r="M34" s="23" t="n">
        <v>256</v>
      </c>
      <c r="N34" s="23" t="n">
        <v>2016</v>
      </c>
      <c r="O34" s="23" t="n">
        <v>212</v>
      </c>
      <c r="P34" s="23" t="n"/>
      <c r="Q34" s="23" t="n"/>
      <c r="R34" s="25" t="inlineStr">
        <is>
          <t>Макс Флинн — агент под прикрытием, и работа у него незавидная — шпионить за своими. Когда убить, кого убить, убить или сохранить жизнь — решения требуется принимать мгновенно, если хочешь сам остаться в живых. Но на этот раз Макс оказался в запутанной ситуации. Кто он, этот незнакомец, проникший в его квартиру посреди ночи только для того, чтобы пустить пулю себе в голову? Чем так важен билет на место 14В? И так ли уж невинна прекрасная подруга самого Макса? Мир шпионажа и контршпионажа не оставляет места для ошибок, и Флинн знает, что один-единственный неверный шаг означает смерть.</t>
        </is>
      </c>
      <c r="S34" s="26">
        <f>HYPERLINK("http://www.cnpol.ru/covers/16719.jpg","фото на сайте")</f>
        <v/>
      </c>
    </row>
    <row r="35" ht="50.1" customHeight="1" s="3">
      <c r="A35" s="23" t="n"/>
      <c r="B35" s="24" t="inlineStr">
        <is>
          <t>12737</t>
        </is>
      </c>
      <c r="C35" s="23" t="inlineStr">
        <is>
          <t>CPF</t>
        </is>
      </c>
      <c r="D35" s="23" t="inlineStr">
        <is>
          <t>Гишлер В.</t>
        </is>
      </c>
      <c r="E35" s="23" t="inlineStr">
        <is>
          <t>Go-go girls апокалипсиса</t>
        </is>
      </c>
      <c r="F35" s="23" t="inlineStr">
        <is>
          <t>        </t>
        </is>
      </c>
      <c r="G35" s="23" t="n">
        <v>448</v>
      </c>
      <c r="H35" s="23" t="n">
        <v>10</v>
      </c>
      <c r="I35" s="23" t="n">
        <v>12</v>
      </c>
      <c r="J35" s="23" t="inlineStr">
        <is>
          <t>978-5-227-02828-0</t>
        </is>
      </c>
      <c r="K35" s="23" t="inlineStr">
        <is>
          <t>84x108 1/32</t>
        </is>
      </c>
      <c r="L35" s="23" t="inlineStr">
        <is>
          <t>тв</t>
        </is>
      </c>
      <c r="M35" s="23" t="n">
        <v>319</v>
      </c>
      <c r="N35" s="23" t="n">
        <v>2011</v>
      </c>
      <c r="O35" s="23" t="n">
        <v>260</v>
      </c>
      <c r="P35" s="23" t="n"/>
      <c r="Q35" s="23" t="n"/>
      <c r="R35" s="25" t="inlineStr">
        <is>
          <t>"Мортимер Тейт, в прошлом страховой агент, девять лет пережидает конец света в пещере на вершине горы в Теннесси. Так случается, что, защищая себя и свое убежище, он убивает трех человек, после чего решает спуститься в долину посмотреть, что осталось от не существующей более Америки. Его глазам предстает картина полного разорения. То малое, что осталось от цивилизации, сосредоточено вокруг стриптиз-клубов, где пиво холодное, танцоры горячие, а вышибалы вооружены до зубов.
В сопровождении ковбоя Баффало Билла, великолепной стриптизерши Шейлы и горца Теда Мортимер отправляется в разрушенный город Атланту в надежде, что сумеет поспособствовать  возрождению человечества..."</t>
        </is>
      </c>
      <c r="S35" s="26">
        <f>HYPERLINK("http://www.cnpol.ru/covers/12737.jpg","фото на сайте")</f>
        <v/>
      </c>
    </row>
    <row r="36" ht="50.1" customHeight="1" s="3">
      <c r="A36" s="23" t="n"/>
      <c r="B36" s="24" t="inlineStr">
        <is>
          <t>12796</t>
        </is>
      </c>
      <c r="C36" s="23" t="inlineStr">
        <is>
          <t>CPF</t>
        </is>
      </c>
      <c r="D36" s="23" t="inlineStr">
        <is>
          <t>Шах Эдди</t>
        </is>
      </c>
      <c r="E36" s="23" t="inlineStr">
        <is>
          <t>Второй мир</t>
        </is>
      </c>
      <c r="F36" s="23" t="inlineStr">
        <is>
          <t>        </t>
        </is>
      </c>
      <c r="G36" s="23" t="n">
        <v>448</v>
      </c>
      <c r="H36" s="23" t="n">
        <v>10</v>
      </c>
      <c r="I36" s="23" t="n">
        <v>8</v>
      </c>
      <c r="J36" s="23" t="inlineStr">
        <is>
          <t>978-5-227-02851-8</t>
        </is>
      </c>
      <c r="K36" s="23" t="inlineStr">
        <is>
          <t>84x108 1/32</t>
        </is>
      </c>
      <c r="L36" s="23" t="inlineStr">
        <is>
          <t>тв</t>
        </is>
      </c>
      <c r="M36" s="23" t="n">
        <v>638</v>
      </c>
      <c r="N36" s="23" t="n">
        <v>2011</v>
      </c>
      <c r="O36" s="23" t="n">
        <v>470</v>
      </c>
      <c r="P36" s="23" t="n"/>
      <c r="Q36" s="23" t="n"/>
      <c r="R36" s="25" t="inlineStr">
        <is>
          <t>2044 год. «Изумрудный город» — это не сказка, а параллельный мир, в котором возможно все. Стоит только войти в Виртуал, и самые безумные фантазии становятся реальностью. Где-то там, в дебрях виртуального ¬Второго мира, оказался надежно упрятан президент США Тедди Диксон. В ¬качестве выкупа похититель потребовал невозможное — стереть Инфокалипсис, базу данных с информацией о каждом человеке, которая счи¬талась до сих пор не более чем вымыслом. Спецслужбы подключили к поискам президента Конора Смита, Мастера игры, «техно-хиппи», одного из создателей Второго мира. Но возможности Конора не безграничны, если ему не удастся завершить операцию по спасению Диксона в течение двенадцати часов, тот уже никогда не вернется в Реал.</t>
        </is>
      </c>
      <c r="S36" s="26">
        <f>HYPERLINK("http://www.cnpol.ru/covers/12796.jpg","фото на сайте")</f>
        <v/>
      </c>
    </row>
    <row r="37" ht="50.1" customHeight="1" s="3">
      <c r="A37" s="23" t="n"/>
      <c r="B37" s="24" t="inlineStr">
        <is>
          <t>12889</t>
        </is>
      </c>
      <c r="C37" s="23" t="inlineStr">
        <is>
          <t>CPF</t>
        </is>
      </c>
      <c r="D37" s="23" t="inlineStr">
        <is>
          <t>Бьюкес Л.</t>
        </is>
      </c>
      <c r="E37" s="23" t="inlineStr">
        <is>
          <t>Зоосити</t>
        </is>
      </c>
      <c r="F37" s="23" t="inlineStr">
        <is>
          <t>        </t>
        </is>
      </c>
      <c r="G37" s="23" t="n">
        <v>448</v>
      </c>
      <c r="H37" s="23" t="n">
        <v>10</v>
      </c>
      <c r="I37" s="23" t="n">
        <v>14</v>
      </c>
      <c r="J37" s="23" t="inlineStr">
        <is>
          <t>978-5-227-03109-9</t>
        </is>
      </c>
      <c r="K37" s="23" t="inlineStr">
        <is>
          <t>84x108 1/32</t>
        </is>
      </c>
      <c r="L37" s="23" t="inlineStr">
        <is>
          <t>тв</t>
        </is>
      </c>
      <c r="M37" s="23" t="n">
        <v>349</v>
      </c>
      <c r="N37" s="23" t="n">
        <v>2011</v>
      </c>
      <c r="O37" s="23" t="n">
        <v>276</v>
      </c>
      <c r="P37" s="23" t="n"/>
      <c r="Q37" s="23" t="n"/>
      <c r="R37" s="25" t="inlineStr">
        <is>
          <t>Они не знают, какое животное получат за совершенное преступление. Кому-то достанется мышь, а кто-то будет «награжден» гиеной или скорпионом. Они живут в Зоосити, куда не любит заглядывать полиция. Грабеж, насилие, убийства — здесь обычное дело. Зинзи Лелету, бывшая журналистка, в наркотическом бреду застрелившая своего брата, таскает на спине ленивца, ее друг Бенуа — мангуста. Зоолюди не могут расстаться со своим воплощением греха, поэтому их так легко узнать._x000D_
У Зинзи дар — отыскивать потерянные вещи, но однажды знаменитый продюсер за большие деньги нанимает ее с тем, чтобы она нашла человека, неожиданно пропавшую юную звезду шоу-бизнеса. Зинзи чувствует, что ввязывается в опасное и грязное дело, но слишком велико искушение вырваться из цепких лап кредитора, и она соглашается…</t>
        </is>
      </c>
      <c r="S37" s="26">
        <f>HYPERLINK("http://www.cnpol.ru/covers/12889.jpg","фото на сайте")</f>
        <v/>
      </c>
    </row>
    <row r="38" ht="50.1" customHeight="1" s="3">
      <c r="A38" s="23" t="n"/>
      <c r="B38" s="24" t="inlineStr">
        <is>
          <t>13331</t>
        </is>
      </c>
      <c r="C38" s="23" t="inlineStr">
        <is>
          <t>CPF</t>
        </is>
      </c>
      <c r="D38" s="23" t="inlineStr">
        <is>
          <t>Чаней Дж. А.</t>
        </is>
      </c>
      <c r="E38" s="23" t="inlineStr">
        <is>
          <t>Посланная небесами</t>
        </is>
      </c>
      <c r="F38" s="23" t="inlineStr">
        <is>
          <t>        </t>
        </is>
      </c>
      <c r="G38" s="23" t="n">
        <v>468</v>
      </c>
      <c r="H38" s="23" t="n">
        <v>10</v>
      </c>
      <c r="I38" s="23" t="n">
        <v>16</v>
      </c>
      <c r="J38" s="23" t="inlineStr">
        <is>
          <t>978-5-227-03501-1</t>
        </is>
      </c>
      <c r="K38" s="23" t="inlineStr">
        <is>
          <t>84x108 1/32</t>
        </is>
      </c>
      <c r="L38" s="23" t="inlineStr">
        <is>
          <t>тв</t>
        </is>
      </c>
      <c r="M38" s="23" t="n">
        <v>255</v>
      </c>
      <c r="N38" s="23" t="n">
        <v>2012</v>
      </c>
      <c r="O38" s="23" t="n">
        <v>225</v>
      </c>
      <c r="P38" s="23" t="n"/>
      <c r="Q38" s="23" t="n"/>
      <c r="R38" s="25" t="inlineStr">
        <is>
          <t>Когда эта девушка была жива, ее звали Анжела Талботт. Она погибла от руки жестокого убийцы и готова была обрести покой на Небесах, но, как оказалось, ей предназначена другая роль. Анжела вновь отправляется в мир людей. Ее задача — отыскать своего убийцу. Теперь она не двадцатипятилетняя кареглазая пышечка, а бесплотный дух, ангел. Незримо присутствуя среди родных и знакомых, легко проникая в их сознание, она открывает для  себя много такого, отчего переживает глубокое потрясение. Помешать ей пытаются гелионы Алек и Руфус, — мертвые уже несколько столетий, эти воплощения зла находят людей, которых можно использовать в своих черных целях. Вскоре Анжела понимает, что розыски убийцы — не главное. На нее возложена великая миссия.</t>
        </is>
      </c>
      <c r="S38" s="26">
        <f>HYPERLINK("http://www.cnpol.ru/covers/13331.jpg","фото на сайте")</f>
        <v/>
      </c>
    </row>
    <row r="39" ht="50.1" customHeight="1" s="3">
      <c r="A39" s="23" t="n"/>
      <c r="B39" s="24" t="inlineStr">
        <is>
          <t>13240</t>
        </is>
      </c>
      <c r="C39" s="23" t="inlineStr">
        <is>
          <t>CRIME</t>
        </is>
      </c>
      <c r="D39" s="23" t="inlineStr">
        <is>
          <t>Фет М.</t>
        </is>
      </c>
      <c r="E39" s="23" t="inlineStr">
        <is>
          <t>Сборщик клубники</t>
        </is>
      </c>
      <c r="F39" s="23" t="inlineStr">
        <is>
          <t>        </t>
        </is>
      </c>
      <c r="G39" s="23" t="n">
        <v>574</v>
      </c>
      <c r="H39" s="23" t="n">
        <v>10</v>
      </c>
      <c r="I39" s="23" t="n">
        <v>16</v>
      </c>
      <c r="J39" s="23" t="inlineStr">
        <is>
          <t>978-5-227-03103-7</t>
        </is>
      </c>
      <c r="K39" s="23" t="inlineStr">
        <is>
          <t>84x108 1/32</t>
        </is>
      </c>
      <c r="L39" s="23" t="inlineStr">
        <is>
          <t>тв</t>
        </is>
      </c>
      <c r="M39" s="23" t="n">
        <v>255</v>
      </c>
      <c r="N39" s="23" t="n">
        <v>2012</v>
      </c>
      <c r="O39" s="23" t="n">
        <v>296</v>
      </c>
      <c r="P39" s="23" t="n"/>
      <c r="Q39" s="23" t="n"/>
      <c r="R39" s="25" t="inlineStr">
        <is>
          <t>"Натаниел Табан знал, что роковое влечение вновь толкнет его на убийство. Он приехал в провинциальный городок на севере Германии и нанялся сезонным рабочим, сборщиком клубники, чтобы убежать от кошмара, в который повергает его собственное извращенное сознание. Но справиться с собой выше его сил. Юная, прекрасная и невинная — только такой должна быть его избранница, предмет патологического обожания. Его персональная фея. И если она обманет его надежды, он накажет ее.Когда их подругу Каро убили, Ютта и Мерли решили сами отыскать преступника. В разгар поисков Ютта познакомилась с мужчиной, ради которого готова была изменить жизнь, но любовь принесла с собой смертельный страх…"</t>
        </is>
      </c>
      <c r="S39" s="26">
        <f>HYPERLINK("http://www.cnpol.ru/covers/13240.jpg","фото на сайте")</f>
        <v/>
      </c>
    </row>
    <row r="40" ht="50.1" customHeight="1" s="3">
      <c r="A40" s="23" t="n"/>
      <c r="B40" s="24" t="inlineStr">
        <is>
          <t>14044</t>
        </is>
      </c>
      <c r="C40" s="23" t="inlineStr">
        <is>
          <t>EROTIC</t>
        </is>
      </c>
      <c r="D40" s="23" t="inlineStr">
        <is>
          <t>Бакарр Д.</t>
        </is>
      </c>
      <c r="E40" s="23" t="inlineStr">
        <is>
          <t>Белокурая гейша</t>
        </is>
      </c>
      <c r="F40" s="23" t="inlineStr">
        <is>
          <t>        </t>
        </is>
      </c>
      <c r="G40" s="23" t="n">
        <v>508</v>
      </c>
      <c r="H40" s="23" t="n">
        <v>22</v>
      </c>
      <c r="I40" s="23" t="n">
        <v>12</v>
      </c>
      <c r="J40" s="23" t="inlineStr">
        <is>
          <t>978-5-227-04014-5</t>
        </is>
      </c>
      <c r="K40" s="23" t="inlineStr">
        <is>
          <t>84x108 1/32</t>
        </is>
      </c>
      <c r="L40" s="23" t="inlineStr">
        <is>
          <t>тв</t>
        </is>
      </c>
      <c r="M40" s="23" t="n">
        <v>384</v>
      </c>
      <c r="N40" s="23" t="n">
        <v>2013</v>
      </c>
      <c r="O40" s="23" t="n">
        <v>310</v>
      </c>
      <c r="P40" s="23" t="n"/>
      <c r="Q40" s="23" t="n"/>
      <c r="R40" s="25" t="inlineStr">
        <is>
          <t>Американец Эдвард Мэллори, вынужденный укрыть свою юную дочь  от мести японского принца Кира среди жриц любви, никак не ожидал, что она пожелает стать гейшей. Несколько последних лет Кэлрин, обучалась исскуству обольщения и удовлетворения желаний мужчин, с нетерпением готовиться к церемонии потери целомудрия. Сорвать цветок любви соблазнительной кандидатки в гейши готов барон Тонда, которому нельзя противостоять, иначе можно навлечь смертельную опасность на Чайный дом Оглядывающегося дерева. Но может ли девушка, с грациозной утонченностью уже умеющая пробудить страсть и жаждущая любви, все же рассчитывать на обретение собственного счастья?</t>
        </is>
      </c>
      <c r="S40" s="26">
        <f>HYPERLINK("http://www.cnpol.ru/covers/14044.jpg","фото на сайте")</f>
        <v/>
      </c>
    </row>
    <row r="41" ht="50.1" customHeight="1" s="3">
      <c r="A41" s="23" t="n"/>
      <c r="B41" s="24" t="inlineStr">
        <is>
          <t>14580</t>
        </is>
      </c>
      <c r="C41" s="23" t="inlineStr">
        <is>
          <t>FICTION</t>
        </is>
      </c>
      <c r="D41" s="23" t="inlineStr">
        <is>
          <t>Фэллон Д.</t>
        </is>
      </c>
      <c r="E41" s="23" t="inlineStr">
        <is>
          <t>Дорогой, все будет по-моему!</t>
        </is>
      </c>
      <c r="F41" s="23" t="inlineStr">
        <is>
          <t>        </t>
        </is>
      </c>
      <c r="G41" s="23" t="n">
        <v>266</v>
      </c>
      <c r="H41" s="23" t="n">
        <v>10</v>
      </c>
      <c r="I41" s="23" t="n">
        <v>12</v>
      </c>
      <c r="J41" s="23" t="inlineStr">
        <is>
          <t>978-5-227-04621-5</t>
        </is>
      </c>
      <c r="K41" s="23" t="inlineStr">
        <is>
          <t>75x100 1/32</t>
        </is>
      </c>
      <c r="L41" s="23" t="inlineStr">
        <is>
          <t>мяг</t>
        </is>
      </c>
      <c r="M41" s="23" t="n">
        <v>416</v>
      </c>
      <c r="N41" s="23" t="n">
        <v>2013</v>
      </c>
      <c r="O41" s="23" t="n">
        <v>210</v>
      </c>
      <c r="P41" s="23" t="n"/>
      <c r="Q41" s="23" t="n"/>
      <c r="R41" s="25" t="inlineStr">
        <is>
          <t>Получив на очередную годовщину свадьбы в подарок от мужа не скромный сувенир, как у них было заведено, а усыпанный бриллиантами браслет, Стефани подумала: они вместе уже девять лет, а Джеймс все еще способен ее удивить! Да еще как удивить, убедилась она в очередной раз, когда случайно наткнулась в телефоне Джеймса на нежное послание от незнакомки, которое не оставляло сомнений — у ее примерного супруга  роман с другой женщиной! Да ладно бы роман! Джеймс, как оказалось, живет на две семьи. Обманутые женщины встретились и заключили союз, горя желанием наказать вероломного возлюбленного. Куда все это их заведет, не предполагал ни один участник любовного треугольника.</t>
        </is>
      </c>
      <c r="S41" s="26">
        <f>HYPERLINK("http://www.cnpol.ru/covers/14580.jpg","фото на сайте")</f>
        <v/>
      </c>
    </row>
    <row r="42" ht="50.1" customHeight="1" s="3">
      <c r="A42" s="23" t="n"/>
      <c r="B42" s="24" t="inlineStr">
        <is>
          <t>14147</t>
        </is>
      </c>
      <c r="C42" s="23" t="inlineStr">
        <is>
          <t>FICTION</t>
        </is>
      </c>
      <c r="D42" s="23" t="inlineStr">
        <is>
          <t>Майрон В.</t>
        </is>
      </c>
      <c r="E42" s="23" t="inlineStr">
        <is>
          <t>Дьюи. Кот из библиотеки, который потряс весь мир</t>
        </is>
      </c>
      <c r="F42" s="23" t="inlineStr">
        <is>
          <t>        </t>
        </is>
      </c>
      <c r="G42" s="23" t="n">
        <v>266</v>
      </c>
      <c r="H42" s="23" t="n">
        <v>10</v>
      </c>
      <c r="I42" s="23" t="n">
        <v>14</v>
      </c>
      <c r="J42" s="23" t="inlineStr">
        <is>
          <t>978-5-227-04160-9</t>
        </is>
      </c>
      <c r="K42" s="23" t="inlineStr">
        <is>
          <t>75x100 1/32</t>
        </is>
      </c>
      <c r="L42" s="23" t="inlineStr">
        <is>
          <t>мяг</t>
        </is>
      </c>
      <c r="M42" s="23" t="n">
        <v>350</v>
      </c>
      <c r="N42" s="23" t="n">
        <v>2013</v>
      </c>
      <c r="O42" s="23" t="n">
        <v>180</v>
      </c>
      <c r="P42" s="23" t="n"/>
      <c r="Q42" s="23" t="n"/>
      <c r="R42" s="25" t="inlineStr">
        <is>
          <t>Какие переживания может вынести животное? Сколько жизней у кошки? Как получилось, что несчастный котенок-подкидыш сделал маленькую библиотеку местом встречи окрестных жителей и центром притяжения для туристов, а провинциальный американский городок — известным во всем мире? В самом ли деле мы спасаем бесприютных животных, принимая в свой дом, или, наоборот, эти бессловесные существа становятся для нас опорой в преодолении житейских невзгод и трудностей? Об этом и многом другом в потрясающей книге Вики Майрон, которая сумела тронуть душу миллионов читателей во всех уголках планеты.</t>
        </is>
      </c>
      <c r="S42" s="26">
        <f>HYPERLINK("http://www.cnpol.ru/covers/14147.jpg","фото на сайте")</f>
        <v/>
      </c>
    </row>
    <row r="43" ht="50.1" customHeight="1" s="3">
      <c r="A43" s="23" t="n"/>
      <c r="B43" s="24" t="inlineStr">
        <is>
          <t>14729</t>
        </is>
      </c>
      <c r="C43" s="23" t="inlineStr">
        <is>
          <t>FICTION</t>
        </is>
      </c>
      <c r="D43" s="23" t="inlineStr">
        <is>
          <t>Джеймс П.</t>
        </is>
      </c>
      <c r="E43" s="23" t="inlineStr">
        <is>
          <t>Мертвый, как ты</t>
        </is>
      </c>
      <c r="F43" s="23" t="inlineStr">
        <is>
          <t>        </t>
        </is>
      </c>
      <c r="G43" s="23" t="n">
        <v>330</v>
      </c>
      <c r="H43" s="23" t="n">
        <v>10</v>
      </c>
      <c r="I43" s="23" t="n">
        <v>8</v>
      </c>
      <c r="J43" s="23" t="inlineStr">
        <is>
          <t>978-5-227-04698-7</t>
        </is>
      </c>
      <c r="K43" s="23" t="inlineStr">
        <is>
          <t>75x100 1/32</t>
        </is>
      </c>
      <c r="L43" s="23" t="inlineStr">
        <is>
          <t>мяг</t>
        </is>
      </c>
      <c r="M43" s="23" t="n">
        <v>543</v>
      </c>
      <c r="N43" s="23" t="n">
        <v>2014</v>
      </c>
      <c r="O43" s="23" t="n">
        <v>256</v>
      </c>
      <c r="P43" s="23" t="n"/>
      <c r="Q43" s="23" t="n"/>
      <c r="R43" s="25" t="n"/>
      <c r="S43" s="26">
        <f>HYPERLINK("http://www.cnpol.ru/covers/14729.jpg","фото на сайте")</f>
        <v/>
      </c>
    </row>
    <row r="44" ht="50.1" customHeight="1" s="3">
      <c r="A44" s="23" t="n"/>
      <c r="B44" s="24" t="inlineStr">
        <is>
          <t>14227</t>
        </is>
      </c>
      <c r="C44" s="23" t="inlineStr">
        <is>
          <t>FICTION</t>
        </is>
      </c>
      <c r="D44" s="23" t="inlineStr">
        <is>
          <t>Харви К. Дж.</t>
        </is>
      </c>
      <c r="E44" s="23" t="inlineStr">
        <is>
          <t>Обретая розу</t>
        </is>
      </c>
      <c r="F44" s="23" t="inlineStr">
        <is>
          <t>        </t>
        </is>
      </c>
      <c r="G44" s="23" t="n">
        <v>266</v>
      </c>
      <c r="H44" s="23" t="n">
        <v>10</v>
      </c>
      <c r="I44" s="23" t="n">
        <v>24</v>
      </c>
      <c r="J44" s="23" t="inlineStr">
        <is>
          <t>978-5-227-04129-6</t>
        </is>
      </c>
      <c r="K44" s="23" t="inlineStr">
        <is>
          <t>75x100 1/32</t>
        </is>
      </c>
      <c r="L44" s="23" t="inlineStr">
        <is>
          <t>мяг</t>
        </is>
      </c>
      <c r="M44" s="23" t="n">
        <v>221</v>
      </c>
      <c r="N44" s="23" t="n">
        <v>2013</v>
      </c>
      <c r="O44" s="23" t="n">
        <v>116</v>
      </c>
      <c r="P44" s="23" t="n"/>
      <c r="Q44" s="23" t="n"/>
      <c r="R44" s="25" t="n"/>
      <c r="S44" s="26">
        <f>HYPERLINK("http://www.cnpol.ru/covers/14227.jpg","фото на сайте")</f>
        <v/>
      </c>
    </row>
    <row r="45" ht="50.1" customHeight="1" s="3">
      <c r="A45" s="23" t="n"/>
      <c r="B45" s="24" t="inlineStr">
        <is>
          <t>15344</t>
        </is>
      </c>
      <c r="C45" s="23" t="inlineStr">
        <is>
          <t>FICTION</t>
        </is>
      </c>
      <c r="D45" s="23" t="inlineStr">
        <is>
          <t>Дермански М.</t>
        </is>
      </c>
      <c r="E45" s="23" t="inlineStr">
        <is>
          <t>Плохая Мари</t>
        </is>
      </c>
      <c r="F45" s="23" t="inlineStr">
        <is>
          <t>        </t>
        </is>
      </c>
      <c r="G45" s="23" t="n">
        <v>266</v>
      </c>
      <c r="H45" s="23" t="n">
        <v>10</v>
      </c>
      <c r="I45" s="23" t="n">
        <v>22</v>
      </c>
      <c r="J45" s="23" t="inlineStr">
        <is>
          <t>978-5-227-05320-6</t>
        </is>
      </c>
      <c r="K45" s="23" t="inlineStr">
        <is>
          <t>75x100 1/32</t>
        </is>
      </c>
      <c r="L45" s="23" t="inlineStr">
        <is>
          <t>мяг</t>
        </is>
      </c>
      <c r="M45" s="23" t="n">
        <v>220</v>
      </c>
      <c r="N45" s="23" t="n">
        <v>2014</v>
      </c>
      <c r="O45" s="23" t="n">
        <v>116</v>
      </c>
      <c r="P45" s="23" t="n"/>
      <c r="Q45" s="23" t="n"/>
      <c r="R45" s="25" t="n"/>
      <c r="S45" s="26">
        <f>HYPERLINK("http://www.cnpol.ru/covers/15344.jpg","фото на сайте")</f>
        <v/>
      </c>
    </row>
    <row r="46" ht="50.1" customHeight="1" s="3">
      <c r="A46" s="23" t="n"/>
      <c r="B46" s="24" t="inlineStr">
        <is>
          <t>14854</t>
        </is>
      </c>
      <c r="C46" s="23" t="inlineStr">
        <is>
          <t>FICTION</t>
        </is>
      </c>
      <c r="D46" s="23" t="inlineStr">
        <is>
          <t>Джованьоли Р.</t>
        </is>
      </c>
      <c r="E46" s="23" t="inlineStr">
        <is>
          <t>Спартак</t>
        </is>
      </c>
      <c r="F46" s="23" t="inlineStr">
        <is>
          <t>        </t>
        </is>
      </c>
      <c r="G46" s="23" t="n">
        <v>374</v>
      </c>
      <c r="H46" s="23" t="n">
        <v>10</v>
      </c>
      <c r="I46" s="23" t="n">
        <v>8</v>
      </c>
      <c r="J46" s="23" t="inlineStr">
        <is>
          <t>978-5-227-04857-8</t>
        </is>
      </c>
      <c r="K46" s="23" t="inlineStr">
        <is>
          <t>75x100 1/32</t>
        </is>
      </c>
      <c r="L46" s="23" t="inlineStr">
        <is>
          <t>мяг</t>
        </is>
      </c>
      <c r="M46" s="23" t="n">
        <v>704</v>
      </c>
      <c r="N46" s="23" t="n">
        <v>2014</v>
      </c>
      <c r="O46" s="23" t="n">
        <v>317</v>
      </c>
      <c r="P46" s="23" t="n"/>
      <c r="Q46" s="23" t="n"/>
      <c r="R46" s="25" t="n"/>
      <c r="S46" s="26">
        <f>HYPERLINK("http://www.cnpol.ru/covers/14854.jpg","фото на сайте")</f>
        <v/>
      </c>
    </row>
    <row r="47" ht="50.1" customHeight="1" s="3">
      <c r="A47" s="23" t="inlineStr">
        <is>
          <t>Н</t>
        </is>
      </c>
      <c r="B47" s="24" t="inlineStr">
        <is>
          <t>22185</t>
        </is>
      </c>
      <c r="C47" s="23" t="inlineStr">
        <is>
          <t>HORROR</t>
        </is>
      </c>
      <c r="D47" s="23" t="inlineStr">
        <is>
          <t>Соул Д.</t>
        </is>
      </c>
      <c r="E47" s="23" t="inlineStr">
        <is>
          <t>Возвращение домой</t>
        </is>
      </c>
      <c r="F47" s="23" t="inlineStr">
        <is>
          <t>        </t>
        </is>
      </c>
      <c r="G47" s="27" t="n">
        <v>1009</v>
      </c>
      <c r="H47" s="23" t="n">
        <v>10</v>
      </c>
      <c r="I47" s="23" t="n">
        <v>10</v>
      </c>
      <c r="J47" s="23" t="inlineStr">
        <is>
          <t>978-5-9524-6707-1</t>
        </is>
      </c>
      <c r="K47" s="23" t="inlineStr">
        <is>
          <t>84x108 1/32</t>
        </is>
      </c>
      <c r="L47" s="23" t="inlineStr">
        <is>
          <t>тв</t>
        </is>
      </c>
      <c r="M47" s="23" t="n">
        <v>319</v>
      </c>
      <c r="N47" s="23" t="n">
        <v>2026</v>
      </c>
      <c r="O47" s="23" t="n">
        <v>434</v>
      </c>
      <c r="P47" s="23" t="n"/>
      <c r="Q47" s="23" t="n"/>
      <c r="R47" s="25" t="inlineStr">
        <is>
          <t>Надежда обрести счастье в новом браке, создав большую дружную семью, обернулась кошмаром для Карен, ее мужа и детей. Сначала едва не умерли, ужаленные пчелами, маленькая Молли и ее сестра Джули. Обеих спас препарат, изобретенный энтомологом Карлом Хендерсоном. Но пчелиный рой продолжал разрастаться, казалось, от этих насекомых нет спасения, они кружили над фермой, проникали в дом, а главное — стали странным образом воздействовать на поведение детей…</t>
        </is>
      </c>
      <c r="S47" s="26">
        <f>HYPERLINK("http://www.cnpol.ru/covers/22185.jpg","фото на сайте")</f>
        <v/>
      </c>
    </row>
    <row r="48" ht="50.1" customHeight="1" s="3">
      <c r="A48" s="23" t="inlineStr">
        <is>
          <t>Н</t>
        </is>
      </c>
      <c r="B48" s="24" t="inlineStr">
        <is>
          <t>22297</t>
        </is>
      </c>
      <c r="C48" s="23" t="inlineStr">
        <is>
          <t>HORROR</t>
        </is>
      </c>
      <c r="D48" s="23" t="inlineStr">
        <is>
          <t>Хатсон Ш</t>
        </is>
      </c>
      <c r="E48" s="23" t="inlineStr">
        <is>
          <t>Среда размножения</t>
        </is>
      </c>
      <c r="F48" s="23" t="inlineStr">
        <is>
          <t>        </t>
        </is>
      </c>
      <c r="G48" s="23" t="n">
        <v>835</v>
      </c>
      <c r="H48" s="23" t="n">
        <v>10</v>
      </c>
      <c r="I48" s="23" t="n">
        <v>12</v>
      </c>
      <c r="J48" s="23" t="inlineStr">
        <is>
          <t>978-5-9524-6745-3</t>
        </is>
      </c>
      <c r="K48" s="23" t="inlineStr">
        <is>
          <t>84x108 1/32</t>
        </is>
      </c>
      <c r="L48" s="23" t="inlineStr">
        <is>
          <t>тв</t>
        </is>
      </c>
      <c r="M48" s="23" t="n">
        <v>223</v>
      </c>
      <c r="N48" s="23" t="n">
        <v>2026</v>
      </c>
      <c r="O48" s="23" t="n">
        <v>288</v>
      </c>
      <c r="P48" s="23" t="n"/>
      <c r="Q48" s="23" t="n"/>
      <c r="R48" s="25" t="inlineStr">
        <is>
          <t>В глубине грязных лондонских канализационных тоннелей находится место размножения омерзительных слизней. Медленно и бесшумно они ползут по сырым, зловонным туннелям под городом в поисках человеческой плоти. Их ненасытная потребность не знает границ. Но теперь они приносят новый ужас, заражая свои жертвы безумием и превращая их в безжалостных убийц. В этом водовороте ужаса полиция, медики и представители власти лихорадочно ищут путь к спасению города...</t>
        </is>
      </c>
      <c r="S48" s="26">
        <f>HYPERLINK("http://www.cnpol.ru/covers/22297.jpg","фото на сайте")</f>
        <v/>
      </c>
    </row>
    <row r="49" ht="50.1" customHeight="1" s="3">
      <c r="A49" s="23" t="inlineStr">
        <is>
          <t>Н</t>
        </is>
      </c>
      <c r="B49" s="24" t="inlineStr">
        <is>
          <t>22202</t>
        </is>
      </c>
      <c r="C49" s="23" t="inlineStr">
        <is>
          <t>HORROR</t>
        </is>
      </c>
      <c r="D49" s="23" t="inlineStr">
        <is>
          <t>Пайва Д.</t>
        </is>
      </c>
      <c r="E49" s="23" t="inlineStr">
        <is>
          <t>Фактор Лилит</t>
        </is>
      </c>
      <c r="F49" s="23" t="inlineStr">
        <is>
          <t>        </t>
        </is>
      </c>
      <c r="G49" s="23" t="n">
        <v>888</v>
      </c>
      <c r="H49" s="23" t="n">
        <v>10</v>
      </c>
      <c r="I49" s="23" t="n">
        <v>10</v>
      </c>
      <c r="J49" s="23" t="inlineStr">
        <is>
          <t>978­5­9524­6716­3</t>
        </is>
      </c>
      <c r="K49" s="23" t="inlineStr">
        <is>
          <t>84x108 1/32</t>
        </is>
      </c>
      <c r="L49" s="23" t="inlineStr">
        <is>
          <t>тв</t>
        </is>
      </c>
      <c r="M49" s="23" t="n">
        <v>255</v>
      </c>
      <c r="N49" s="23" t="n">
        <v>2026</v>
      </c>
      <c r="O49" s="23" t="n">
        <v>322</v>
      </c>
      <c r="P49" s="23" t="n"/>
      <c r="Q49" s="23" t="n"/>
      <c r="R49" s="25" t="inlineStr">
        <is>
          <t>Не все мы дети Евы — уверяет автор увлекательного романа ужасов. Представьте, у Адама была жена до Евы. Ее звали Лилит, и она олицетворяла собой всеохватное зло. Эти древние силы властвуют над героями книги. Лилит жива в Элизе, любящей жене, пытающейся освободиться от своего устрашающего наследия; в ее сестре-близнеце Талии, алчущей власти, жаждущей подчинить сильных мира сего при помощи своей сатанинской чувственности; в Бри, самоотверженной целительнице, стремящейся обратить древние силы зла во благо человека; в Майкле, обреченном на безнадежную борьбу за трон царства тьмы. Лилит жива — а многим суждено погибнуть...</t>
        </is>
      </c>
      <c r="S49" s="26">
        <f>HYPERLINK("http://www.cnpol.ru/covers/22202.jpg","фото на сайте")</f>
        <v/>
      </c>
    </row>
    <row r="50" ht="50.1" customHeight="1" s="3">
      <c r="A50" s="23" t="n"/>
      <c r="B50" s="24" t="inlineStr">
        <is>
          <t>17012</t>
        </is>
      </c>
      <c r="C50" s="23" t="inlineStr">
        <is>
          <t>KISS</t>
        </is>
      </c>
      <c r="D50" s="23" t="inlineStr">
        <is>
          <t>Гилмор Д.</t>
        </is>
      </c>
      <c r="E50" s="23" t="inlineStr">
        <is>
          <t>Абсолютная вера в любовь</t>
        </is>
      </c>
      <c r="F50" s="23" t="n">
        <v>122</v>
      </c>
      <c r="G50" s="23" t="n">
        <v>128</v>
      </c>
      <c r="H50" s="23" t="n">
        <v>10</v>
      </c>
      <c r="I50" s="23" t="n">
        <v>36</v>
      </c>
      <c r="J50" s="23" t="inlineStr">
        <is>
          <t>978-5-227-07050-0</t>
        </is>
      </c>
      <c r="K50" s="23" t="inlineStr">
        <is>
          <t>70x100 1/32</t>
        </is>
      </c>
      <c r="L50" s="23" t="inlineStr">
        <is>
          <t>мяг</t>
        </is>
      </c>
      <c r="M50" s="23" t="n">
        <v>192</v>
      </c>
      <c r="N50" s="23" t="n">
        <v>2016</v>
      </c>
      <c r="O50" s="23" t="n">
        <v>90</v>
      </c>
      <c r="P50" s="23" t="n"/>
      <c r="Q50" s="23" t="n"/>
      <c r="R50" s="25" t="inlineStr">
        <is>
          <t>Стремясь запечатлеть свадебное торжество вплоть до разъезда гостей, мастер фотографии Дейзи Хандингдон­Кросс задержалась в замке и попала в снежный плен. Если бы не темноволосый красавец, предложивший ей убежище в замке, «за которым он присматривал», Дейзи замерзла бы насмерть. Шампанское и жар огня камина разогрели кровь молодых людей, они провели чудесную ночь, а наутро расстались, не собираясь встречаться вновь. Но спустя шесть недель Дейзи, узнав, что беременна, отправилась в замок, чтобы сообщить новость будущему отцу. Там ее ждал невероятный сюрприз…</t>
        </is>
      </c>
      <c r="S50" s="26">
        <f>HYPERLINK("http://www.cnpol.ru/covers/17012.jpg","фото на сайте")</f>
        <v/>
      </c>
    </row>
    <row r="51" ht="50.1" customHeight="1" s="3">
      <c r="A51" s="23" t="n"/>
      <c r="B51" s="24" t="inlineStr">
        <is>
          <t>20223</t>
        </is>
      </c>
      <c r="C51" s="23" t="inlineStr">
        <is>
          <t>KISS</t>
        </is>
      </c>
      <c r="D51" s="23" t="inlineStr">
        <is>
          <t>Шоу Ш.</t>
        </is>
      </c>
      <c r="E51" s="23" t="inlineStr">
        <is>
          <t>Английская роза</t>
        </is>
      </c>
      <c r="F51" s="23" t="n">
        <v>186</v>
      </c>
      <c r="G51" s="23" t="n">
        <v>128</v>
      </c>
      <c r="H51" s="23" t="n">
        <v>10</v>
      </c>
      <c r="I51" s="23" t="n">
        <v>20</v>
      </c>
      <c r="J51" s="23" t="inlineStr">
        <is>
          <t>978-5-227-09696-8</t>
        </is>
      </c>
      <c r="K51" s="23" t="inlineStr">
        <is>
          <t>70x100 1/32</t>
        </is>
      </c>
      <c r="L51" s="23" t="inlineStr">
        <is>
          <t>мяг</t>
        </is>
      </c>
      <c r="M51" s="23" t="n">
        <v>191</v>
      </c>
      <c r="N51" s="23" t="n">
        <v>2022</v>
      </c>
      <c r="O51" s="23" t="n">
        <v>90</v>
      </c>
      <c r="P51" s="23" t="n"/>
      <c r="Q51" s="23" t="n"/>
      <c r="R51" s="25" t="inlineStr">
        <is>
          <t>Карлос Сегарра — знаменитый теннисист, чемпион, красавец, миллионер. Бетси Миллер — скромная студентка, которая подрабатывает экономкой. Они провели вместе лишь одну незабываемую ночь и разошлись, казалось, навсегда. Полтора года спустя Карлос из желтой прессы узнает, что у него есть сын. Он мчится в Англию, желая разоблачить ложь, но, увидев ребенка, понимает, что Себастьян — его сын. У него остается единственный выход: жениться на Бетси.</t>
        </is>
      </c>
      <c r="S51" s="26">
        <f>HYPERLINK("http://www.cnpol.ru/covers/20223.jpg","фото на сайте")</f>
        <v/>
      </c>
    </row>
    <row r="52" ht="50.1" customHeight="1" s="3">
      <c r="A52" s="23" t="n"/>
      <c r="B52" s="24" t="inlineStr">
        <is>
          <t>18640</t>
        </is>
      </c>
      <c r="C52" s="23" t="inlineStr">
        <is>
          <t>KISS</t>
        </is>
      </c>
      <c r="D52" s="23" t="inlineStr">
        <is>
          <t>Чайлд М.</t>
        </is>
      </c>
      <c r="E52" s="23" t="inlineStr">
        <is>
          <t>Аромат нежданной любви</t>
        </is>
      </c>
      <c r="F52" s="23" t="n">
        <v>164</v>
      </c>
      <c r="G52" s="23" t="n">
        <v>128</v>
      </c>
      <c r="H52" s="23" t="n">
        <v>10</v>
      </c>
      <c r="I52" s="23" t="n">
        <v>30</v>
      </c>
      <c r="J52" s="23" t="inlineStr">
        <is>
          <t>978-5-227-08564-1</t>
        </is>
      </c>
      <c r="K52" s="23" t="inlineStr">
        <is>
          <t>70x100 1/32</t>
        </is>
      </c>
      <c r="L52" s="23" t="inlineStr">
        <is>
          <t>мяг</t>
        </is>
      </c>
      <c r="M52" s="23" t="n">
        <v>192</v>
      </c>
      <c r="N52" s="23" t="n">
        <v>2019</v>
      </c>
      <c r="O52" s="23" t="n">
        <v>90</v>
      </c>
      <c r="P52" s="23" t="n"/>
      <c r="Q52" s="23" t="n"/>
      <c r="R52" s="25" t="inlineStr">
        <is>
          <t>Известный адвокат по бракоразводным делам Рид Хадсон твердо убежден: счастливые браки — невозможны. Убежденный холостяк, он и не помышляет о семье, пока однажды в его офисе не появляется Лайла Стронг — сногсшибательная рыжеволосая красотка с младенцем на руках. Нежданная гостья приносит Риду печальную весть о гибели его сестры. Теперь на плечи Рида ложатся заботы о  племяннице, и Лайла соглашается на время стать няней малышки, которую любит всей душой. Рид изо всех сил сопротивляется вспыхнувшим к Лайле чувствам, но его разум туманит неодолимая страсть. И циничного адвоката увлекает аромат нежданной любви.</t>
        </is>
      </c>
      <c r="S52" s="26">
        <f>HYPERLINK("http://www.cnpol.ru/covers/18640.jpg","фото на сайте")</f>
        <v/>
      </c>
    </row>
    <row r="53" ht="50.1" customHeight="1" s="3">
      <c r="A53" s="23" t="n"/>
      <c r="B53" s="24" t="inlineStr">
        <is>
          <t>16776</t>
        </is>
      </c>
      <c r="C53" s="23" t="inlineStr">
        <is>
          <t>KISS</t>
        </is>
      </c>
      <c r="D53" s="23" t="inlineStr">
        <is>
          <t>Бейли Р.</t>
        </is>
      </c>
      <c r="E53" s="23" t="inlineStr">
        <is>
          <t>Аукцион страсти</t>
        </is>
      </c>
      <c r="F53" s="23" t="n">
        <v>106</v>
      </c>
      <c r="G53" s="23" t="n">
        <v>128</v>
      </c>
      <c r="H53" s="23" t="n">
        <v>10</v>
      </c>
      <c r="I53" s="23" t="n">
        <v>36</v>
      </c>
      <c r="J53" s="23" t="inlineStr">
        <is>
          <t>978-5-227-06750-0</t>
        </is>
      </c>
      <c r="K53" s="23" t="inlineStr">
        <is>
          <t>70x100 1/32</t>
        </is>
      </c>
      <c r="L53" s="23" t="inlineStr">
        <is>
          <t>мяг</t>
        </is>
      </c>
      <c r="M53" s="23" t="n">
        <v>192</v>
      </c>
      <c r="N53" s="23" t="n">
        <v>2016</v>
      </c>
      <c r="O53" s="23" t="n">
        <v>90</v>
      </c>
      <c r="P53" s="23" t="n"/>
      <c r="Q53" s="23" t="n"/>
      <c r="R53" s="25" t="inlineStr">
        <is>
          <t>Дилан Хоук, директор цветочного бизнеса, участвует в аукционе холостяков. Победительница, рыжеволосая красавица Фейт Кроуфорд, сразу же вызывает у него симпатию. Девушка выиграла три свидания. И хотя ее целью была карьера, а не романтические отношения с боссом, ведь это недопустимо, неизбежное произошло — страсть бросила их друг другу в объятия. А что дальше? Он — глава корпорации, на которую Фейт работает, да еще и записной ловелас, меняет подружек, ни к кому не привязываясь. Разве можно влюбляться в таких мужчин? Но сердце не хочет слушать доводов рассудка…</t>
        </is>
      </c>
      <c r="S53" s="26">
        <f>HYPERLINK("http://www.cnpol.ru/covers/16776.jpg","фото на сайте")</f>
        <v/>
      </c>
    </row>
    <row r="54" ht="50.1" customHeight="1" s="3">
      <c r="A54" s="23" t="n"/>
      <c r="B54" s="24" t="inlineStr">
        <is>
          <t>16240</t>
        </is>
      </c>
      <c r="C54" s="23" t="inlineStr">
        <is>
          <t>KISS</t>
        </is>
      </c>
      <c r="D54" s="23" t="inlineStr">
        <is>
          <t>Милн Н.</t>
        </is>
      </c>
      <c r="E54" s="23" t="inlineStr">
        <is>
          <t>Бесценный приз</t>
        </is>
      </c>
      <c r="F54" s="23" t="n">
        <v>73</v>
      </c>
      <c r="G54" s="23" t="n">
        <v>128</v>
      </c>
      <c r="H54" s="23" t="n">
        <v>10</v>
      </c>
      <c r="I54" s="23" t="n">
        <v>36</v>
      </c>
      <c r="J54" s="23" t="inlineStr">
        <is>
          <t>978-5-227-06171-3</t>
        </is>
      </c>
      <c r="K54" s="23" t="inlineStr">
        <is>
          <t>70x100 1/32</t>
        </is>
      </c>
      <c r="L54" s="23" t="inlineStr">
        <is>
          <t>мяг</t>
        </is>
      </c>
      <c r="M54" s="23" t="n">
        <v>158</v>
      </c>
      <c r="N54" s="23" t="n">
        <v>2015</v>
      </c>
      <c r="O54" s="23" t="n">
        <v>90</v>
      </c>
      <c r="P54" s="23" t="n"/>
      <c r="Q54" s="23" t="n"/>
      <c r="R54" s="25" t="inlineStr">
        <is>
          <t>Оливия Эванс, девушка красивая, умная и решительная, проникла на закрытую вечеринку, организованную Адамом Мастерсоном, красавцем миллиардером, за которым охотятся все молодые светские львицы в надежде заполучить богатого мужа. У Оливии иная цель: с помощью Адама она надеется связаться с его отцом, от ко­торого ее мать ждет ребенка. Рискуя сломать себе шею или угодить за решетку, она с трудом преодолела все преграды и сразу же угодила прямо в руки Адама Мастерсона, который, разумеется, решил, что перед ним охотница за миллиардерами…</t>
        </is>
      </c>
      <c r="S54" s="26">
        <f>HYPERLINK("http://www.cnpol.ru/covers/16240.jpg","фото на сайте")</f>
        <v/>
      </c>
    </row>
    <row r="55" ht="50.1" customHeight="1" s="3">
      <c r="A55" s="23" t="n"/>
      <c r="B55" s="24" t="inlineStr">
        <is>
          <t>16471</t>
        </is>
      </c>
      <c r="C55" s="23" t="inlineStr">
        <is>
          <t>KISS</t>
        </is>
      </c>
      <c r="D55" s="23" t="inlineStr">
        <is>
          <t>Гордон Л.</t>
        </is>
      </c>
      <c r="E55" s="23" t="inlineStr">
        <is>
          <t>Благословение вечной любви</t>
        </is>
      </c>
      <c r="F55" s="23" t="n">
        <v>87</v>
      </c>
      <c r="G55" s="23" t="n">
        <v>128</v>
      </c>
      <c r="H55" s="23" t="n">
        <v>10</v>
      </c>
      <c r="I55" s="23" t="n">
        <v>36</v>
      </c>
      <c r="J55" s="23" t="inlineStr">
        <is>
          <t>978-5-227-06368-7</t>
        </is>
      </c>
      <c r="K55" s="23" t="inlineStr">
        <is>
          <t>70x100 1/32</t>
        </is>
      </c>
      <c r="L55" s="23" t="inlineStr">
        <is>
          <t>мяг</t>
        </is>
      </c>
      <c r="M55" s="23" t="n">
        <v>192</v>
      </c>
      <c r="N55" s="23" t="n">
        <v>2016</v>
      </c>
      <c r="O55" s="23" t="n">
        <v>90</v>
      </c>
      <c r="P55" s="23" t="n"/>
      <c r="Q55" s="23" t="n"/>
      <c r="R55" s="25" t="inlineStr">
        <is>
          <t>В надежде получить работу английская журналистка Наташа Бейтс решила принять участие в рекламной кампании Вероны. В этом романтичном городе два года назад Наташа провела несколько дней с местным красавцем Марио Ферроне, который в итоге жестоко разбил ей сердце. И вот она вновь в Вероне, уверенная в том, что сможет забыть прошлое и начать новую жизнь. Но не тут­то было: в новом работодателе она узнает виновника своих страданий, ко­варного Марио!  И как же им теперь поддерживать исключительно деловые отношения в городе любви, где история Ромео и Джульетты буквально преследует Наташу и Марио…</t>
        </is>
      </c>
      <c r="S55" s="26">
        <f>HYPERLINK("http://www.cnpol.ru/covers/16471.jpg","фото на сайте")</f>
        <v/>
      </c>
    </row>
    <row r="56" ht="50.1" customHeight="1" s="3">
      <c r="A56" s="23" t="n"/>
      <c r="B56" s="24" t="inlineStr">
        <is>
          <t>16359</t>
        </is>
      </c>
      <c r="C56" s="23" t="inlineStr">
        <is>
          <t>KISS</t>
        </is>
      </c>
      <c r="D56" s="23" t="inlineStr">
        <is>
          <t>Вуд Джосс</t>
        </is>
      </c>
      <c r="E56" s="23" t="inlineStr">
        <is>
          <t>Брат лучшей подруги</t>
        </is>
      </c>
      <c r="F56" s="23" t="n">
        <v>79</v>
      </c>
      <c r="G56" s="23" t="n">
        <v>128</v>
      </c>
      <c r="H56" s="23" t="n">
        <v>10</v>
      </c>
      <c r="I56" s="23" t="n">
        <v>36</v>
      </c>
      <c r="J56" s="23" t="inlineStr">
        <is>
          <t>978-5-227-06208-6</t>
        </is>
      </c>
      <c r="K56" s="23" t="inlineStr">
        <is>
          <t>70x100 1/32</t>
        </is>
      </c>
      <c r="L56" s="23" t="inlineStr">
        <is>
          <t>мяг</t>
        </is>
      </c>
      <c r="M56" s="23" t="n">
        <v>189</v>
      </c>
      <c r="N56" s="23" t="n">
        <v>2015</v>
      </c>
      <c r="O56" s="23" t="n">
        <v>90</v>
      </c>
      <c r="P56" s="23" t="n"/>
      <c r="Q56" s="23" t="n"/>
      <c r="R56" s="25" t="inlineStr">
        <is>
          <t>У взбалмошной Роуэн Данн, занимающейся торговлей антиквариатом, все шло хорошо, пока из­за недоразумения на паспортном контроле ее не депортировали обратно в ЮАР. Застряв в аэропорту, она помнила только два телефонных номера — родителей (это точно не вариант!) и брата лучшей подруги. Ситуация патовая, но выбора нет. Надо звонить Себу Холлису с просьбой о помощи… Он оказался даже сексуальнее, чем она помнила, и это бесило ее. Не пора ли забраться в постель к врагу?</t>
        </is>
      </c>
      <c r="S56" s="26">
        <f>HYPERLINK("http://www.cnpol.ru/covers/16359.jpg","фото на сайте")</f>
        <v/>
      </c>
    </row>
    <row r="57" ht="50.1" customHeight="1" s="3">
      <c r="A57" s="23" t="n"/>
      <c r="B57" s="24" t="inlineStr">
        <is>
          <t>16382</t>
        </is>
      </c>
      <c r="C57" s="23" t="inlineStr">
        <is>
          <t>KISS</t>
        </is>
      </c>
      <c r="D57" s="23" t="inlineStr">
        <is>
          <t>Линдсей И.</t>
        </is>
      </c>
      <c r="E57" s="23" t="inlineStr">
        <is>
          <t>Брачная сделка</t>
        </is>
      </c>
      <c r="F57" s="23" t="n">
        <v>82</v>
      </c>
      <c r="G57" s="23" t="n">
        <v>128</v>
      </c>
      <c r="H57" s="23" t="n">
        <v>10</v>
      </c>
      <c r="I57" s="23" t="n">
        <v>36</v>
      </c>
      <c r="J57" s="23" t="inlineStr">
        <is>
          <t>978-5-227-06267-3</t>
        </is>
      </c>
      <c r="K57" s="23" t="inlineStr">
        <is>
          <t>70x100 1/32</t>
        </is>
      </c>
      <c r="L57" s="23" t="inlineStr">
        <is>
          <t>мяг</t>
        </is>
      </c>
      <c r="M57" s="23" t="n">
        <v>189</v>
      </c>
      <c r="N57" s="23" t="n">
        <v>2015</v>
      </c>
      <c r="O57" s="23" t="n">
        <v>90</v>
      </c>
      <c r="P57" s="23" t="n"/>
      <c r="Q57" s="23" t="n"/>
      <c r="R57" s="25" t="inlineStr">
        <is>
          <t>Шанал Пит — талантливый ученый и красивая девушка, казалось, все для себя решила: удачный брак спасет ее от финансовых и жизненных проблем. Она и сама не ожидала, что сбежит от бо­гатого жениха прямо от алтаря без документов и денег. Девушка не знала, где укроется от человека, сумевшего опутать ее обязательствами, но рядом оказался Рейф Мастерз, он предоставил ей убежище. С детства влюбленный в Шанал, Рейф не понимал, как она могла согласиться на брак с Бертоном Роджерсом, человеком бездушным и жестоким. И когда все же незадачливая невеста вернулась к жениху, Мастерз решил во что бы то ни стало докопатся до истины и защитить Шанал от Роджерса...</t>
        </is>
      </c>
      <c r="S57" s="26">
        <f>HYPERLINK("http://www.cnpol.ru/covers/16382.jpg","фото на сайте")</f>
        <v/>
      </c>
    </row>
    <row r="58" ht="50.1" customHeight="1" s="3">
      <c r="A58" s="23" t="n"/>
      <c r="B58" s="24" t="inlineStr">
        <is>
          <t>17100</t>
        </is>
      </c>
      <c r="C58" s="23" t="inlineStr">
        <is>
          <t>KISS</t>
        </is>
      </c>
      <c r="D58" s="23" t="inlineStr">
        <is>
          <t>Лоренс А.</t>
        </is>
      </c>
      <c r="E58" s="23" t="inlineStr">
        <is>
          <t>Будь моей королевой</t>
        </is>
      </c>
      <c r="F58" s="23" t="n">
        <v>128</v>
      </c>
      <c r="G58" s="23" t="n">
        <v>128</v>
      </c>
      <c r="H58" s="23" t="n">
        <v>10</v>
      </c>
      <c r="I58" s="23" t="n">
        <v>36</v>
      </c>
      <c r="J58" s="23" t="inlineStr">
        <is>
          <t>978-5-227-07102-6</t>
        </is>
      </c>
      <c r="K58" s="23" t="inlineStr">
        <is>
          <t>70x100 1/32</t>
        </is>
      </c>
      <c r="L58" s="23" t="inlineStr">
        <is>
          <t>мяг</t>
        </is>
      </c>
      <c r="M58" s="23" t="n">
        <v>192</v>
      </c>
      <c r="N58" s="23" t="n">
        <v>2016</v>
      </c>
      <c r="O58" s="23" t="n">
        <v>90</v>
      </c>
      <c r="P58" s="23" t="n"/>
      <c r="Q58" s="23" t="n"/>
      <c r="R58" s="25" t="inlineStr">
        <is>
          <t>Неожиданно Габриэлю Монторо было передано право стать королем небольшого островного государства Алма. Теперь веселый гуляка Габриэль вынужден жить, сообразуясь со строгими правилами этикета. На невыразимо скучной прощальной вечеринке перед вылетом в Алму Габриэль увидел красавицу Серафию, свою тайную юношескую любовь, образованную и прекрасно воспитанную женщину. Он понял, что его по­прежнему влечет к ней. Не желая расставаться с Серафией, Габриэль просит ее помочь ему стать достойным королем, втайне мечтая видеть ее своей королевой…</t>
        </is>
      </c>
      <c r="S58" s="26">
        <f>HYPERLINK("http://www.cnpol.ru/covers/17100.jpg","фото на сайте")</f>
        <v/>
      </c>
    </row>
    <row r="59" ht="50.1" customHeight="1" s="3">
      <c r="A59" s="23" t="n"/>
      <c r="B59" s="24" t="inlineStr">
        <is>
          <t>17120</t>
        </is>
      </c>
      <c r="C59" s="23" t="inlineStr">
        <is>
          <t>KISS</t>
        </is>
      </c>
      <c r="D59" s="23" t="inlineStr">
        <is>
          <t>Фэй Д.</t>
        </is>
      </c>
      <c r="E59" s="23" t="inlineStr">
        <is>
          <t>В водовороте чувств</t>
        </is>
      </c>
      <c r="F59" s="23" t="n">
        <v>129</v>
      </c>
      <c r="G59" s="23" t="n">
        <v>128</v>
      </c>
      <c r="H59" s="23" t="n">
        <v>10</v>
      </c>
      <c r="I59" s="23" t="n">
        <v>36</v>
      </c>
      <c r="J59" s="23" t="inlineStr">
        <is>
          <t>978-5-227-07103-3</t>
        </is>
      </c>
      <c r="K59" s="23" t="inlineStr">
        <is>
          <t>70x100 1/32</t>
        </is>
      </c>
      <c r="L59" s="23" t="inlineStr">
        <is>
          <t>мяг</t>
        </is>
      </c>
      <c r="M59" s="23" t="n">
        <v>160</v>
      </c>
      <c r="N59" s="23" t="n">
        <v>2016</v>
      </c>
      <c r="O59" s="23" t="n">
        <v>90</v>
      </c>
      <c r="P59" s="23" t="n"/>
      <c r="Q59" s="23" t="n"/>
      <c r="R59" s="25" t="inlineStr">
        <is>
          <t>Анджело Аматуччи, основатель и генеральный директор ведущего рекламного агентства Нью­Йорка, отправляется в Италию в родной городок Монте­Каланетти, чтобы уладить дела семьи. Его сопровождает Кайла Хилл — одна из сотрудниц фирмы, скромная, усердная и весьма целеустремленная девушка. Плодотворная работа над общим проектом под жарким солнцем Тосканы сближает босса и его помощницу, но Анджело не позволяет эмоциям одержать над собой верх и разрывает эту волнительную связь. Однако любовь, зародившаяся в его сердце, не позволяет забыть счастливые дни, проведенные вместе с Кайлой…</t>
        </is>
      </c>
      <c r="S59" s="26">
        <f>HYPERLINK("http://www.cnpol.ru/covers/17120.jpg","фото на сайте")</f>
        <v/>
      </c>
    </row>
    <row r="60" ht="50.1" customHeight="1" s="3">
      <c r="A60" s="23" t="n"/>
      <c r="B60" s="24" t="inlineStr">
        <is>
          <t>15833</t>
        </is>
      </c>
      <c r="C60" s="23" t="inlineStr">
        <is>
          <t>KISS</t>
        </is>
      </c>
      <c r="D60" s="23" t="inlineStr">
        <is>
          <t>Харрингтон Н.</t>
        </is>
      </c>
      <c r="E60" s="23" t="inlineStr">
        <is>
          <t>Великолепная пара</t>
        </is>
      </c>
      <c r="F60" s="23" t="n">
        <v>45</v>
      </c>
      <c r="G60" s="23" t="n">
        <v>128</v>
      </c>
      <c r="H60" s="23" t="n">
        <v>10</v>
      </c>
      <c r="I60" s="23" t="n">
        <v>36</v>
      </c>
      <c r="J60" s="23" t="inlineStr">
        <is>
          <t>978-5-227-05810-2</t>
        </is>
      </c>
      <c r="K60" s="23" t="inlineStr">
        <is>
          <t>70x100 1/32</t>
        </is>
      </c>
      <c r="L60" s="23" t="inlineStr">
        <is>
          <t>мяг</t>
        </is>
      </c>
      <c r="M60" s="23" t="n">
        <v>190</v>
      </c>
      <c r="N60" s="23" t="n">
        <v>2015</v>
      </c>
      <c r="O60" s="23" t="n">
        <v>90</v>
      </c>
      <c r="P60" s="23" t="n"/>
      <c r="Q60" s="23" t="n"/>
      <c r="R60" s="25" t="inlineStr">
        <is>
          <t>У молодой, амбициозной и страстно влюбленной в чай Ди Флинн есть заветная мечта: создать собственный бизнес по импорту и продаже чая. В надежде проявить себя и завязать нужные деловые знакомства Ди вызвалась провести ежегодный Лондонский фестиваль чая. Для такого значимого события она арендовала конференц­зал в отеле «Бересфорд». И все шло по плану, пока за пару недель до фестиваля в дверь чайной, где она работала, не постучал Шон Бересфорд, сын владельца отеля, с шокирующим известием…</t>
        </is>
      </c>
      <c r="S60" s="26">
        <f>HYPERLINK("http://www.cnpol.ru/covers/15833.jpg","фото на сайте")</f>
        <v/>
      </c>
    </row>
    <row r="61" ht="50.1" customHeight="1" s="3">
      <c r="A61" s="23" t="n"/>
      <c r="B61" s="24" t="inlineStr">
        <is>
          <t>16381</t>
        </is>
      </c>
      <c r="C61" s="23" t="inlineStr">
        <is>
          <t>KISS</t>
        </is>
      </c>
      <c r="D61" s="23" t="inlineStr">
        <is>
          <t>Харрингтон Н.</t>
        </is>
      </c>
      <c r="E61" s="23" t="inlineStr">
        <is>
          <t>Вечер полный сюрпризов</t>
        </is>
      </c>
      <c r="F61" s="23" t="n">
        <v>81</v>
      </c>
      <c r="G61" s="23" t="n">
        <v>128</v>
      </c>
      <c r="H61" s="23" t="n">
        <v>10</v>
      </c>
      <c r="I61" s="23" t="n">
        <v>36</v>
      </c>
      <c r="J61" s="23" t="inlineStr">
        <is>
          <t>978-5-227-06266-6</t>
        </is>
      </c>
      <c r="K61" s="23" t="inlineStr">
        <is>
          <t>70x100 1/32</t>
        </is>
      </c>
      <c r="L61" s="23" t="inlineStr">
        <is>
          <t>мяг</t>
        </is>
      </c>
      <c r="M61" s="23" t="n">
        <v>189</v>
      </c>
      <c r="N61" s="23" t="n">
        <v>2015</v>
      </c>
      <c r="O61" s="23" t="n">
        <v>90</v>
      </c>
      <c r="P61" s="23" t="n"/>
      <c r="Q61" s="23" t="n"/>
      <c r="R61" s="25" t="inlineStr">
        <is>
          <t>Бросив престижную, высокооплачиваемую, но ненавистную работу в банке, Лотти Роузмаунт открывает чайную­кондитерскую на оживленной улице Лондона. Судьба вновь сталкивает ее с прекрасным и ужасным Робом Бересфордом, шеф­поваром и совладельцем международной сети отелей «Бересфорд». Три года назад Роб едва не разрушил будущее Лотти. Он красив, богат, знаменит и пользуется бешеным успехом у женщин, с которыми заводит короткие интрижки. Теперь он обратил внимание на мисс Роузмаунт и предложил ей короткий роман. Лотти восхищается Робом, ее влечет к нему, но ей нужны надежные отношения, она мечтает о семье, о детях...</t>
        </is>
      </c>
      <c r="S61" s="26">
        <f>HYPERLINK("http://www.cnpol.ru/covers/16381.jpg","фото на сайте")</f>
        <v/>
      </c>
    </row>
    <row r="62" ht="50.1" customHeight="1" s="3">
      <c r="A62" s="23" t="n"/>
      <c r="B62" s="24" t="inlineStr">
        <is>
          <t>17025</t>
        </is>
      </c>
      <c r="C62" s="23" t="inlineStr">
        <is>
          <t>KISS</t>
        </is>
      </c>
      <c r="D62" s="23" t="inlineStr">
        <is>
          <t>Даркинс Э.</t>
        </is>
      </c>
      <c r="E62" s="23" t="inlineStr">
        <is>
          <t>Волшебная ночь в Риме</t>
        </is>
      </c>
      <c r="F62" s="23" t="n">
        <v>124</v>
      </c>
      <c r="G62" s="23" t="n">
        <v>128</v>
      </c>
      <c r="H62" s="23" t="n">
        <v>10</v>
      </c>
      <c r="I62" s="23" t="n">
        <v>36</v>
      </c>
      <c r="J62" s="23" t="inlineStr">
        <is>
          <t>978-5-227-07052-4</t>
        </is>
      </c>
      <c r="K62" s="23" t="inlineStr">
        <is>
          <t>70x100 1/32</t>
        </is>
      </c>
      <c r="L62" s="23" t="inlineStr">
        <is>
          <t>мяг</t>
        </is>
      </c>
      <c r="M62" s="23" t="n">
        <v>192</v>
      </c>
      <c r="N62" s="23" t="n">
        <v>2016</v>
      </c>
      <c r="O62" s="23" t="n">
        <v>90</v>
      </c>
      <c r="P62" s="23" t="n"/>
      <c r="Q62" s="23" t="n"/>
      <c r="R62" s="25" t="inlineStr">
        <is>
          <t>Лили стала приемной матерью для своей новорожденной племянницы абсолютно случайно. А Ник совершенно не выносит младенцев, потому что они ему напоминают о том, что несколько лет назад он потерпел фиаско как отец и муж. Лили и Ник давно потеряли надежду обрести личное счастье. И у каждого из них на это свои причины. Но их с первой встречи как магнитом тянет друг к другу. И хотя они уверены, что любовный союз между ними невозможен, противиться своим чувствам они не в силах…</t>
        </is>
      </c>
      <c r="S62" s="26">
        <f>HYPERLINK("http://www.cnpol.ru/covers/17025.jpg","фото на сайте")</f>
        <v/>
      </c>
    </row>
    <row r="63" ht="50.1" customHeight="1" s="3">
      <c r="A63" s="23" t="n"/>
      <c r="B63" s="24" t="inlineStr">
        <is>
          <t>17945</t>
        </is>
      </c>
      <c r="C63" s="23" t="inlineStr">
        <is>
          <t>KISS</t>
        </is>
      </c>
      <c r="D63" s="23" t="inlineStr">
        <is>
          <t>Кэнтрелл К.</t>
        </is>
      </c>
      <c r="E63" s="23" t="inlineStr">
        <is>
          <t>Все еще люблю</t>
        </is>
      </c>
      <c r="F63" s="23" t="n">
        <v>151</v>
      </c>
      <c r="G63" s="23" t="n">
        <v>128</v>
      </c>
      <c r="H63" s="23" t="n">
        <v>10</v>
      </c>
      <c r="I63" s="23" t="n">
        <v>36</v>
      </c>
      <c r="J63" s="23" t="inlineStr">
        <is>
          <t>978-5-227-08010-3</t>
        </is>
      </c>
      <c r="K63" s="23" t="inlineStr">
        <is>
          <t>70x100 1/32</t>
        </is>
      </c>
      <c r="L63" s="23" t="inlineStr">
        <is>
          <t>мяг</t>
        </is>
      </c>
      <c r="M63" s="23" t="n">
        <v>192</v>
      </c>
      <c r="N63" s="23" t="n">
        <v>2018</v>
      </c>
      <c r="O63" s="23" t="n">
        <v>90</v>
      </c>
      <c r="P63" s="23" t="n"/>
      <c r="Q63" s="23" t="n"/>
      <c r="R63" s="25" t="inlineStr">
        <is>
          <t>Лишь спустя год после авиакатастрофы миллиардер Антонио Каваллари смог вернуться домой. Он не помнит Кейтлин, женщину, которая открыла ему дверь и заявила, что она сестра его погибшей жены, кроме того, суррогатная мать троих его детей. Антонио понятия не имеет, что Кейт горячо любит его с первой их встречи и обожает его малышей, которым она стала настоящей матерью. Молодая женщина счастлива — любимый жив и вернулся домой. Но ведь это его дом и его дети, он имеет полное право потребовать, чтобы она ушла. Однако Антонио, хотя и не сразу, понимает — он не хочет, чтобы Кейт покинула его дом…</t>
        </is>
      </c>
      <c r="S63" s="26">
        <f>HYPERLINK("http://www.cnpol.ru/covers/17945.jpg","фото на сайте")</f>
        <v/>
      </c>
    </row>
    <row r="64" ht="50.1" customHeight="1" s="3">
      <c r="A64" s="23" t="n"/>
      <c r="B64" s="24" t="inlineStr">
        <is>
          <t>20337</t>
        </is>
      </c>
      <c r="C64" s="23" t="inlineStr">
        <is>
          <t>KISS</t>
        </is>
      </c>
      <c r="D64" s="23" t="inlineStr">
        <is>
          <t>Вуд Джосс</t>
        </is>
      </c>
      <c r="E64" s="23" t="inlineStr">
        <is>
          <t>Вторая половинка</t>
        </is>
      </c>
      <c r="F64" s="23" t="n">
        <v>187</v>
      </c>
      <c r="G64" s="23" t="n">
        <v>128</v>
      </c>
      <c r="H64" s="23" t="n">
        <v>10</v>
      </c>
      <c r="I64" s="23" t="n">
        <v>20</v>
      </c>
      <c r="J64" s="23" t="inlineStr">
        <is>
          <t>978-5-227-09932-7</t>
        </is>
      </c>
      <c r="K64" s="23" t="inlineStr">
        <is>
          <t>70x100 1/32</t>
        </is>
      </c>
      <c r="L64" s="23" t="inlineStr">
        <is>
          <t>мяг</t>
        </is>
      </c>
      <c r="M64" s="23" t="n">
        <v>191</v>
      </c>
      <c r="N64" s="23" t="n">
        <v>2022</v>
      </c>
      <c r="O64" s="23" t="n">
        <v>90</v>
      </c>
      <c r="P64" s="23" t="n"/>
      <c r="Q64" s="23" t="n"/>
      <c r="R64" s="25" t="inlineStr">
        <is>
          <t>Сэди Слейд — искусствовед, она молода, красива, умна, но уже знает, что такое неудачный брак и тяжелый развод. Милый и обаятельный с посторонними Денис, ее красавец муж, с женой был бесчувственным и жестоким манипулятором. Судьба свела Сэди с директором аукционного дома — красивым и обаятельным Карриком Мерфи, она влюбилась, хотя печальный личный опыт заставлял ее сомневаться в искренности чувств Каррика, тем более что его бывшая жена распространяла о нем ужасные сплетни. Но сердце Сэди шептало ей, что не всем слухам следует доверять…</t>
        </is>
      </c>
      <c r="S64" s="26">
        <f>HYPERLINK("http://www.cnpol.ru/covers/20337.jpg","фото на сайте")</f>
        <v/>
      </c>
    </row>
    <row r="65" ht="50.1" customHeight="1" s="3">
      <c r="A65" s="23" t="n"/>
      <c r="B65" s="24" t="inlineStr">
        <is>
          <t>16402</t>
        </is>
      </c>
      <c r="C65" s="23" t="inlineStr">
        <is>
          <t>KISS</t>
        </is>
      </c>
      <c r="D65" s="23" t="inlineStr">
        <is>
          <t>Логан Н.</t>
        </is>
      </c>
      <c r="E65" s="23" t="inlineStr">
        <is>
          <t>Выбор ее сердца</t>
        </is>
      </c>
      <c r="F65" s="23" t="n">
        <v>84</v>
      </c>
      <c r="G65" s="23" t="n">
        <v>128</v>
      </c>
      <c r="H65" s="23" t="n">
        <v>10</v>
      </c>
      <c r="I65" s="23" t="n">
        <v>36</v>
      </c>
      <c r="J65" s="23" t="inlineStr">
        <is>
          <t>978-5-227-06365-6</t>
        </is>
      </c>
      <c r="K65" s="23" t="inlineStr">
        <is>
          <t>70x100 1/32</t>
        </is>
      </c>
      <c r="L65" s="23" t="inlineStr">
        <is>
          <t>мяг</t>
        </is>
      </c>
      <c r="M65" s="23" t="n">
        <v>189</v>
      </c>
      <c r="N65" s="23" t="n">
        <v>2016</v>
      </c>
      <c r="O65" s="23" t="n">
        <v>90</v>
      </c>
      <c r="P65" s="23" t="n"/>
      <c r="Q65" s="23" t="n"/>
      <c r="R65" s="25" t="inlineStr">
        <is>
          <t>Вот уже год Эвелин Рид разыскивает своего пропавшего брата. Молодая красивая женщина одна колесит по дорогам Австралии в автофургоне и расклеивает объявления. Однажды на пустынном шоссе она наткнулась на потерпевшего аварию Маршалла Салливана, большого, умного, доброго человека и убежденного холостяка. Что­то в Эвелин тронуло его сердце, он принял участие в ее горе. Страсть бросила их друг к другу, и Маршалл понял, что эта женщина создана для него, но на его призыв, хотя и с болью в сердце, Эва ответила отказом, ведь у нее другая цель. И тогда он решил помочь ей, пусть даже она его об этом не просила…</t>
        </is>
      </c>
      <c r="S65" s="26">
        <f>HYPERLINK("http://www.cnpol.ru/covers/16402.jpg","фото на сайте")</f>
        <v/>
      </c>
    </row>
    <row r="66" ht="50.1" customHeight="1" s="3">
      <c r="A66" s="23" t="inlineStr">
        <is>
          <t>Н</t>
        </is>
      </c>
      <c r="B66" s="24" t="inlineStr">
        <is>
          <t>21203</t>
        </is>
      </c>
      <c r="C66" s="23" t="inlineStr">
        <is>
          <t>KISS</t>
        </is>
      </c>
      <c r="D66" s="23" t="inlineStr">
        <is>
          <t>Вуд Джосс</t>
        </is>
      </c>
      <c r="E66" s="23" t="inlineStr">
        <is>
          <t>Горячая встреча</t>
        </is>
      </c>
      <c r="F66" s="23" t="n">
        <v>193</v>
      </c>
      <c r="G66" s="23" t="n">
        <v>128</v>
      </c>
      <c r="H66" s="23" t="n">
        <v>10</v>
      </c>
      <c r="I66" s="23" t="n">
        <v>20</v>
      </c>
      <c r="J66" s="23" t="inlineStr">
        <is>
          <t>978-5-227-10512-7</t>
        </is>
      </c>
      <c r="K66" s="23" t="inlineStr">
        <is>
          <t>70x100 1/32</t>
        </is>
      </c>
      <c r="L66" s="23" t="inlineStr">
        <is>
          <t>мяг</t>
        </is>
      </c>
      <c r="M66" s="23" t="n">
        <v>191</v>
      </c>
      <c r="N66" s="23" t="n">
        <v>2024</v>
      </c>
      <c r="O66" s="23" t="n">
        <v>90</v>
      </c>
      <c r="P66" s="23" t="n"/>
      <c r="Q66" s="23" t="n"/>
      <c r="R66" s="25" t="inlineStr">
        <is>
          <t>Айша Шетти многого добилась с тех пор, как ушла от мужа, которого отчаянно любила, но больше не могла вынести его, как ей казалось, несерьезного отношения к ней. Теперь она топ-менеджер в успешной компании, ее уважают, с ней считаются. Заключив очередной выгодный контракт, Айша неожиданно узнает, что ей придется работать вместе с бывшим мужем, и понимает, что по-прежнему любит его, а он, как и десять лет назад, желает обладать ею, но не видит в ней самостоятельную, независимую личность…</t>
        </is>
      </c>
      <c r="S66" s="26">
        <f>HYPERLINK("http://www.cnpol.ru/covers/21203.jpg","фото на сайте")</f>
        <v/>
      </c>
    </row>
    <row r="67" ht="50.1" customHeight="1" s="3">
      <c r="A67" s="23" t="n"/>
      <c r="B67" s="24" t="inlineStr">
        <is>
          <t>16693</t>
        </is>
      </c>
      <c r="C67" s="23" t="inlineStr">
        <is>
          <t>KISS</t>
        </is>
      </c>
      <c r="D67" s="23" t="inlineStr">
        <is>
          <t>Уинтерз Р.</t>
        </is>
      </c>
      <c r="E67" s="23" t="inlineStr">
        <is>
          <t>Греческая свадьба</t>
        </is>
      </c>
      <c r="F67" s="23" t="n">
        <v>101</v>
      </c>
      <c r="G67" s="23" t="n">
        <v>128</v>
      </c>
      <c r="H67" s="23" t="n">
        <v>10</v>
      </c>
      <c r="I67" s="23" t="n">
        <v>36</v>
      </c>
      <c r="J67" s="23" t="inlineStr">
        <is>
          <t>978-5-227-06714-2</t>
        </is>
      </c>
      <c r="K67" s="23" t="inlineStr">
        <is>
          <t>70x90 1/32</t>
        </is>
      </c>
      <c r="L67" s="23" t="inlineStr">
        <is>
          <t>мяг</t>
        </is>
      </c>
      <c r="M67" s="23" t="n">
        <v>192</v>
      </c>
      <c r="N67" s="23" t="n">
        <v>2016</v>
      </c>
      <c r="O67" s="23" t="n">
        <v>90</v>
      </c>
      <c r="P67" s="23" t="n"/>
      <c r="Q67" s="23" t="n"/>
      <c r="R67" s="25" t="inlineStr">
        <is>
          <t>На долю Зои Захос выпало немало несчастий, однако настоящим ударом стали проблемы со здоровьем. Только благодаря фонду Гианнополисов, основавшему в Нью­Йорке клинику для греческих эмигрантов, ей удалось вернуться к жизни. Сочтя это чудесным подарком судьбы, Зои решила, что должна посвятить себя помощи больным людям, тем самым отблагодарив Васоса Гианнополиса — лучшего человека на свете, молодого, успешного и красивого, как греческий бог. Правда, ей лучше забыть о своих чувствах, их никогда не свяжут романтические отношения. У столь разных людей не может быть общего будущего. Тем не менее сердцу не прикажешь.</t>
        </is>
      </c>
      <c r="S67" s="26">
        <f>HYPERLINK("http://www.cnpol.ru/covers/16693.jpg","фото на сайте")</f>
        <v/>
      </c>
    </row>
    <row r="68" ht="50.1" customHeight="1" s="3">
      <c r="A68" s="23" t="inlineStr">
        <is>
          <t>Н</t>
        </is>
      </c>
      <c r="B68" s="24" t="inlineStr">
        <is>
          <t>21325</t>
        </is>
      </c>
      <c r="C68" s="23" t="inlineStr">
        <is>
          <t>KISS</t>
        </is>
      </c>
      <c r="D68" s="23" t="inlineStr">
        <is>
          <t>Вуд Джосс</t>
        </is>
      </c>
      <c r="E68" s="23" t="inlineStr">
        <is>
          <t>Два шага навстречу любви</t>
        </is>
      </c>
      <c r="F68" s="23" t="n">
        <v>194</v>
      </c>
      <c r="G68" s="23" t="n">
        <v>128</v>
      </c>
      <c r="H68" s="23" t="n">
        <v>10</v>
      </c>
      <c r="I68" s="23" t="n">
        <v>30</v>
      </c>
      <c r="J68" s="23" t="inlineStr">
        <is>
          <t>978-5-227-10786-2</t>
        </is>
      </c>
      <c r="K68" s="23" t="inlineStr">
        <is>
          <t>70x100 1/32</t>
        </is>
      </c>
      <c r="L68" s="23" t="inlineStr">
        <is>
          <t>мяг</t>
        </is>
      </c>
      <c r="M68" s="23" t="n">
        <v>191</v>
      </c>
      <c r="N68" s="23" t="n">
        <v>2024</v>
      </c>
      <c r="O68" s="23" t="n">
        <v>76</v>
      </c>
      <c r="P68" s="23" t="n"/>
      <c r="Q68" s="23" t="n"/>
      <c r="R68" s="25" t="inlineStr">
        <is>
          <t>Миллиардер Роуэн и молодая вдова из богатой семьи с Восточного побережья Джейми познакомились в застрявшем лифте. Пламенный поцелуй пробуждает в них шквал эмоций, взаимное притяжение растет день ото дня, но у обоих настоящая фобия к длительным отношениям и обязательствам. Джейми чувствует себя виноватой в смерти мужа и запрещает себе снова поверить в любовь. А Роуэн, в детстве скитавшийся по приемным родителям, не готов понять, как отчаянно ему недостает крепкой, любящей семьи. Однако Джейми вдруг понимает, что ей нелегко отказаться от Роуэна.</t>
        </is>
      </c>
      <c r="S68" s="26">
        <f>HYPERLINK("http://www.cnpol.ru/covers/21325.jpg","фото на сайте")</f>
        <v/>
      </c>
    </row>
    <row r="69" ht="50.1" customHeight="1" s="3">
      <c r="A69" s="23" t="n"/>
      <c r="B69" s="24" t="inlineStr">
        <is>
          <t>16708</t>
        </is>
      </c>
      <c r="C69" s="23" t="inlineStr">
        <is>
          <t>KISS</t>
        </is>
      </c>
      <c r="D69" s="23" t="inlineStr">
        <is>
          <t>Гилмор Д.</t>
        </is>
      </c>
      <c r="E69" s="23" t="inlineStr">
        <is>
          <t>Две ночи в Лондоне</t>
        </is>
      </c>
      <c r="F69" s="23" t="n">
        <v>102</v>
      </c>
      <c r="G69" s="23" t="n">
        <v>128</v>
      </c>
      <c r="H69" s="23" t="n">
        <v>10</v>
      </c>
      <c r="I69" s="23" t="n">
        <v>36</v>
      </c>
      <c r="J69" s="23" t="inlineStr">
        <is>
          <t>978-5-227-06715-9</t>
        </is>
      </c>
      <c r="K69" s="23" t="inlineStr">
        <is>
          <t>70x100 1/32</t>
        </is>
      </c>
      <c r="L69" s="23" t="inlineStr">
        <is>
          <t>мяг</t>
        </is>
      </c>
      <c r="M69" s="23" t="n">
        <v>192</v>
      </c>
      <c r="N69" s="23" t="n">
        <v>2016</v>
      </c>
      <c r="O69" s="23" t="n">
        <v>90</v>
      </c>
      <c r="P69" s="23" t="n"/>
      <c r="Q69" s="23" t="n"/>
      <c r="R69" s="25" t="inlineStr">
        <is>
          <t>Богатая дама оставила все свое состояние любимой крестнице Элли Скотт и внучатому племяннику Максу Лавдею. По условию завещания все решения по расходам они обязаны принимать сообща. Возмущенный до глубины души, Макс врывается к Элли, уверенный в том, что обнаружит мошенницу, обманувшую доверие его родственницы, а встретил очаровательную, умную, искреннюю девушку. Роман начался сразу, вот только оба не знают, долго ли он продлится…</t>
        </is>
      </c>
      <c r="S69" s="26">
        <f>HYPERLINK("http://www.cnpol.ru/covers/16708.jpg","фото на сайте")</f>
        <v/>
      </c>
    </row>
    <row r="70" ht="50.1" customHeight="1" s="3">
      <c r="A70" s="23" t="n"/>
      <c r="B70" s="24" t="inlineStr">
        <is>
          <t>16343</t>
        </is>
      </c>
      <c r="C70" s="23" t="inlineStr">
        <is>
          <t>KISS</t>
        </is>
      </c>
      <c r="D70" s="23" t="inlineStr">
        <is>
          <t>Нараянан Ш.</t>
        </is>
      </c>
      <c r="E70" s="23" t="inlineStr">
        <is>
          <t>Двенадцать часов соблазана</t>
        </is>
      </c>
      <c r="F70" s="23" t="n">
        <v>78</v>
      </c>
      <c r="G70" s="23" t="n">
        <v>128</v>
      </c>
      <c r="H70" s="23" t="n">
        <v>10</v>
      </c>
      <c r="I70" s="23" t="n">
        <v>36</v>
      </c>
      <c r="J70" s="23" t="inlineStr">
        <is>
          <t>978-5-227-06207-9</t>
        </is>
      </c>
      <c r="K70" s="23" t="inlineStr">
        <is>
          <t>70x100 1/32</t>
        </is>
      </c>
      <c r="L70" s="23" t="inlineStr">
        <is>
          <t>мяг</t>
        </is>
      </c>
      <c r="M70" s="23" t="n">
        <v>158</v>
      </c>
      <c r="N70" s="23" t="n">
        <v>2015</v>
      </c>
      <c r="O70" s="23" t="n">
        <v>90</v>
      </c>
      <c r="P70" s="23" t="n"/>
      <c r="Q70" s="23" t="n"/>
      <c r="R70" s="25" t="inlineStr">
        <is>
          <t>Копирайтер Мелисса де’Круз предвидит, что ночь перед первой значительной церемонией вручения наград придется провести на работе за письменным столом. Этой номинантке, кажется, не светит участь Золушки — ей придется в самые сжатые сроки выполнить гору работы. Однако Мелисса полна решимости попасть на церемонию… только нужно все уладить… Новый босс Самир Раздан застает девушку в разгар работы и предлагает отвезти ее на мероприятие. Но в ту минуту, когда они отъезжают от офиса, Самир понимает, что попал в беду, — такая близость к Мелиссе уже сводит его с ума, а впереди еще двенадцать часов соблазна…</t>
        </is>
      </c>
      <c r="S70" s="26">
        <f>HYPERLINK("http://www.cnpol.ru/covers/16343.jpg","фото на сайте")</f>
        <v/>
      </c>
    </row>
    <row r="71" ht="50.1" customHeight="1" s="3">
      <c r="A71" s="23" t="n"/>
      <c r="B71" s="24" t="inlineStr">
        <is>
          <t>17545</t>
        </is>
      </c>
      <c r="C71" s="23" t="inlineStr">
        <is>
          <t>KISS</t>
        </is>
      </c>
      <c r="D71" s="23" t="inlineStr">
        <is>
          <t>Кокс М.</t>
        </is>
      </c>
      <c r="E71" s="23" t="inlineStr">
        <is>
          <t>Дождись меня</t>
        </is>
      </c>
      <c r="F71" s="23" t="n">
        <v>144</v>
      </c>
      <c r="G71" s="23" t="n">
        <v>128</v>
      </c>
      <c r="H71" s="23" t="n">
        <v>10</v>
      </c>
      <c r="I71" s="23" t="n">
        <v>36</v>
      </c>
      <c r="J71" s="23" t="inlineStr">
        <is>
          <t>978-5-227-07322-8</t>
        </is>
      </c>
      <c r="K71" s="23" t="inlineStr">
        <is>
          <t>70x100 1/32</t>
        </is>
      </c>
      <c r="L71" s="23" t="inlineStr">
        <is>
          <t>мяг</t>
        </is>
      </c>
      <c r="M71" s="23" t="n">
        <v>192</v>
      </c>
      <c r="N71" s="23" t="n">
        <v>2017</v>
      </c>
      <c r="O71" s="23" t="n">
        <v>90</v>
      </c>
      <c r="P71" s="23" t="n"/>
      <c r="Q71" s="23" t="n"/>
      <c r="R71" s="25" t="inlineStr">
        <is>
          <t>Сет Броуден, преуспевающий владелец сети салонов элитных автомобилей, в юности пережил драму. Отец любимой девушки выставил его за порог и запретил дочери встречаться с ним. Вскоре Луиза трагически погибла, и Сет поклялся больше никогда не влюбляться. Разбогатев, он вернулся в родной город и купил дом, где когда­то жила Луиза. Осматривая владения, он повстречал привлекательную незнакомку. Имоджен Хейз пришла в заброшенный особняк, чтобы узнать, как сложилась судьба двух влюбленных, о которых она узнала из старого письма, найденного в томике стихов. Сет проникся симпатией к романтичной девушке и вскоре, следуя совету друга, заверившего, что брак улучшит его репутацию, предложил ей стать его женой…</t>
        </is>
      </c>
      <c r="S71" s="26">
        <f>HYPERLINK("http://www.cnpol.ru/covers/17545.jpg","фото на сайте")</f>
        <v/>
      </c>
    </row>
    <row r="72" ht="50.1" customHeight="1" s="3">
      <c r="A72" s="23" t="n"/>
      <c r="B72" s="24" t="inlineStr">
        <is>
          <t>16813</t>
        </is>
      </c>
      <c r="C72" s="23" t="inlineStr">
        <is>
          <t>KISS</t>
        </is>
      </c>
      <c r="D72" s="23" t="inlineStr">
        <is>
          <t>Вульф Т.А.</t>
        </is>
      </c>
      <c r="E72" s="23" t="inlineStr">
        <is>
          <t>Драгоценная страсть</t>
        </is>
      </c>
      <c r="F72" s="23" t="n">
        <v>109</v>
      </c>
      <c r="G72" s="23" t="n">
        <v>128</v>
      </c>
      <c r="H72" s="23" t="n">
        <v>10</v>
      </c>
      <c r="I72" s="23" t="n">
        <v>36</v>
      </c>
      <c r="J72" s="23" t="inlineStr">
        <is>
          <t>978-5-227-06801-9</t>
        </is>
      </c>
      <c r="K72" s="23" t="inlineStr">
        <is>
          <t>70x100 1/32</t>
        </is>
      </c>
      <c r="L72" s="23" t="inlineStr">
        <is>
          <t>мяг</t>
        </is>
      </c>
      <c r="M72" s="23" t="n">
        <v>192</v>
      </c>
      <c r="N72" s="23" t="n">
        <v>2016</v>
      </c>
      <c r="O72" s="23" t="n">
        <v>90</v>
      </c>
      <c r="P72" s="23" t="n"/>
      <c r="Q72" s="23" t="n"/>
      <c r="R72" s="25" t="inlineStr">
        <is>
          <t>Безудержная страсть связывала Изу и Марка, они были безмерно счастливы. Но однажды он узнал о ее предательстве и вышвырнул из своей жизни. Прошло шесть лет. Иза Вэйрин изменила имя и род деятельности, она уважаемый профессор Изабелла Морено. Все эти годы она пыталась забыть Марка Дюрана. Случайно встретив его, она пришла в смятение. Любовь, обида, страх разоблачения — все чувства смешались в ее душе. Откуда ей было знать, что бывший возлюбленный давно понял, что, отказавшись от Изы, он потерял любовь всей своей жизни и уже отчаялся отыскать ее…</t>
        </is>
      </c>
      <c r="S72" s="26">
        <f>HYPERLINK("http://www.cnpol.ru/covers/16813.jpg","фото на сайте")</f>
        <v/>
      </c>
    </row>
    <row r="73" ht="50.1" customHeight="1" s="3">
      <c r="A73" s="23" t="n"/>
      <c r="B73" s="24" t="inlineStr">
        <is>
          <t>16459</t>
        </is>
      </c>
      <c r="C73" s="23" t="inlineStr">
        <is>
          <t>KISS</t>
        </is>
      </c>
      <c r="D73" s="23" t="inlineStr">
        <is>
          <t>Лавлэйс М.</t>
        </is>
      </c>
      <c r="E73" s="23" t="inlineStr">
        <is>
          <t>Ее незабываемый любовник</t>
        </is>
      </c>
      <c r="F73" s="23" t="n">
        <v>85</v>
      </c>
      <c r="G73" s="23" t="n">
        <v>128</v>
      </c>
      <c r="H73" s="23" t="n">
        <v>10</v>
      </c>
      <c r="I73" s="23" t="n">
        <v>36</v>
      </c>
      <c r="J73" s="23" t="inlineStr">
        <is>
          <t>978-5-227-06366-3</t>
        </is>
      </c>
      <c r="K73" s="23" t="inlineStr">
        <is>
          <t>70x100 1/32</t>
        </is>
      </c>
      <c r="L73" s="23" t="inlineStr">
        <is>
          <t>мяг</t>
        </is>
      </c>
      <c r="M73" s="23" t="n">
        <v>192</v>
      </c>
      <c r="N73" s="23" t="n">
        <v>2016</v>
      </c>
      <c r="O73" s="23" t="n">
        <v>90</v>
      </c>
      <c r="P73" s="23" t="n"/>
      <c r="Q73" s="23" t="n"/>
      <c r="R73" s="25" t="inlineStr">
        <is>
          <t>Агент Интерпола Доминик Сен­Себастьян не предполагал, что Натали Кларк — скромная референт, с которой он познакомился в доме тетушки Шарлотты, — окажется столь непредсказуемой особой. Эта серая мышка в бесформенной одежде и очках с толстыми линзами не только раскопала правду о его праве на титул великого герцога Карленберга, но и умудрилась вскружить голову темпераментному агенту. Спасаясь от повышенного внимания прессы, новоявленный герцог отправляется в родной Будапешт. Именно здесь, в самом романтичном городе Европы, Доминику предстоит выяснить, какие тайны скрывает загадочная мисс Кларк.</t>
        </is>
      </c>
      <c r="S73" s="26">
        <f>HYPERLINK("http://www.cnpol.ru/covers/16459.jpg","фото на сайте")</f>
        <v/>
      </c>
    </row>
    <row r="74" ht="50.1" customHeight="1" s="3">
      <c r="A74" s="23" t="n"/>
      <c r="B74" s="24" t="inlineStr">
        <is>
          <t>17013</t>
        </is>
      </c>
      <c r="C74" s="23" t="inlineStr">
        <is>
          <t>KISS</t>
        </is>
      </c>
      <c r="D74" s="23" t="inlineStr">
        <is>
          <t>Нараянан Ш.</t>
        </is>
      </c>
      <c r="E74" s="23" t="inlineStr">
        <is>
          <t>Еще одна помолвка</t>
        </is>
      </c>
      <c r="F74" s="23" t="n">
        <v>123</v>
      </c>
      <c r="G74" s="23" t="n">
        <v>128</v>
      </c>
      <c r="H74" s="23" t="n">
        <v>10</v>
      </c>
      <c r="I74" s="23" t="n">
        <v>36</v>
      </c>
      <c r="J74" s="23" t="inlineStr">
        <is>
          <t>978-5-227-07051-7</t>
        </is>
      </c>
      <c r="K74" s="23" t="inlineStr">
        <is>
          <t>70x100 1/32</t>
        </is>
      </c>
      <c r="L74" s="23" t="inlineStr">
        <is>
          <t>мяг</t>
        </is>
      </c>
      <c r="M74" s="23" t="n">
        <v>192</v>
      </c>
      <c r="N74" s="23" t="n">
        <v>2016</v>
      </c>
      <c r="O74" s="23" t="n">
        <v>90</v>
      </c>
      <c r="P74" s="23" t="n"/>
      <c r="Q74" s="23" t="n"/>
      <c r="R74" s="25" t="inlineStr">
        <is>
          <t>Случайная встреча Шуэты, менеджера одной из компаний, и Нихила, владельца крупной фирмы, оказалась очень важной для обоих. Когда­то они вместе учились: прилежная отличница Шуэта и Нихил, исключенный из школы за бесконечные проделки. Вскоре молодые люди поняли, что не могут жить друг без друга, но их одолевают сомнения: незаконнорожденный Нихил подозревает, что Шуэта будет его стыдиться. А Шуэта не верит в серьезность чувств Нихила, считая, что он ее не любит, ему просто удобно на ней жениться, ведь ей с детства известна тайна его происхождения…</t>
        </is>
      </c>
      <c r="S74" s="26">
        <f>HYPERLINK("http://www.cnpol.ru/covers/17013.jpg","фото на сайте")</f>
        <v/>
      </c>
    </row>
    <row r="75" ht="50.1" customHeight="1" s="3">
      <c r="A75" s="23" t="n"/>
      <c r="B75" s="24" t="inlineStr">
        <is>
          <t>18384</t>
        </is>
      </c>
      <c r="C75" s="23" t="inlineStr">
        <is>
          <t>KISS</t>
        </is>
      </c>
      <c r="D75" s="23" t="inlineStr">
        <is>
          <t>Беннет Д.</t>
        </is>
      </c>
      <c r="E75" s="23" t="inlineStr">
        <is>
          <t>Жених на неделю</t>
        </is>
      </c>
      <c r="F75" s="23" t="n">
        <v>159</v>
      </c>
      <c r="G75" s="23" t="n">
        <v>128</v>
      </c>
      <c r="H75" s="23" t="n">
        <v>10</v>
      </c>
      <c r="I75" s="23" t="n">
        <v>30</v>
      </c>
      <c r="J75" s="23" t="inlineStr">
        <is>
          <t>978-5-227-08372-2</t>
        </is>
      </c>
      <c r="K75" s="23" t="inlineStr">
        <is>
          <t>70x100 1/32</t>
        </is>
      </c>
      <c r="L75" s="23" t="inlineStr">
        <is>
          <t>мяг</t>
        </is>
      </c>
      <c r="M75" s="23" t="n">
        <v>192</v>
      </c>
      <c r="N75" s="23" t="n">
        <v>2018</v>
      </c>
      <c r="O75" s="23" t="n">
        <v>90</v>
      </c>
      <c r="P75" s="23" t="n"/>
      <c r="Q75" s="23" t="n"/>
      <c r="R75" s="25" t="inlineStr">
        <is>
          <t>Дженна Лебланк, стремясь отделаться от бывшего парня, изменившего ей, обращается к своему лучшему другу Маку О’Ши с необычной просьбой: на неделю притвориться ее бойфрендом. Обоим это кажется просто. Но так ли просто остаться друзьями после разыгранного любовного спектакля, когда многое пошло не так?</t>
        </is>
      </c>
      <c r="S75" s="26">
        <f>HYPERLINK("http://www.cnpol.ru/covers/18384.jpg","фото на сайте")</f>
        <v/>
      </c>
    </row>
    <row r="76" ht="50.1" customHeight="1" s="3">
      <c r="A76" s="23" t="n"/>
      <c r="B76" s="24" t="inlineStr">
        <is>
          <t>17961</t>
        </is>
      </c>
      <c r="C76" s="23" t="inlineStr">
        <is>
          <t>KISS</t>
        </is>
      </c>
      <c r="D76" s="23" t="inlineStr">
        <is>
          <t>Крюс К.</t>
        </is>
      </c>
      <c r="E76" s="23" t="inlineStr">
        <is>
          <t>Зачем скрывать любовь</t>
        </is>
      </c>
      <c r="F76" s="23" t="n">
        <v>152</v>
      </c>
      <c r="G76" s="23" t="n">
        <v>128</v>
      </c>
      <c r="H76" s="23" t="n">
        <v>10</v>
      </c>
      <c r="I76" s="23" t="n">
        <v>36</v>
      </c>
      <c r="J76" s="23" t="inlineStr">
        <is>
          <t>978-5-227-08039-4</t>
        </is>
      </c>
      <c r="K76" s="23" t="inlineStr">
        <is>
          <t>70x100 1/32</t>
        </is>
      </c>
      <c r="L76" s="23" t="inlineStr">
        <is>
          <t>мяг</t>
        </is>
      </c>
      <c r="M76" s="23" t="n">
        <v>192</v>
      </c>
      <c r="N76" s="23" t="n">
        <v>2018</v>
      </c>
      <c r="O76" s="23" t="n">
        <v>90</v>
      </c>
      <c r="P76" s="23" t="n"/>
      <c r="Q76" s="23" t="n"/>
      <c r="R76" s="25" t="inlineStr">
        <is>
          <t>Кэтрин, красивая и умная девушка, в двадцать три года вышла замуж за Джанни Кастелли — семидесятилетнего миллионера из Италии. Два года она прожила в его семье, где все ее ненавидели, особенно младший сын мужа Лука. Он так откровенно демонстрировал свое презрение и ненависть к молодой мачехе, что каждый раз, встречаясь с ним, она испытывала неподдельный страх. Со смертью мужа Кэтрин не только получила наследство, но и право работать в компании Кастелли. Лука был вне себя от гнева, но это не помешало ему потерять голову из­за этой женщины. Подумать только, он сходил с ума из­за вдовы его старика­отца!</t>
        </is>
      </c>
      <c r="S76" s="26">
        <f>HYPERLINK("http://www.cnpol.ru/covers/17961.jpg","фото на сайте")</f>
        <v/>
      </c>
    </row>
    <row r="77" ht="50.1" customHeight="1" s="3">
      <c r="A77" s="23" t="n"/>
      <c r="B77" s="24" t="inlineStr">
        <is>
          <t>16892</t>
        </is>
      </c>
      <c r="C77" s="23" t="inlineStr">
        <is>
          <t>KISS</t>
        </is>
      </c>
      <c r="D77" s="23" t="inlineStr">
        <is>
          <t>Колтер К.</t>
        </is>
      </c>
      <c r="E77" s="23" t="inlineStr">
        <is>
          <t>Звездный час любви</t>
        </is>
      </c>
      <c r="F77" s="23" t="n">
        <v>114</v>
      </c>
      <c r="G77" s="23" t="n">
        <v>128</v>
      </c>
      <c r="H77" s="23" t="n">
        <v>10</v>
      </c>
      <c r="I77" s="23" t="n">
        <v>36</v>
      </c>
      <c r="J77" s="23" t="inlineStr">
        <is>
          <t>978-5-227-06842-2</t>
        </is>
      </c>
      <c r="K77" s="23" t="inlineStr">
        <is>
          <t>70x100 1/32</t>
        </is>
      </c>
      <c r="L77" s="23" t="inlineStr">
        <is>
          <t>мяг</t>
        </is>
      </c>
      <c r="M77" s="23" t="n">
        <v>192</v>
      </c>
      <c r="N77" s="23" t="n">
        <v>2016</v>
      </c>
      <c r="O77" s="23" t="n">
        <v>90</v>
      </c>
      <c r="P77" s="23" t="n"/>
      <c r="Q77" s="23" t="n"/>
      <c r="R77" s="25" t="inlineStr">
        <is>
          <t>Анжелику Уизерспун, молодую школьную учительницу, бросил жених. Мало того, ее преследует бывший коллега, оказавшийся опасным психопатом. Измученная постоянным страхом, девушка уезжает из Калгари. В поисках пристанища она оказывается в городке на берегу большого озера. Здесь ей попадается объявление о том, что в загородный дом требуется домработница. Джефферсон Стоун — молодой, привлекательный хозяин особняка — после гибели жены в автокатастрофе живет затворником. Он отказывает девушке, ссылаясь на то, что та слишком молода, но Энжи проявляет настойчивость, и хозяин сдается. Вскоре Энжи обнаруживает, что за внешней мрачностью скрывается человек с чуткой душой и добрым сердцем. Молодых людей тянет друг к другу, но, только преодолев страхи, они находят дорогу к любви и счастью.</t>
        </is>
      </c>
      <c r="S77" s="26">
        <f>HYPERLINK("http://www.cnpol.ru/covers/16892.jpg","фото на сайте")</f>
        <v/>
      </c>
    </row>
    <row r="78" ht="50.1" customHeight="1" s="3">
      <c r="A78" s="23" t="n"/>
      <c r="B78" s="24" t="inlineStr">
        <is>
          <t>18017</t>
        </is>
      </c>
      <c r="C78" s="23" t="inlineStr">
        <is>
          <t>KISS</t>
        </is>
      </c>
      <c r="D78" s="23" t="inlineStr">
        <is>
          <t>Гарбера К.</t>
        </is>
      </c>
      <c r="E78" s="23" t="inlineStr">
        <is>
          <t>Игра в обольщение</t>
        </is>
      </c>
      <c r="F78" s="23" t="n">
        <v>153</v>
      </c>
      <c r="G78" s="23" t="n">
        <v>128</v>
      </c>
      <c r="H78" s="23" t="n">
        <v>10</v>
      </c>
      <c r="I78" s="23" t="n">
        <v>36</v>
      </c>
      <c r="J78" s="23" t="inlineStr">
        <is>
          <t>978-5-227-08111-7</t>
        </is>
      </c>
      <c r="K78" s="23" t="inlineStr">
        <is>
          <t>70x100 1/32</t>
        </is>
      </c>
      <c r="L78" s="23" t="inlineStr">
        <is>
          <t>мяг</t>
        </is>
      </c>
      <c r="M78" s="23" t="n">
        <v>192</v>
      </c>
      <c r="N78" s="23" t="n">
        <v>2018</v>
      </c>
      <c r="O78" s="23" t="n">
        <v>90</v>
      </c>
      <c r="P78" s="23" t="n"/>
      <c r="Q78" s="23" t="n"/>
      <c r="R78" s="25" t="inlineStr">
        <is>
          <t>Феррин Гейнер прилетает в Калифорнию ухаживать за перенесшим инсульт отцом. Здесь она знакомится с бывшим футболистом, красавцем Хантером Карутерсом, который явился к ее отцу, своему бывшему тренеру, в надежде получить у него документы и видеозаписи, необходимые ему для того, чтобы реабилитировать свое прошлое. Молодые люди понравились друг другу. Однако Феррин подозревает, что нужна Хантеру только для того, чтобы подобраться к документам. И она была права, но все изменилось, когда Хантер понял, что влюбился…</t>
        </is>
      </c>
      <c r="S78" s="26">
        <f>HYPERLINK("http://www.cnpol.ru/covers/18017.jpg","фото на сайте")</f>
        <v/>
      </c>
    </row>
    <row r="79" ht="50.1" customHeight="1" s="3">
      <c r="A79" s="23" t="n"/>
      <c r="B79" s="24" t="inlineStr">
        <is>
          <t>17157</t>
        </is>
      </c>
      <c r="C79" s="23" t="inlineStr">
        <is>
          <t>KISS</t>
        </is>
      </c>
      <c r="D79" s="23" t="inlineStr">
        <is>
          <t>Рок Джоанна</t>
        </is>
      </c>
      <c r="E79" s="23" t="inlineStr">
        <is>
          <t>Идеальное свидание</t>
        </is>
      </c>
      <c r="F79" s="23" t="n">
        <v>133</v>
      </c>
      <c r="G79" s="23" t="n">
        <v>128</v>
      </c>
      <c r="H79" s="23" t="n">
        <v>10</v>
      </c>
      <c r="I79" s="23" t="n">
        <v>36</v>
      </c>
      <c r="J79" s="23" t="inlineStr">
        <is>
          <t>978-5-227-07143-9</t>
        </is>
      </c>
      <c r="K79" s="23" t="inlineStr">
        <is>
          <t>70x100 1/32</t>
        </is>
      </c>
      <c r="L79" s="23" t="inlineStr">
        <is>
          <t>мяг</t>
        </is>
      </c>
      <c r="M79" s="23" t="n">
        <v>190</v>
      </c>
      <c r="N79" s="23" t="n">
        <v>2016</v>
      </c>
      <c r="O79" s="23" t="n">
        <v>90</v>
      </c>
      <c r="P79" s="23" t="n"/>
      <c r="Q79" s="23" t="n"/>
      <c r="R79" s="25" t="inlineStr">
        <is>
          <t>Успешный тренер Демпси Пейно живет футболом, его цель — привести свою команду к победе в Суперкубке. Накануне открытия сезона его личная ассистентка и подруга детства Аделаида Тибодо заявляет о своем увольнения, так как хочет основать собственную фирму по созданию одежды и аксессуаров для футбольных фанаток. Чтобы удержать ее, Демпси во всеуслышание объявляет об их помолвке и уговаривает в течение месяца притворяться его невестой, втайне надеясь за это время убедить ее остаться навсегда. Скрепя сердце и в очередной раз пренебрегая собственными интересами ради Демпси, Аделаида соглашается. Вскоре между ними завязы­вается страстный роман. Есть ли будущее у отношений, начатых со лжи, или они обречены на провал?..</t>
        </is>
      </c>
      <c r="S79" s="26">
        <f>HYPERLINK("http://www.cnpol.ru/covers/17157.jpg","фото на сайте")</f>
        <v/>
      </c>
    </row>
    <row r="80" ht="50.1" customHeight="1" s="3">
      <c r="A80" s="23" t="n"/>
      <c r="B80" s="24" t="inlineStr">
        <is>
          <t>17271</t>
        </is>
      </c>
      <c r="C80" s="23" t="inlineStr">
        <is>
          <t>KISS</t>
        </is>
      </c>
      <c r="D80" s="23" t="inlineStr">
        <is>
          <t>Маккелен Кристи</t>
        </is>
      </c>
      <c r="E80" s="23" t="inlineStr">
        <is>
          <t>Инстинкт сохранения любви</t>
        </is>
      </c>
      <c r="F80" s="23" t="n">
        <v>136</v>
      </c>
      <c r="G80" s="23" t="n">
        <v>128</v>
      </c>
      <c r="H80" s="23" t="n">
        <v>10</v>
      </c>
      <c r="I80" s="23" t="n">
        <v>30</v>
      </c>
      <c r="J80" s="23" t="inlineStr">
        <is>
          <t>978-5-227-07222-1</t>
        </is>
      </c>
      <c r="K80" s="23" t="inlineStr">
        <is>
          <t>70x100 1/32</t>
        </is>
      </c>
      <c r="L80" s="23" t="inlineStr">
        <is>
          <t>мяг</t>
        </is>
      </c>
      <c r="M80" s="23" t="n">
        <v>192</v>
      </c>
      <c r="N80" s="23" t="n">
        <v>2017</v>
      </c>
      <c r="O80" s="23" t="n">
        <v>90</v>
      </c>
      <c r="P80" s="23" t="n"/>
      <c r="Q80" s="23" t="n"/>
      <c r="R80" s="25" t="inlineStr">
        <is>
          <t>Молодой предприниматель Макс отгородился от окружающего мира после скоропостижной кончины любимой жены. Неожиданное появление в его жизни Кары, красивой, умной, тонко чувствующей девушки, встревожило Макса. Она сумела стать ему отличной помощницей и настоящим другом. Они полюбили друг друга. Но Макс считал новые отношения предательством памяти жены, и молодые люди расстались. Вскоре Макс понял, что не может жить без Кары, но поверит ли она в его любовь после того, как он отказался от нее?</t>
        </is>
      </c>
      <c r="S80" s="26">
        <f>HYPERLINK("http://www.cnpol.ru/covers/17271.jpg","фото на сайте")</f>
        <v/>
      </c>
    </row>
    <row r="81" ht="50.1" customHeight="1" s="3">
      <c r="A81" s="23" t="n"/>
      <c r="B81" s="24" t="inlineStr">
        <is>
          <t>20015</t>
        </is>
      </c>
      <c r="C81" s="23" t="inlineStr">
        <is>
          <t>KISS</t>
        </is>
      </c>
      <c r="D81" s="23" t="inlineStr">
        <is>
          <t>Коллинз Д.</t>
        </is>
      </c>
      <c r="E81" s="23" t="inlineStr">
        <is>
          <t>Испанские страсти Скарлетт</t>
        </is>
      </c>
      <c r="F81" s="23" t="n">
        <v>185</v>
      </c>
      <c r="G81" s="23" t="n">
        <v>128</v>
      </c>
      <c r="H81" s="23" t="n">
        <v>10</v>
      </c>
      <c r="I81" s="23" t="n">
        <v>24</v>
      </c>
      <c r="J81" s="23" t="inlineStr">
        <is>
          <t>978-5-227-09635-7</t>
        </is>
      </c>
      <c r="K81" s="23" t="inlineStr">
        <is>
          <t>70x100 1/32</t>
        </is>
      </c>
      <c r="L81" s="23" t="inlineStr">
        <is>
          <t>мяг</t>
        </is>
      </c>
      <c r="M81" s="23" t="n">
        <v>191</v>
      </c>
      <c r="N81" s="23" t="n">
        <v>2021</v>
      </c>
      <c r="O81" s="23" t="n">
        <v>76</v>
      </c>
      <c r="P81" s="23" t="n"/>
      <c r="Q81" s="23" t="n"/>
      <c r="R81" s="25" t="inlineStr">
        <is>
          <t>Хавьеро Родригес восстанавливается от травм, полученных в схватке с ягуаром, и все чаще вспоминает о Скарлетт Уокер. Они провели всего одну страстную ночь и расстались так, словно между ними ничего не было. Каково же было изумление Хавьеро, когда он узнает, что Скарлетт беременна! Не желая, чтобы сын рос в неполной семье, Хавьеро делает предложение. Скарлетт с юности упорно трудилась ради независимости, а потому не спешит сказать «да». Им трудно прийти к взаимопониманию, однако страсть, вспыхнувшая между ними с новой силой, сильнее разногласий...</t>
        </is>
      </c>
      <c r="S81" s="26">
        <f>HYPERLINK("http://www.cnpol.ru/covers/20015.jpg","фото на сайте")</f>
        <v/>
      </c>
    </row>
    <row r="82" ht="50.1" customHeight="1" s="3">
      <c r="A82" s="23" t="n"/>
      <c r="B82" s="24" t="inlineStr">
        <is>
          <t>16814</t>
        </is>
      </c>
      <c r="C82" s="23" t="inlineStr">
        <is>
          <t>KISS</t>
        </is>
      </c>
      <c r="D82" s="23" t="inlineStr">
        <is>
          <t>Данлоп Б.</t>
        </is>
      </c>
      <c r="E82" s="23" t="inlineStr">
        <is>
          <t>Испытание ложью и правдой</t>
        </is>
      </c>
      <c r="F82" s="23" t="n">
        <v>110</v>
      </c>
      <c r="G82" s="23" t="n">
        <v>128</v>
      </c>
      <c r="H82" s="23" t="n">
        <v>10</v>
      </c>
      <c r="I82" s="23" t="n">
        <v>36</v>
      </c>
      <c r="J82" s="23" t="inlineStr">
        <is>
          <t>978-5-227-06802-6</t>
        </is>
      </c>
      <c r="K82" s="23" t="inlineStr">
        <is>
          <t>75x100 1/32</t>
        </is>
      </c>
      <c r="L82" s="23" t="inlineStr">
        <is>
          <t>мяг</t>
        </is>
      </c>
      <c r="M82" s="23" t="n">
        <v>192</v>
      </c>
      <c r="N82" s="23" t="n">
        <v>2016</v>
      </c>
      <c r="O82" s="23" t="n">
        <v>90</v>
      </c>
      <c r="P82" s="23" t="n"/>
      <c r="Q82" s="23" t="n"/>
      <c r="R82" s="25" t="inlineStr">
        <is>
          <t>Разбирая вещи умершего отца, Дарси Риверс натыкается на письмо, в котором отец обвиняет бывшего партнера по бизнесу Далтона Колборна в предательстве и краже его изобретения. Неопровержимые доказательства хранятся где­то в архивах корпорации «Колборн», а оригиналы чертежей — в неком тайнике. Чтобы восстановить справедливость и доброе имя отца, Дарси решает провести тайное расследование и отыскать документы. Для этого ей нужно проникнуть в офис компании, которой руководит Шейн Колборн...</t>
        </is>
      </c>
      <c r="S82" s="26">
        <f>HYPERLINK("http://www.cnpol.ru/covers/16814.jpg","фото на сайте")</f>
        <v/>
      </c>
    </row>
    <row r="83" ht="50.1" customHeight="1" s="3">
      <c r="A83" s="23" t="n"/>
      <c r="B83" s="24" t="inlineStr">
        <is>
          <t>15458</t>
        </is>
      </c>
      <c r="C83" s="23" t="inlineStr">
        <is>
          <t>KISS</t>
        </is>
      </c>
      <c r="D83" s="23" t="inlineStr">
        <is>
          <t>Джордж Луиза</t>
        </is>
      </c>
      <c r="E83" s="23" t="inlineStr">
        <is>
          <t>Кандидат на ее сердце</t>
        </is>
      </c>
      <c r="F83" s="23" t="n">
        <v>22</v>
      </c>
      <c r="G83" s="23" t="n">
        <v>128</v>
      </c>
      <c r="H83" s="23" t="n">
        <v>10</v>
      </c>
      <c r="I83" s="23" t="n">
        <v>36</v>
      </c>
      <c r="J83" s="23" t="inlineStr">
        <is>
          <t>978-5-227-05458-6</t>
        </is>
      </c>
      <c r="K83" s="23" t="inlineStr">
        <is>
          <t>70x100 1/32</t>
        </is>
      </c>
      <c r="L83" s="23" t="inlineStr">
        <is>
          <t>мяг</t>
        </is>
      </c>
      <c r="M83" s="23" t="n">
        <v>190</v>
      </c>
      <c r="N83" s="23" t="n">
        <v>2014</v>
      </c>
      <c r="O83" s="23" t="n">
        <v>92</v>
      </c>
      <c r="P83" s="23" t="n"/>
      <c r="Q83" s="23" t="n"/>
      <c r="R83" s="25" t="inlineStr">
        <is>
          <t>После десятилетней разлуки общение суперзвезды рока Нейта Мунро и преподавателя в музыкальной школе Саши Суит начинается с обоюдного недоверия. У них слишком разный образ жизни, слишком разные цели. Однако вспыхнувший взаимный интерес, желание понять, что стоит за осторожной сдержанностью одной и имиджем необузданного самоуверенного рок-идола другого, приводит к тому, что одной встречей дело не ограничивается. Постепенно спрятанное в дальних уголках памяти прошлое начинает оживать, открывая свои секреты…</t>
        </is>
      </c>
      <c r="S83" s="26">
        <f>HYPERLINK("http://www.cnpol.ru/covers/15458.jpg","фото на сайте")</f>
        <v/>
      </c>
    </row>
    <row r="84" ht="50.1" customHeight="1" s="3">
      <c r="A84" s="23" t="n"/>
      <c r="B84" s="24" t="inlineStr">
        <is>
          <t>17210</t>
        </is>
      </c>
      <c r="C84" s="23" t="inlineStr">
        <is>
          <t>KISS</t>
        </is>
      </c>
      <c r="D84" s="23" t="inlineStr">
        <is>
          <t>Смарт М.</t>
        </is>
      </c>
      <c r="E84" s="23" t="inlineStr">
        <is>
          <t>Ключик к сердцу принца</t>
        </is>
      </c>
      <c r="F84" s="23" t="n">
        <v>135</v>
      </c>
      <c r="G84" s="23" t="n">
        <v>128</v>
      </c>
      <c r="H84" s="23" t="n">
        <v>10</v>
      </c>
      <c r="I84" s="23" t="n">
        <v>36</v>
      </c>
      <c r="J84" s="23" t="inlineStr">
        <is>
          <t>978-5-227-07221-4</t>
        </is>
      </c>
      <c r="K84" s="23" t="inlineStr">
        <is>
          <t>70x100 1/32</t>
        </is>
      </c>
      <c r="L84" s="23" t="inlineStr">
        <is>
          <t>мяг</t>
        </is>
      </c>
      <c r="M84" s="23" t="n">
        <v>192</v>
      </c>
      <c r="N84" s="23" t="n">
        <v>2016</v>
      </c>
      <c r="O84" s="23" t="n">
        <v>90</v>
      </c>
      <c r="P84" s="23" t="n"/>
      <c r="Q84" s="23" t="n"/>
      <c r="R84" s="25" t="inlineStr">
        <is>
          <t>Эми Грин, сотрудницу музея истории королевства Эгон, и наследного принца Гелиоса Каллиакиса связывает не только любовь к древностям, но и пылкая страсть. Им хорошо в объятиях друг друга, но Эми решает разорвать эту связь, когда узнает, что ее возлюбленному предстоит вступить в брак с принцессой соседнего королевства. Одобренная сенатом невеста красива, добра и умна, но все мысли Гелиоса лишь об Эми, однако, чтобы быть вместе, ему придется отказаться от трона…</t>
        </is>
      </c>
      <c r="S84" s="26">
        <f>HYPERLINK("http://www.cnpol.ru/covers/17210.jpg","фото на сайте")</f>
        <v/>
      </c>
    </row>
    <row r="85" ht="50.1" customHeight="1" s="3">
      <c r="A85" s="23" t="n"/>
      <c r="B85" s="24" t="inlineStr">
        <is>
          <t>15622</t>
        </is>
      </c>
      <c r="C85" s="23" t="inlineStr">
        <is>
          <t>KISS</t>
        </is>
      </c>
      <c r="D85" s="23" t="inlineStr">
        <is>
          <t>Вуд Джосс</t>
        </is>
      </c>
      <c r="E85" s="23" t="inlineStr">
        <is>
          <t>Когда жара невыносима</t>
        </is>
      </c>
      <c r="F85" s="23" t="n">
        <v>34</v>
      </c>
      <c r="G85" s="23" t="n">
        <v>128</v>
      </c>
      <c r="H85" s="23" t="n">
        <v>10</v>
      </c>
      <c r="I85" s="23" t="n">
        <v>36</v>
      </c>
      <c r="J85" s="23" t="inlineStr">
        <is>
          <t>978-5-227-05632-0</t>
        </is>
      </c>
      <c r="K85" s="23" t="inlineStr">
        <is>
          <t>70x100 1/32</t>
        </is>
      </c>
      <c r="L85" s="23" t="inlineStr">
        <is>
          <t>мяг</t>
        </is>
      </c>
      <c r="M85" s="23" t="n">
        <v>190</v>
      </c>
      <c r="N85" s="23" t="n">
        <v>2014</v>
      </c>
      <c r="O85" s="23" t="n">
        <v>88</v>
      </c>
      <c r="P85" s="23" t="n"/>
      <c r="Q85" s="23" t="n"/>
      <c r="R85" s="25" t="inlineStr">
        <is>
          <t>Элли Эванс – владелица булочной на берегу моря — вынуждена справляться с трудностями в одиночку. Коллега ушла в декрет, мама отправилась путешествовать. В довершение всего судьба в лице отца посылает ей Джека Чапмана, израненного военного корреспондента, которому необходимо где­то переждать несколько дней. Джек красив, образован и всегда рад прийти на помощь, однако серьезные отношения не для него. Вспыхнувший роман поначалу кажется им несерьезной интрижкой, но вскоре становится понятно, что их связывает не только страсть. Элли готова изменить свою жизнь ради любви, а Джек, похоже, по­прежнему влюблен в свою работу. Смогут ли влюбленные, пережив разлуку, обрести долгожданное счастье любви?..</t>
        </is>
      </c>
      <c r="S85" s="26">
        <f>HYPERLINK("http://www.cnpol.ru/covers/15622.jpg","фото на сайте")</f>
        <v/>
      </c>
    </row>
    <row r="86" ht="50.1" customHeight="1" s="3">
      <c r="A86" s="23" t="n"/>
      <c r="B86" s="24" t="inlineStr">
        <is>
          <t>17047</t>
        </is>
      </c>
      <c r="C86" s="23" t="inlineStr">
        <is>
          <t>KISS</t>
        </is>
      </c>
      <c r="D86" s="23" t="inlineStr">
        <is>
          <t>Гейтс О.</t>
        </is>
      </c>
      <c r="E86" s="23" t="inlineStr">
        <is>
          <t>Когда страсть разгорается вновь</t>
        </is>
      </c>
      <c r="F86" s="23" t="n">
        <v>125</v>
      </c>
      <c r="G86" s="23" t="n">
        <v>128</v>
      </c>
      <c r="H86" s="23" t="n">
        <v>10</v>
      </c>
      <c r="I86" s="23" t="n">
        <v>36</v>
      </c>
      <c r="J86" s="23" t="inlineStr">
        <is>
          <t>978-5-227-07053-1</t>
        </is>
      </c>
      <c r="K86" s="23" t="inlineStr">
        <is>
          <t>70x100 1/32</t>
        </is>
      </c>
      <c r="L86" s="23" t="inlineStr">
        <is>
          <t>мяг</t>
        </is>
      </c>
      <c r="M86" s="23" t="n">
        <v>192</v>
      </c>
      <c r="N86" s="23" t="n">
        <v>2016</v>
      </c>
      <c r="O86" s="23" t="n">
        <v>90</v>
      </c>
      <c r="P86" s="23" t="n"/>
      <c r="Q86" s="23" t="n"/>
      <c r="R86" s="25" t="inlineStr">
        <is>
          <t>За маской успешного и влиятельного бизнесмена Ричард Грейвс скрывает темное прошлое и боль сокрушительных потерь. Лишь ­Изабелле почти удалось растопить его ледяное сердце, но взаимное недоверие стало причиной того, что они расстались. Прошло восемь лет, они случайно встретились, и страсть охватила их с новой силой. Страдая от обиды и сгорая от любви, они наконец решают объ­ясниться и узнают, что напрасно провели столько горьких лет друг без друга…</t>
        </is>
      </c>
      <c r="S86" s="26">
        <f>HYPERLINK("http://www.cnpol.ru/covers/17047.jpg","фото на сайте")</f>
        <v/>
      </c>
    </row>
    <row r="87" ht="50.1" customHeight="1" s="3">
      <c r="A87" s="23" t="n"/>
      <c r="B87" s="24" t="inlineStr">
        <is>
          <t>17431</t>
        </is>
      </c>
      <c r="C87" s="23" t="inlineStr">
        <is>
          <t>KISS</t>
        </is>
      </c>
      <c r="D87" s="23" t="inlineStr">
        <is>
          <t>Уинтерз Р.</t>
        </is>
      </c>
      <c r="E87" s="23" t="inlineStr">
        <is>
          <t>Коралловый рай для любимой</t>
        </is>
      </c>
      <c r="F87" s="23" t="n">
        <v>141</v>
      </c>
      <c r="G87" s="23" t="n">
        <v>128</v>
      </c>
      <c r="H87" s="23" t="n">
        <v>10</v>
      </c>
      <c r="I87" s="23" t="n">
        <v>36</v>
      </c>
      <c r="J87" s="23" t="inlineStr">
        <is>
          <t>978-5-227-07298-6</t>
        </is>
      </c>
      <c r="K87" s="23" t="inlineStr">
        <is>
          <t>70x100 1/32</t>
        </is>
      </c>
      <c r="L87" s="23" t="inlineStr">
        <is>
          <t>мяг</t>
        </is>
      </c>
      <c r="M87" s="23" t="n">
        <v>192</v>
      </c>
      <c r="N87" s="23" t="n">
        <v>2017</v>
      </c>
      <c r="O87" s="23" t="n">
        <v>90</v>
      </c>
      <c r="P87" s="23" t="n"/>
      <c r="Q87" s="23" t="n"/>
      <c r="R87" s="25" t="inlineStr">
        <is>
          <t>Если бы не драматическое происшествие, никогда бы Кристина Роуз не стала женой наследного принца Антонио де Л’Аркади, в которого была влюблена с детства. В своих чувствах она уверена, но в его нет. Ей и невдомек, что Антонио с первого взгляда на предложенную ему невесту заинтересовался этой длинноногой стройной красавицей. Как же он мог не замечать ее столько лет? И вот теперь им предстоит свадебное путешествие в райский уголок на остров Бора­Бора. Молодожены в смятении. Она — потому, что не верит своему счастью. Он — потому, что боится спугнуть вдруг нахлынувшее на него прежде не испытанное чувство…</t>
        </is>
      </c>
      <c r="S87" s="26">
        <f>HYPERLINK("http://www.cnpol.ru/covers/17431.jpg","фото на сайте")</f>
        <v/>
      </c>
    </row>
    <row r="88" ht="50.1" customHeight="1" s="3">
      <c r="A88" s="23" t="n"/>
      <c r="B88" s="24" t="inlineStr">
        <is>
          <t>18892</t>
        </is>
      </c>
      <c r="C88" s="23" t="inlineStr">
        <is>
          <t>KISS</t>
        </is>
      </c>
      <c r="D88" s="23" t="inlineStr">
        <is>
          <t>Андерсон Н.</t>
        </is>
      </c>
      <c r="E88" s="23" t="inlineStr">
        <is>
          <t>Королева ночного клуба</t>
        </is>
      </c>
      <c r="F88" s="23" t="n">
        <v>169</v>
      </c>
      <c r="G88" s="23" t="n">
        <v>128</v>
      </c>
      <c r="H88" s="23" t="n">
        <v>10</v>
      </c>
      <c r="I88" s="23" t="n">
        <v>30</v>
      </c>
      <c r="J88" s="23" t="inlineStr">
        <is>
          <t>978-5-227-08785-0</t>
        </is>
      </c>
      <c r="K88" s="23" t="inlineStr">
        <is>
          <t>70x100 1/32</t>
        </is>
      </c>
      <c r="L88" s="23" t="inlineStr">
        <is>
          <t>мяг</t>
        </is>
      </c>
      <c r="M88" s="23" t="n">
        <v>192</v>
      </c>
      <c r="N88" s="23" t="n">
        <v>2019</v>
      </c>
      <c r="O88" s="23" t="n">
        <v>90</v>
      </c>
      <c r="P88" s="23" t="n"/>
      <c r="Q88" s="23" t="n"/>
      <c r="R88" s="25" t="inlineStr">
        <is>
          <t>После травмы звезда балета и светских хроник Белла Санчес оставила большую сцену и стала хозяйкой модного ночного клуба в столице маленького островного государства. Однажды кронпринц Антонио де Сантис подсмотрел танец Беллы, заглянув в окно ее репетиционного зала. Он был поражен изяществом и темпераментом прекрасной танцовщицы. Страсть вспыхнула в его сердце. Те же чувства он прочел в глазах Беллы, и они не смогли устоять. Он принц, она танцовщица, оба убеждают себя в том, что должны расстаться, но не могут справиться со своей любовью…</t>
        </is>
      </c>
      <c r="S88" s="26">
        <f>HYPERLINK("http://www.cnpol.ru/covers/18892.jpg","фото на сайте")</f>
        <v/>
      </c>
    </row>
    <row r="89" ht="50.1" customHeight="1" s="3">
      <c r="A89" s="23" t="n"/>
      <c r="B89" s="24" t="inlineStr">
        <is>
          <t>17203</t>
        </is>
      </c>
      <c r="C89" s="23" t="inlineStr">
        <is>
          <t>KISS</t>
        </is>
      </c>
      <c r="D89" s="23" t="inlineStr">
        <is>
          <t>Сэндс Ч.</t>
        </is>
      </c>
      <c r="E89" s="23" t="inlineStr">
        <is>
          <t>Королевское искушение</t>
        </is>
      </c>
      <c r="F89" s="23" t="n">
        <v>134</v>
      </c>
      <c r="G89" s="23" t="n">
        <v>128</v>
      </c>
      <c r="H89" s="23" t="n">
        <v>10</v>
      </c>
      <c r="I89" s="23" t="n">
        <v>30</v>
      </c>
      <c r="J89" s="23" t="inlineStr">
        <is>
          <t>978-5-227-07144-6</t>
        </is>
      </c>
      <c r="K89" s="23" t="inlineStr">
        <is>
          <t>70x100 1/32</t>
        </is>
      </c>
      <c r="L89" s="23" t="inlineStr">
        <is>
          <t>мяг</t>
        </is>
      </c>
      <c r="M89" s="23" t="n">
        <v>192</v>
      </c>
      <c r="N89" s="23" t="n">
        <v>2016</v>
      </c>
      <c r="O89" s="23" t="n">
        <v>90</v>
      </c>
      <c r="P89" s="23" t="n"/>
      <c r="Q89" s="23" t="n"/>
      <c r="R89" s="25" t="inlineStr">
        <is>
          <t>Хуан­Карлос Салазар — король маленького островного государства Алма. Порция Линдстром — принцесса северного королевства Сэмфорстенд. Они познакомились на приеме по случаю коронации и с первого взгляда полюбили друг друга. Роман был бурным и страстным, за ним последовала быстрая помолвка. Однако в разгар подготовки к свадьбе Порция выясняет, что на самом деле ее семья не имеет никакого отношения к королевскому дому Сэмфорстенда. Желая предотвратить грандиозный скандал, она разрывает помолвку. Сможет ли их любовь преодолеть столь серьезные преграды?..</t>
        </is>
      </c>
      <c r="S89" s="26">
        <f>HYPERLINK("http://www.cnpol.ru/covers/17203.jpg","фото на сайте")</f>
        <v/>
      </c>
    </row>
    <row r="90" ht="50.1" customHeight="1" s="3">
      <c r="A90" s="23" t="n"/>
      <c r="B90" s="24" t="inlineStr">
        <is>
          <t>17329</t>
        </is>
      </c>
      <c r="C90" s="23" t="inlineStr">
        <is>
          <t>KISS</t>
        </is>
      </c>
      <c r="D90" s="23" t="inlineStr">
        <is>
          <t>Андерсон С.</t>
        </is>
      </c>
      <c r="E90" s="23" t="inlineStr">
        <is>
          <t>Красная роза для Френсис</t>
        </is>
      </c>
      <c r="F90" s="23" t="n">
        <v>138</v>
      </c>
      <c r="G90" s="23" t="n">
        <v>128</v>
      </c>
      <c r="H90" s="23" t="n">
        <v>10</v>
      </c>
      <c r="I90" s="23" t="n">
        <v>36</v>
      </c>
      <c r="J90" s="23" t="inlineStr">
        <is>
          <t>978-5-227-07224-5</t>
        </is>
      </c>
      <c r="K90" s="23" t="inlineStr">
        <is>
          <t>70x100 1/32</t>
        </is>
      </c>
      <c r="L90" s="23" t="inlineStr">
        <is>
          <t>мяг</t>
        </is>
      </c>
      <c r="M90" s="23" t="n">
        <v>192</v>
      </c>
      <c r="N90" s="23" t="n">
        <v>2017</v>
      </c>
      <c r="O90" s="23" t="n">
        <v>96</v>
      </c>
      <c r="P90" s="23" t="n"/>
      <c r="Q90" s="23" t="n"/>
      <c r="R90" s="25" t="inlineStr">
        <is>
          <t>Френсис Бомонт на мели. После потери семейной компании и неудачного вложения денег, полученных в наследство от отца-миллионера, девушка вынуждена перебраться в особняк одного из своих братьев и отказаться от мечты об открытии собственной галереи. Этан Логан, новый управляющий «Бомонт бруэри», сраженный красотой рыжеволосой обольстительницы, предлагает ей заключить фиктивный брак. Сделка поможет Этану укрепить свой авторитет среди служащих компании, а Френсис получит крупную сумму на развитие галереи. Эти двое не верят в любовь, но их влечет друг к ­другу, а потому изображать влюбленных им не сложно. Главное не терять голову и не забывать, что проявление чувств — это всего лишь часть сделки…</t>
        </is>
      </c>
      <c r="S90" s="26">
        <f>HYPERLINK("http://www.cnpol.ru/covers/17329.jpg","фото на сайте")</f>
        <v/>
      </c>
    </row>
    <row r="91" ht="50.1" customHeight="1" s="3">
      <c r="A91" s="23" t="n"/>
      <c r="B91" s="24" t="inlineStr">
        <is>
          <t>16810</t>
        </is>
      </c>
      <c r="C91" s="23" t="inlineStr">
        <is>
          <t>KISS</t>
        </is>
      </c>
      <c r="D91" s="23" t="inlineStr">
        <is>
          <t>Андерсон С.</t>
        </is>
      </c>
      <c r="E91" s="23" t="inlineStr">
        <is>
          <t>Кто прав, кто виноват?</t>
        </is>
      </c>
      <c r="F91" s="23" t="n">
        <v>108</v>
      </c>
      <c r="G91" s="23" t="n">
        <v>128</v>
      </c>
      <c r="H91" s="23" t="n">
        <v>10</v>
      </c>
      <c r="I91" s="23" t="n">
        <v>36</v>
      </c>
      <c r="J91" s="23" t="inlineStr">
        <is>
          <t>978-5-227-06752-4</t>
        </is>
      </c>
      <c r="K91" s="23" t="inlineStr">
        <is>
          <t>70x100 1/32</t>
        </is>
      </c>
      <c r="L91" s="23" t="inlineStr">
        <is>
          <t>мяг</t>
        </is>
      </c>
      <c r="M91" s="23" t="n">
        <v>192</v>
      </c>
      <c r="N91" s="23" t="n">
        <v>2016</v>
      </c>
      <c r="O91" s="23" t="n">
        <v>90</v>
      </c>
      <c r="P91" s="23" t="n"/>
      <c r="Q91" s="23" t="n"/>
      <c r="R91" s="25" t="inlineStr">
        <is>
          <t>Байрон Бомонт — успешный шеф­повар и совладелец пивоварни — возвращается в Денвер, чтобы вместе с братьями открыть ресторан. За год, проведенный в Испании, Байрон достиг небывалых высот в профессии, но не смог забыть Леону Харпер, их страстный роман и ее предательство. Ни время, ни расстояние не помогли залечить рану в душе Байрона, и теперь, вернувшись в родной город, он решает нанять бывшую возлюбленную в качестве дизайнера интерьера нового ресторана. У Леоны тоже есть серьезный повод обижаться на Байрона, и все же она соглашается на эту работу, ведь ей приходится в одиночку воспитывать их общего с Байроном сына, о существовании которого он даже не подозревает…</t>
        </is>
      </c>
      <c r="S91" s="26">
        <f>HYPERLINK("http://www.cnpol.ru/covers/16810.jpg","фото на сайте")</f>
        <v/>
      </c>
    </row>
    <row r="92" ht="50.1" customHeight="1" s="3">
      <c r="A92" s="23" t="n"/>
      <c r="B92" s="24" t="inlineStr">
        <is>
          <t>16989</t>
        </is>
      </c>
      <c r="C92" s="23" t="inlineStr">
        <is>
          <t>KISS</t>
        </is>
      </c>
      <c r="D92" s="23" t="inlineStr">
        <is>
          <t>Андерсон С.</t>
        </is>
      </c>
      <c r="E92" s="23" t="inlineStr">
        <is>
          <t>Ловушка для супермена</t>
        </is>
      </c>
      <c r="F92" s="23" t="n">
        <v>120</v>
      </c>
      <c r="G92" s="23" t="n">
        <v>128</v>
      </c>
      <c r="H92" s="23" t="n">
        <v>10</v>
      </c>
      <c r="I92" s="23" t="n">
        <v>36</v>
      </c>
      <c r="J92" s="23" t="inlineStr">
        <is>
          <t>978-5-227-06935-1</t>
        </is>
      </c>
      <c r="K92" s="23" t="inlineStr">
        <is>
          <t>70x100 1/32</t>
        </is>
      </c>
      <c r="L92" s="23" t="inlineStr">
        <is>
          <t>мяг</t>
        </is>
      </c>
      <c r="M92" s="23" t="n">
        <v>190</v>
      </c>
      <c r="N92" s="23" t="n">
        <v>2016</v>
      </c>
      <c r="O92" s="23" t="n">
        <v>90</v>
      </c>
      <c r="P92" s="23" t="n"/>
      <c r="Q92" s="23" t="n"/>
      <c r="R92" s="25" t="inlineStr">
        <is>
          <t>Триш – красавица, умница и лучшая студентка университета — озабочена грандиозным проектом, но на него нужны деньги. С помощью остроумной уловки она сумела так впечатлить миллиардера Нейта Лонгмайра, кстати, очень интересного мужчину, что он не отказал ей в помощи и назначил встречу, но… благополучно о ней забыл. Триш не отступила и явилась прямо в его особняк. Нейт все вспомнил и сделал девушке невероятное, но очень странное предложение, которое она приняла. А как было не принять, когда предлагают такой гонорар? Теперь у нее будут деньги на проект. Но вот беда, угораздило же ее влюбиться в миллиардера…</t>
        </is>
      </c>
      <c r="S92" s="26">
        <f>HYPERLINK("http://www.cnpol.ru/covers/16989.jpg","фото на сайте")</f>
        <v/>
      </c>
    </row>
    <row r="93" ht="50.1" customHeight="1" s="3">
      <c r="A93" s="23" t="n"/>
      <c r="B93" s="24" t="inlineStr">
        <is>
          <t>16499</t>
        </is>
      </c>
      <c r="C93" s="23" t="inlineStr">
        <is>
          <t>KISS</t>
        </is>
      </c>
      <c r="D93" s="23" t="inlineStr">
        <is>
          <t>Колтер К.</t>
        </is>
      </c>
      <c r="E93" s="23" t="inlineStr">
        <is>
          <t>Луч солнца на цветных стеклах</t>
        </is>
      </c>
      <c r="F93" s="23" t="n">
        <v>88</v>
      </c>
      <c r="G93" s="23" t="n">
        <v>128</v>
      </c>
      <c r="H93" s="23" t="n">
        <v>10</v>
      </c>
      <c r="I93" s="23" t="n">
        <v>36</v>
      </c>
      <c r="J93" s="23" t="inlineStr">
        <is>
          <t>978-5-227-06402-8</t>
        </is>
      </c>
      <c r="K93" s="23" t="inlineStr">
        <is>
          <t>70x100 1/32</t>
        </is>
      </c>
      <c r="L93" s="23" t="inlineStr">
        <is>
          <t>мяг</t>
        </is>
      </c>
      <c r="M93" s="23" t="n">
        <v>192</v>
      </c>
      <c r="N93" s="23" t="n">
        <v>2016</v>
      </c>
      <c r="O93" s="23" t="n">
        <v>90</v>
      </c>
      <c r="P93" s="23" t="n"/>
      <c r="Q93" s="23" t="n"/>
      <c r="R93" s="25" t="inlineStr">
        <is>
          <t>Поженившись после окончания университета, Кейд и Джессика были уверены, что сделают друг друга счастливыми. Кейд, быстро продвигаясь по карьерной лестнице, обеспечивал семью, Джессика, полностью посвятив себя мужу, старалась создать идеальный дом, мечтая о ребенке. Но вскоре появились первые проблемы. Кейда стали тяготить правила безупречной семьи, навязываемые женой, и он все чаще стал задерживаться на работе, где все было отлично. А Джессика после двух выкидышей никак больше не могла забеременеть. Расставшись, через год Джессика решает взять приемного ребенка и встречается с Кейдом, чтобы оформить развод… Неожиданно все проблемы решаются сами собой…</t>
        </is>
      </c>
      <c r="S93" s="26">
        <f>HYPERLINK("http://www.cnpol.ru/covers/16499.jpg","фото на сайте")</f>
        <v/>
      </c>
    </row>
    <row r="94" ht="50.1" customHeight="1" s="3">
      <c r="A94" s="23" t="n"/>
      <c r="B94" s="24" t="inlineStr">
        <is>
          <t>16294</t>
        </is>
      </c>
      <c r="C94" s="23" t="inlineStr">
        <is>
          <t>KISS</t>
        </is>
      </c>
      <c r="D94" s="23" t="inlineStr">
        <is>
          <t>Филлипс Ш.</t>
        </is>
      </c>
      <c r="E94" s="23" t="inlineStr">
        <is>
          <t>Любовь в формате "плюс один"</t>
        </is>
      </c>
      <c r="F94" s="23" t="n">
        <v>77</v>
      </c>
      <c r="G94" s="23" t="n">
        <v>128</v>
      </c>
      <c r="H94" s="23" t="n">
        <v>10</v>
      </c>
      <c r="I94" s="23" t="n">
        <v>36</v>
      </c>
      <c r="J94" s="23" t="inlineStr">
        <is>
          <t>978-5-227-06206-2</t>
        </is>
      </c>
      <c r="K94" s="23" t="inlineStr">
        <is>
          <t>70x100 1/32</t>
        </is>
      </c>
      <c r="L94" s="23" t="inlineStr">
        <is>
          <t>мяг</t>
        </is>
      </c>
      <c r="M94" s="23" t="n">
        <v>189</v>
      </c>
      <c r="N94" s="23" t="n">
        <v>2015</v>
      </c>
      <c r="O94" s="23" t="n">
        <v>90</v>
      </c>
      <c r="P94" s="23" t="n"/>
      <c r="Q94" s="23" t="n"/>
      <c r="R94" s="25" t="inlineStr">
        <is>
          <t>Эмма профессиональный юрист, она умна, элегантна и привлекательна и вообще состоит из одних достоинств. Однако ее мать считает дочь неудачницей, так, во всяком случае, она выглядит на фоне своего успешного брата. Ее репутацию в глазах матери мог бы спасти удачный брак, но даже на это Эмма не способна. И тогда девушка придумала предъявить родителям в качестве бойфренда богатого бизнесмена, закоренелого холостяка Дэна Моргана, связанного с нею деловыми отношениями. Дэну тоже нужна достойная спутница, не предъявлять же обществу пустоголовых грудастых блондинок, с которыми он завязывает короткие романы. Все шло хорошо, пока Эмма не увлеклась другим мужчиной…</t>
        </is>
      </c>
      <c r="S94" s="26">
        <f>HYPERLINK("http://www.cnpol.ru/covers/16294.jpg","фото на сайте")</f>
        <v/>
      </c>
    </row>
    <row r="95" ht="50.1" customHeight="1" s="3">
      <c r="A95" s="23" t="n"/>
      <c r="B95" s="24" t="inlineStr">
        <is>
          <t>19242</t>
        </is>
      </c>
      <c r="C95" s="23" t="inlineStr">
        <is>
          <t>KISS</t>
        </is>
      </c>
      <c r="D95" s="23" t="inlineStr">
        <is>
          <t>Маринелли К.</t>
        </is>
      </c>
      <c r="E95" s="23" t="inlineStr">
        <is>
          <t>Любовь всегда права</t>
        </is>
      </c>
      <c r="F95" s="23" t="n">
        <v>176</v>
      </c>
      <c r="G95" s="23" t="n">
        <v>128</v>
      </c>
      <c r="H95" s="23" t="n">
        <v>10</v>
      </c>
      <c r="I95" s="23" t="n">
        <v>30</v>
      </c>
      <c r="J95" s="23" t="inlineStr">
        <is>
          <t>978-5-227-09065-2</t>
        </is>
      </c>
      <c r="K95" s="23" t="inlineStr">
        <is>
          <t>70x100 1/32</t>
        </is>
      </c>
      <c r="L95" s="23" t="inlineStr">
        <is>
          <t>мяг</t>
        </is>
      </c>
      <c r="M95" s="23" t="n">
        <v>192</v>
      </c>
      <c r="N95" s="23" t="n">
        <v>2020</v>
      </c>
      <c r="O95" s="23" t="n">
        <v>90</v>
      </c>
      <c r="P95" s="23" t="n"/>
      <c r="Q95" s="23" t="n"/>
      <c r="R95" s="25" t="inlineStr">
        <is>
          <t>Аня — прима­балерина русского балета. На гастролях в Лондоне после спектакля, в котором она исполняет первую партию, за кулисы приходит Роман Зверев. Семнадцать лет назад он исчез из жизни Ани, но она по­прежнему любит его. Она знала, что, уехав из России, Роман вступил в Иностранный легион, где прослужил десять лет. Он разбогател и, уволившись из легиона, женился на парижанке, несколькими годами старше его. Теперь, когда они снова встретились, Аня хочет знать, почему он так жестоко поступил с ней. Между ними происходит бурная любовная сцена, но Роман снова уходит, так ничего и не объяснив...</t>
        </is>
      </c>
      <c r="S95" s="26">
        <f>HYPERLINK("http://www.cnpol.ru/covers/19242.jpg","фото на сайте")</f>
        <v/>
      </c>
    </row>
    <row r="96" ht="50.1" customHeight="1" s="3">
      <c r="A96" s="23" t="n"/>
      <c r="B96" s="24" t="inlineStr">
        <is>
          <t>16953</t>
        </is>
      </c>
      <c r="C96" s="23" t="inlineStr">
        <is>
          <t>KISS</t>
        </is>
      </c>
      <c r="D96" s="23" t="inlineStr">
        <is>
          <t>Мейнард Д.</t>
        </is>
      </c>
      <c r="E96" s="23" t="inlineStr">
        <is>
          <t>Любовь государственной важности</t>
        </is>
      </c>
      <c r="F96" s="23" t="n">
        <v>117</v>
      </c>
      <c r="G96" s="23" t="n">
        <v>128</v>
      </c>
      <c r="H96" s="23" t="n">
        <v>10</v>
      </c>
      <c r="I96" s="23" t="n">
        <v>36</v>
      </c>
      <c r="J96" s="23" t="inlineStr">
        <is>
          <t>978-5-227-06850-7</t>
        </is>
      </c>
      <c r="K96" s="23" t="inlineStr">
        <is>
          <t>70x100 1/32</t>
        </is>
      </c>
      <c r="L96" s="23" t="inlineStr">
        <is>
          <t>мяг</t>
        </is>
      </c>
      <c r="M96" s="23" t="n">
        <v>192</v>
      </c>
      <c r="N96" s="23" t="n">
        <v>2016</v>
      </c>
      <c r="O96" s="23" t="n">
        <v>90</v>
      </c>
      <c r="P96" s="23" t="n"/>
      <c r="Q96" s="23" t="n"/>
      <c r="R96" s="25" t="inlineStr">
        <is>
          <t>Мария работала секретарем Алекса, красивого, умного, статного мужчины, занимающего весьма высокую должность. Марии очень нравился босс, но она не питала на его счет никаких иллюзий: она — девушка из низов, а он – старший сын в аристократической семье. Однажды Алекс женится, как положено, на женщине своего круга. Однако ответственная командировка в Майами изменила все. Под горячим солнцем Флориды между молодыми людьми пробежала искра, страсть буквально бросила их в объятия друг друга, они узнали, что такое блаженство, осталось только понять, насколько серьезны их отношения…</t>
        </is>
      </c>
      <c r="S96" s="26">
        <f>HYPERLINK("http://www.cnpol.ru/covers/16953.jpg","фото на сайте")</f>
        <v/>
      </c>
    </row>
    <row r="97" ht="50.1" customHeight="1" s="3">
      <c r="A97" s="23" t="n"/>
      <c r="B97" s="24" t="inlineStr">
        <is>
          <t>15549</t>
        </is>
      </c>
      <c r="C97" s="23" t="inlineStr">
        <is>
          <t>KISS</t>
        </is>
      </c>
      <c r="D97" s="23" t="inlineStr">
        <is>
          <t>Логан Н.</t>
        </is>
      </c>
      <c r="E97" s="23" t="inlineStr">
        <is>
          <t>Любовь до полуночи</t>
        </is>
      </c>
      <c r="F97" s="23" t="n">
        <v>28</v>
      </c>
      <c r="G97" s="23" t="n">
        <v>128</v>
      </c>
      <c r="H97" s="23" t="n">
        <v>10</v>
      </c>
      <c r="I97" s="23" t="n">
        <v>36</v>
      </c>
      <c r="J97" s="23" t="inlineStr">
        <is>
          <t>978-5-227-05045-8</t>
        </is>
      </c>
      <c r="K97" s="23" t="inlineStr">
        <is>
          <t>70x100 1/32</t>
        </is>
      </c>
      <c r="L97" s="23" t="inlineStr">
        <is>
          <t>мяг</t>
        </is>
      </c>
      <c r="M97" s="23" t="n">
        <v>190</v>
      </c>
      <c r="N97" s="23" t="n">
        <v>2014</v>
      </c>
      <c r="O97" s="23" t="n">
        <v>90</v>
      </c>
      <c r="P97" s="23" t="n"/>
      <c r="Q97" s="23" t="n"/>
      <c r="R97" s="25" t="inlineStr">
        <is>
          <t>У Одри Дивейни и Оливера Хармера есть замечательная традиция — каждый год под Рождество они встречаются в роскошном ресторане в Гонконге, чтобы поужинать и дружески поболтать. Один из таких вполне невинных ужинов изменит жизнь обоих — откроет неловкие тайны, вызовет давно забытые неприятные воспоминания, заставит разобраться в себе и в своих чувствах и поможет выяснить, кто же они друг другу: приятели, друзья или нечто большее.</t>
        </is>
      </c>
      <c r="S97" s="26">
        <f>HYPERLINK("http://www.cnpol.ru/covers/15549.jpg","фото на сайте")</f>
        <v/>
      </c>
    </row>
    <row r="98" ht="50.1" customHeight="1" s="3">
      <c r="A98" s="23" t="n"/>
      <c r="B98" s="24" t="inlineStr">
        <is>
          <t>19300</t>
        </is>
      </c>
      <c r="C98" s="23" t="inlineStr">
        <is>
          <t>KISS</t>
        </is>
      </c>
      <c r="D98" s="23" t="inlineStr">
        <is>
          <t>Гилмор Д.</t>
        </is>
      </c>
      <c r="E98" s="23" t="inlineStr">
        <is>
          <t>Любовь со второго взгляда</t>
        </is>
      </c>
      <c r="F98" s="23" t="n">
        <v>177</v>
      </c>
      <c r="G98" s="23" t="n">
        <v>128</v>
      </c>
      <c r="H98" s="23" t="n">
        <v>10</v>
      </c>
      <c r="I98" s="23" t="n">
        <v>30</v>
      </c>
      <c r="J98" s="23" t="inlineStr">
        <is>
          <t>978-5-227-09097-3</t>
        </is>
      </c>
      <c r="K98" s="23" t="inlineStr">
        <is>
          <t>70x100 1/32</t>
        </is>
      </c>
      <c r="L98" s="23" t="inlineStr">
        <is>
          <t>мяг</t>
        </is>
      </c>
      <c r="M98" s="23" t="n">
        <v>192</v>
      </c>
      <c r="N98" s="23" t="n">
        <v>2020</v>
      </c>
      <c r="O98" s="23" t="n">
        <v>90</v>
      </c>
      <c r="P98" s="23" t="n"/>
      <c r="Q98" s="23" t="n"/>
      <c r="R98" s="25" t="inlineStr">
        <is>
          <t>После того как погибли родители, Хоуп растила младшую сестру Фэйт, отдавая ей все свои силы и любовь. И вот Фэйт сообщает, что через две недели выходит замуж, и просит старшую сестру организовать для нее свадьбу. Хоуп понимает, что устроить торжество за такой короткий срок невозможно, и обращается за помощью к сводному брату жениха Гаэлю, известному художнику со связями. Но тот заявляет, что поможет только в том случае, если Хоуп станет позировать ему в обнаженном виде. Скрепя сердце девушка соглашается. Молодые люди все сильнее привязываются друг к другу и проводят вместе страстные ночи. Но все же оба уверены, что расстанутся, как только Гаэль напишет портрет Хоуп, а Хантер и Фэйт отпразднуют свадьбу…</t>
        </is>
      </c>
      <c r="S98" s="26">
        <f>HYPERLINK("http://www.cnpol.ru/covers/19300.jpg","фото на сайте")</f>
        <v/>
      </c>
    </row>
    <row r="99" ht="50.1" customHeight="1" s="3">
      <c r="A99" s="23" t="n"/>
      <c r="B99" s="24" t="inlineStr">
        <is>
          <t>15489</t>
        </is>
      </c>
      <c r="C99" s="23" t="inlineStr">
        <is>
          <t>KISS</t>
        </is>
      </c>
      <c r="D99" s="23" t="inlineStr">
        <is>
          <t>Браун Д.</t>
        </is>
      </c>
      <c r="E99" s="23" t="inlineStr">
        <is>
          <t>Медовый месяц в Греции</t>
        </is>
      </c>
      <c r="F99" s="23" t="n">
        <v>23</v>
      </c>
      <c r="G99" s="23" t="n">
        <v>128</v>
      </c>
      <c r="H99" s="23" t="n">
        <v>10</v>
      </c>
      <c r="I99" s="23" t="n">
        <v>36</v>
      </c>
      <c r="J99" s="23" t="inlineStr">
        <is>
          <t>978-5-227-05459-3</t>
        </is>
      </c>
      <c r="K99" s="23" t="inlineStr">
        <is>
          <t>70x100 1/32</t>
        </is>
      </c>
      <c r="L99" s="23" t="inlineStr">
        <is>
          <t>мяг</t>
        </is>
      </c>
      <c r="M99" s="23" t="n">
        <v>190</v>
      </c>
      <c r="N99" s="23" t="n">
        <v>2014</v>
      </c>
      <c r="O99" s="23" t="n">
        <v>92</v>
      </c>
      <c r="P99" s="23" t="n"/>
      <c r="Q99" s="23" t="n"/>
      <c r="R99" s="25" t="n"/>
      <c r="S99" s="26">
        <f>HYPERLINK("http://www.cnpol.ru/covers/15489.jpg","фото на сайте")</f>
        <v/>
      </c>
    </row>
    <row r="100" ht="50.1" customHeight="1" s="3">
      <c r="A100" s="23" t="n"/>
      <c r="B100" s="24" t="inlineStr">
        <is>
          <t>19849</t>
        </is>
      </c>
      <c r="C100" s="23" t="inlineStr">
        <is>
          <t>KISS</t>
        </is>
      </c>
      <c r="D100" s="23" t="inlineStr">
        <is>
          <t>Пэмми Т.</t>
        </is>
      </c>
      <c r="E100" s="23" t="inlineStr">
        <is>
          <t>Медовый месяц на Бали</t>
        </is>
      </c>
      <c r="F100" s="23" t="n">
        <v>183</v>
      </c>
      <c r="G100" s="23" t="n">
        <v>128</v>
      </c>
      <c r="H100" s="23" t="n">
        <v>10</v>
      </c>
      <c r="I100" s="23" t="n">
        <v>28</v>
      </c>
      <c r="J100" s="23" t="inlineStr">
        <is>
          <t>978-5-227-09512-1</t>
        </is>
      </c>
      <c r="K100" s="23" t="inlineStr">
        <is>
          <t>70x100 1/32</t>
        </is>
      </c>
      <c r="L100" s="23" t="inlineStr">
        <is>
          <t>мяг</t>
        </is>
      </c>
      <c r="M100" s="23" t="n">
        <v>192</v>
      </c>
      <c r="N100" s="23" t="n">
        <v>2021</v>
      </c>
      <c r="O100" s="23" t="n">
        <v>90</v>
      </c>
      <c r="P100" s="23" t="n"/>
      <c r="Q100" s="23" t="n"/>
      <c r="R100" s="25" t="n"/>
      <c r="S100" s="26">
        <f>HYPERLINK("http://www.cnpol.ru/covers/19849.jpg","фото на сайте")</f>
        <v/>
      </c>
    </row>
    <row r="101" ht="50.1" customHeight="1" s="3">
      <c r="A101" s="23" t="n"/>
      <c r="B101" s="24" t="inlineStr">
        <is>
          <t>16954</t>
        </is>
      </c>
      <c r="C101" s="23" t="inlineStr">
        <is>
          <t>KISS</t>
        </is>
      </c>
      <c r="D101" s="23" t="inlineStr">
        <is>
          <t>Карпентер Т.</t>
        </is>
      </c>
      <c r="E101" s="23" t="inlineStr">
        <is>
          <t>Мелодрама по голливудски</t>
        </is>
      </c>
      <c r="F101" s="23" t="n">
        <v>118</v>
      </c>
      <c r="G101" s="23" t="n">
        <v>128</v>
      </c>
      <c r="H101" s="23" t="n">
        <v>10</v>
      </c>
      <c r="I101" s="23" t="n">
        <v>36</v>
      </c>
      <c r="J101" s="23" t="inlineStr">
        <is>
          <t>978-5-227-06933-7</t>
        </is>
      </c>
      <c r="K101" s="23" t="inlineStr">
        <is>
          <t>70x100 1/32</t>
        </is>
      </c>
      <c r="L101" s="23" t="inlineStr">
        <is>
          <t>мяг</t>
        </is>
      </c>
      <c r="M101" s="23" t="n">
        <v>192</v>
      </c>
      <c r="N101" s="23" t="n">
        <v>2016</v>
      </c>
      <c r="O101" s="23" t="n">
        <v>90</v>
      </c>
      <c r="P101" s="23" t="n"/>
      <c r="Q101" s="23" t="n"/>
      <c r="R101" s="25" t="n"/>
      <c r="S101" s="26">
        <f>HYPERLINK("http://www.cnpol.ru/covers/16954.jpg","фото на сайте")</f>
        <v/>
      </c>
    </row>
    <row r="102" ht="50.1" customHeight="1" s="3">
      <c r="A102" s="23" t="n"/>
      <c r="B102" s="24" t="inlineStr">
        <is>
          <t>16068</t>
        </is>
      </c>
      <c r="C102" s="23" t="inlineStr">
        <is>
          <t>KISS</t>
        </is>
      </c>
      <c r="D102" s="23" t="inlineStr">
        <is>
          <t>Карсон Э.</t>
        </is>
      </c>
      <c r="E102" s="23" t="inlineStr">
        <is>
          <t>Монополия на верность</t>
        </is>
      </c>
      <c r="F102" s="23" t="n">
        <v>62</v>
      </c>
      <c r="G102" s="23" t="n">
        <v>128</v>
      </c>
      <c r="H102" s="23" t="n">
        <v>10</v>
      </c>
      <c r="I102" s="23" t="n">
        <v>36</v>
      </c>
      <c r="J102" s="23" t="inlineStr">
        <is>
          <t>978-5-227-06072-3</t>
        </is>
      </c>
      <c r="K102" s="23" t="inlineStr">
        <is>
          <t>70x100 1/32</t>
        </is>
      </c>
      <c r="L102" s="23" t="inlineStr">
        <is>
          <t>мяг</t>
        </is>
      </c>
      <c r="M102" s="23" t="n">
        <v>190</v>
      </c>
      <c r="N102" s="23" t="n">
        <v>2015</v>
      </c>
      <c r="O102" s="23" t="n">
        <v>90</v>
      </c>
      <c r="P102" s="23" t="n"/>
      <c r="Q102" s="23" t="n"/>
      <c r="R102" s="25" t="n"/>
      <c r="S102" s="26">
        <f>HYPERLINK("http://www.cnpol.ru/covers/16068.jpg","фото на сайте")</f>
        <v/>
      </c>
    </row>
    <row r="103" ht="50.1" customHeight="1" s="3">
      <c r="A103" s="23" t="n"/>
      <c r="B103" s="24" t="inlineStr">
        <is>
          <t>16470</t>
        </is>
      </c>
      <c r="C103" s="23" t="inlineStr">
        <is>
          <t>KISS</t>
        </is>
      </c>
      <c r="D103" s="23" t="inlineStr">
        <is>
          <t>Дуглас М.</t>
        </is>
      </c>
      <c r="E103" s="23" t="inlineStr">
        <is>
          <t>Мужчина для амазонки</t>
        </is>
      </c>
      <c r="F103" s="23" t="n">
        <v>86</v>
      </c>
      <c r="G103" s="23" t="n">
        <v>128</v>
      </c>
      <c r="H103" s="23" t="n">
        <v>10</v>
      </c>
      <c r="I103" s="23" t="n">
        <v>36</v>
      </c>
      <c r="J103" s="23" t="inlineStr">
        <is>
          <t>978-5-227-06367-0</t>
        </is>
      </c>
      <c r="K103" s="23" t="inlineStr">
        <is>
          <t>70x100 1/32</t>
        </is>
      </c>
      <c r="L103" s="23" t="inlineStr">
        <is>
          <t>мяг</t>
        </is>
      </c>
      <c r="M103" s="23" t="n">
        <v>192</v>
      </c>
      <c r="N103" s="23" t="n">
        <v>2016</v>
      </c>
      <c r="O103" s="23" t="n">
        <v>90</v>
      </c>
      <c r="P103" s="23" t="n"/>
      <c r="Q103" s="23" t="n"/>
      <c r="R103" s="25" t="n"/>
      <c r="S103" s="26">
        <f>HYPERLINK("http://www.cnpol.ru/covers/16470.jpg","фото на сайте")</f>
        <v/>
      </c>
    </row>
    <row r="104" ht="50.1" customHeight="1" s="3">
      <c r="A104" s="23" t="n"/>
      <c r="B104" s="24" t="inlineStr">
        <is>
          <t>17694</t>
        </is>
      </c>
      <c r="C104" s="23" t="inlineStr">
        <is>
          <t>KISS</t>
        </is>
      </c>
      <c r="D104" s="23" t="inlineStr">
        <is>
          <t>Милн Н.</t>
        </is>
      </c>
      <c r="E104" s="23" t="inlineStr">
        <is>
          <t>Невеста по контракту</t>
        </is>
      </c>
      <c r="F104" s="23" t="n">
        <v>147</v>
      </c>
      <c r="G104" s="23" t="n">
        <v>128</v>
      </c>
      <c r="H104" s="23" t="n">
        <v>10</v>
      </c>
      <c r="I104" s="23" t="n">
        <v>36</v>
      </c>
      <c r="J104" s="23" t="inlineStr">
        <is>
          <t>978-5-227-07325-9</t>
        </is>
      </c>
      <c r="K104" s="23" t="inlineStr">
        <is>
          <t>70x100 1/32</t>
        </is>
      </c>
      <c r="L104" s="23" t="inlineStr">
        <is>
          <t>мяг</t>
        </is>
      </c>
      <c r="M104" s="23" t="n">
        <v>192</v>
      </c>
      <c r="N104" s="23" t="n">
        <v>2017</v>
      </c>
      <c r="O104" s="23" t="n">
        <v>90</v>
      </c>
      <c r="P104" s="23" t="n"/>
      <c r="Q104" s="23" t="n"/>
      <c r="R104" s="25" t="n"/>
      <c r="S104" s="26">
        <f>HYPERLINK("http://www.cnpol.ru/covers/17694.jpg","фото на сайте")</f>
        <v/>
      </c>
    </row>
    <row r="105" ht="50.1" customHeight="1" s="3">
      <c r="A105" s="23" t="n"/>
      <c r="B105" s="24" t="inlineStr">
        <is>
          <t>17144</t>
        </is>
      </c>
      <c r="C105" s="23" t="inlineStr">
        <is>
          <t>KISS</t>
        </is>
      </c>
      <c r="D105" s="23" t="inlineStr">
        <is>
          <t>Ханней Б.</t>
        </is>
      </c>
      <c r="E105" s="23" t="inlineStr">
        <is>
          <t>Незнакомый муж</t>
        </is>
      </c>
      <c r="F105" s="23" t="n">
        <v>132</v>
      </c>
      <c r="G105" s="23" t="n">
        <v>128</v>
      </c>
      <c r="H105" s="23" t="n">
        <v>10</v>
      </c>
      <c r="I105" s="23" t="n">
        <v>36</v>
      </c>
      <c r="J105" s="23" t="inlineStr">
        <is>
          <t>978-5-227-07142-2</t>
        </is>
      </c>
      <c r="K105" s="23" t="inlineStr">
        <is>
          <t>70x100 1/32</t>
        </is>
      </c>
      <c r="L105" s="23" t="inlineStr">
        <is>
          <t>мяг</t>
        </is>
      </c>
      <c r="M105" s="23" t="n">
        <v>192</v>
      </c>
      <c r="N105" s="23" t="n">
        <v>2016</v>
      </c>
      <c r="O105" s="23" t="n">
        <v>90</v>
      </c>
      <c r="P105" s="23" t="n"/>
      <c r="Q105" s="23" t="n"/>
      <c r="R105" s="25" t="n"/>
      <c r="S105" s="26">
        <f>HYPERLINK("http://www.cnpol.ru/covers/17144.jpg","фото на сайте")</f>
        <v/>
      </c>
    </row>
    <row r="106" ht="50.1" customHeight="1" s="3">
      <c r="A106" s="23" t="n"/>
      <c r="B106" s="24" t="inlineStr">
        <is>
          <t>15528</t>
        </is>
      </c>
      <c r="C106" s="23" t="inlineStr">
        <is>
          <t>KISS</t>
        </is>
      </c>
      <c r="D106" s="23" t="inlineStr">
        <is>
          <t>Хантер К.</t>
        </is>
      </c>
      <c r="E106" s="23" t="inlineStr">
        <is>
          <t>О чем не знала невеста</t>
        </is>
      </c>
      <c r="F106" s="23" t="n">
        <v>26</v>
      </c>
      <c r="G106" s="23" t="n">
        <v>128</v>
      </c>
      <c r="H106" s="23" t="n">
        <v>10</v>
      </c>
      <c r="I106" s="23" t="n">
        <v>36</v>
      </c>
      <c r="J106" s="23" t="inlineStr">
        <is>
          <t>978-5-227-05496-8</t>
        </is>
      </c>
      <c r="K106" s="23" t="inlineStr">
        <is>
          <t>70x100 1/32</t>
        </is>
      </c>
      <c r="L106" s="23" t="inlineStr">
        <is>
          <t>мяг</t>
        </is>
      </c>
      <c r="M106" s="23" t="n">
        <v>190</v>
      </c>
      <c r="N106" s="23" t="n">
        <v>2014</v>
      </c>
      <c r="O106" s="23" t="n">
        <v>90</v>
      </c>
      <c r="P106" s="23" t="n"/>
      <c r="Q106" s="23" t="n"/>
      <c r="R106" s="25" t="n"/>
      <c r="S106" s="26">
        <f>HYPERLINK("http://www.cnpol.ru/covers/15528.jpg","фото на сайте")</f>
        <v/>
      </c>
    </row>
    <row r="107" ht="50.1" customHeight="1" s="3">
      <c r="A107" s="23" t="n"/>
      <c r="B107" s="24" t="inlineStr">
        <is>
          <t>17767</t>
        </is>
      </c>
      <c r="C107" s="23" t="inlineStr">
        <is>
          <t>KISS</t>
        </is>
      </c>
      <c r="D107" s="23" t="inlineStr">
        <is>
          <t>Вейд Д.</t>
        </is>
      </c>
      <c r="E107" s="23" t="inlineStr">
        <is>
          <t>Огонь давней любви</t>
        </is>
      </c>
      <c r="F107" s="23" t="n">
        <v>148</v>
      </c>
      <c r="G107" s="23" t="n">
        <v>128</v>
      </c>
      <c r="H107" s="23" t="n">
        <v>10</v>
      </c>
      <c r="I107" s="23" t="n">
        <v>36</v>
      </c>
      <c r="J107" s="23" t="inlineStr">
        <is>
          <t>978-5-227-07744-8</t>
        </is>
      </c>
      <c r="K107" s="23" t="inlineStr">
        <is>
          <t>70x100 1/32</t>
        </is>
      </c>
      <c r="L107" s="23" t="inlineStr">
        <is>
          <t>мяг</t>
        </is>
      </c>
      <c r="M107" s="23" t="n">
        <v>160</v>
      </c>
      <c r="N107" s="23" t="n">
        <v>2017</v>
      </c>
      <c r="O107" s="23" t="n">
        <v>90</v>
      </c>
      <c r="P107" s="23" t="n"/>
      <c r="Q107" s="23" t="n"/>
      <c r="R107" s="25" t="n"/>
      <c r="S107" s="26">
        <f>HYPERLINK("http://www.cnpol.ru/covers/17767.jpg","фото на сайте")</f>
        <v/>
      </c>
    </row>
    <row r="108" ht="50.1" customHeight="1" s="3">
      <c r="A108" s="23" t="n"/>
      <c r="B108" s="24" t="inlineStr">
        <is>
          <t>19075</t>
        </is>
      </c>
      <c r="C108" s="23" t="inlineStr">
        <is>
          <t>KISS</t>
        </is>
      </c>
      <c r="D108" s="23" t="inlineStr">
        <is>
          <t>Де Пало А.</t>
        </is>
      </c>
      <c r="E108" s="23" t="inlineStr">
        <is>
          <t>Один шаг до любви</t>
        </is>
      </c>
      <c r="F108" s="23" t="n">
        <v>173</v>
      </c>
      <c r="G108" s="23" t="n">
        <v>128</v>
      </c>
      <c r="H108" s="23" t="n">
        <v>10</v>
      </c>
      <c r="I108" s="23" t="n">
        <v>30</v>
      </c>
      <c r="J108" s="23" t="inlineStr">
        <is>
          <t>978-5-227-08952-6</t>
        </is>
      </c>
      <c r="K108" s="23" t="inlineStr">
        <is>
          <t>70x100 1/32</t>
        </is>
      </c>
      <c r="L108" s="23" t="inlineStr">
        <is>
          <t>мяг</t>
        </is>
      </c>
      <c r="M108" s="23" t="n">
        <v>192</v>
      </c>
      <c r="N108" s="23" t="n">
        <v>2020</v>
      </c>
      <c r="O108" s="23" t="n">
        <v>90</v>
      </c>
      <c r="P108" s="23" t="n"/>
      <c r="Q108" s="23" t="n"/>
      <c r="R108" s="25" t="n"/>
      <c r="S108" s="26">
        <f>HYPERLINK("http://www.cnpol.ru/covers/19075.jpg","фото на сайте")</f>
        <v/>
      </c>
    </row>
    <row r="109" ht="50.1" customHeight="1" s="3">
      <c r="A109" s="23" t="n"/>
      <c r="B109" s="24" t="inlineStr">
        <is>
          <t>16687</t>
        </is>
      </c>
      <c r="C109" s="23" t="inlineStr">
        <is>
          <t>KISS</t>
        </is>
      </c>
      <c r="D109" s="23" t="inlineStr">
        <is>
          <t>Фрэнсис М.</t>
        </is>
      </c>
      <c r="E109" s="23" t="inlineStr">
        <is>
          <t>Опасная штучка</t>
        </is>
      </c>
      <c r="F109" s="23" t="n">
        <v>100</v>
      </c>
      <c r="G109" s="23" t="n">
        <v>128</v>
      </c>
      <c r="H109" s="23" t="n">
        <v>10</v>
      </c>
      <c r="I109" s="23" t="n">
        <v>36</v>
      </c>
      <c r="J109" s="23" t="inlineStr">
        <is>
          <t>978-5-227-06713-5</t>
        </is>
      </c>
      <c r="K109" s="23" t="inlineStr">
        <is>
          <t>70x100 1/32</t>
        </is>
      </c>
      <c r="L109" s="23" t="inlineStr">
        <is>
          <t>мяг</t>
        </is>
      </c>
      <c r="M109" s="23" t="n">
        <v>192</v>
      </c>
      <c r="N109" s="23" t="n">
        <v>2016</v>
      </c>
      <c r="O109" s="23" t="n">
        <v>90</v>
      </c>
      <c r="P109" s="23" t="n"/>
      <c r="Q109" s="23" t="n"/>
      <c r="R109" s="25" t="n"/>
      <c r="S109" s="26">
        <f>HYPERLINK("http://www.cnpol.ru/covers/16687.jpg","фото на сайте")</f>
        <v/>
      </c>
    </row>
    <row r="110" ht="50.1" customHeight="1" s="3">
      <c r="A110" s="23" t="n"/>
      <c r="B110" s="24" t="inlineStr">
        <is>
          <t>16575</t>
        </is>
      </c>
      <c r="C110" s="23" t="inlineStr">
        <is>
          <t>KISS</t>
        </is>
      </c>
      <c r="D110" s="23" t="inlineStr">
        <is>
          <t>Уилсон С.</t>
        </is>
      </c>
      <c r="E110" s="23" t="inlineStr">
        <is>
          <t>Остров  для двоих</t>
        </is>
      </c>
      <c r="F110" s="23" t="n">
        <v>92</v>
      </c>
      <c r="G110" s="23" t="n">
        <v>128</v>
      </c>
      <c r="H110" s="23" t="n">
        <v>10</v>
      </c>
      <c r="I110" s="23" t="n">
        <v>36</v>
      </c>
      <c r="J110" s="23" t="inlineStr">
        <is>
          <t>978-5-227-06497-4</t>
        </is>
      </c>
      <c r="K110" s="23" t="inlineStr">
        <is>
          <t>70x100 1/32</t>
        </is>
      </c>
      <c r="L110" s="23" t="inlineStr">
        <is>
          <t>мяг</t>
        </is>
      </c>
      <c r="M110" s="23" t="n">
        <v>192</v>
      </c>
      <c r="N110" s="23" t="n">
        <v>2016</v>
      </c>
      <c r="O110" s="23" t="n">
        <v>90</v>
      </c>
      <c r="P110" s="23" t="n"/>
      <c r="Q110" s="23" t="n"/>
      <c r="R110" s="25" t="n"/>
      <c r="S110" s="26">
        <f>HYPERLINK("http://www.cnpol.ru/covers/16575.jpg","фото на сайте")</f>
        <v/>
      </c>
    </row>
    <row r="111" ht="50.1" customHeight="1" s="3">
      <c r="A111" s="23" t="n"/>
      <c r="B111" s="24" t="inlineStr">
        <is>
          <t>17143</t>
        </is>
      </c>
      <c r="C111" s="23" t="inlineStr">
        <is>
          <t>KISS</t>
        </is>
      </c>
      <c r="D111" s="23" t="inlineStr">
        <is>
          <t>Кэнтрелл К.</t>
        </is>
      </c>
      <c r="E111" s="23" t="inlineStr">
        <is>
          <t>Остров любви в океане страсти</t>
        </is>
      </c>
      <c r="F111" s="23" t="n">
        <v>131</v>
      </c>
      <c r="G111" s="23" t="n">
        <v>128</v>
      </c>
      <c r="H111" s="23" t="n">
        <v>10</v>
      </c>
      <c r="I111" s="23" t="n">
        <v>36</v>
      </c>
      <c r="J111" s="23" t="inlineStr">
        <is>
          <t>978-5-227-07141-5</t>
        </is>
      </c>
      <c r="K111" s="23" t="inlineStr">
        <is>
          <t>70x100 1/32</t>
        </is>
      </c>
      <c r="L111" s="23" t="inlineStr">
        <is>
          <t>мяг</t>
        </is>
      </c>
      <c r="M111" s="23" t="n">
        <v>192</v>
      </c>
      <c r="N111" s="23" t="n">
        <v>2016</v>
      </c>
      <c r="O111" s="23" t="n">
        <v>90</v>
      </c>
      <c r="P111" s="23" t="n"/>
      <c r="Q111" s="23" t="n"/>
      <c r="R111" s="25" t="n"/>
      <c r="S111" s="26">
        <f>HYPERLINK("http://www.cnpol.ru/covers/17143.jpg","фото на сайте")</f>
        <v/>
      </c>
    </row>
    <row r="112" ht="50.1" customHeight="1" s="3">
      <c r="A112" s="23" t="n"/>
      <c r="B112" s="24" t="inlineStr">
        <is>
          <t>19125</t>
        </is>
      </c>
      <c r="C112" s="23" t="inlineStr">
        <is>
          <t>KISS</t>
        </is>
      </c>
      <c r="D112" s="23" t="inlineStr">
        <is>
          <t>Манн К.</t>
        </is>
      </c>
      <c r="E112" s="23" t="inlineStr">
        <is>
          <t>Остров сбывшейся мечты</t>
        </is>
      </c>
      <c r="F112" s="23" t="n">
        <v>174</v>
      </c>
      <c r="G112" s="23" t="n">
        <v>128</v>
      </c>
      <c r="H112" s="23" t="n">
        <v>10</v>
      </c>
      <c r="I112" s="23" t="n">
        <v>30</v>
      </c>
      <c r="J112" s="23" t="inlineStr">
        <is>
          <t>978-5-227-08974-8</t>
        </is>
      </c>
      <c r="K112" s="23" t="inlineStr">
        <is>
          <t>70x100 1/32</t>
        </is>
      </c>
      <c r="L112" s="23" t="inlineStr">
        <is>
          <t>мяг</t>
        </is>
      </c>
      <c r="M112" s="23" t="n">
        <v>192</v>
      </c>
      <c r="N112" s="23" t="n">
        <v>2020</v>
      </c>
      <c r="O112" s="23" t="n">
        <v>90</v>
      </c>
      <c r="P112" s="23" t="n"/>
      <c r="Q112" s="23" t="n"/>
      <c r="R112" s="25" t="n"/>
      <c r="S112" s="26">
        <f>HYPERLINK("http://www.cnpol.ru/covers/19125.jpg","фото на сайте")</f>
        <v/>
      </c>
    </row>
    <row r="113" ht="50.1" customHeight="1" s="3">
      <c r="A113" s="23" t="n"/>
      <c r="B113" s="24" t="inlineStr">
        <is>
          <t>16588</t>
        </is>
      </c>
      <c r="C113" s="23" t="inlineStr">
        <is>
          <t>KISS</t>
        </is>
      </c>
      <c r="D113" s="23" t="inlineStr">
        <is>
          <t>Вейд Д.</t>
        </is>
      </c>
      <c r="E113" s="23" t="inlineStr">
        <is>
          <t>Ответное желание</t>
        </is>
      </c>
      <c r="F113" s="23" t="n">
        <v>94</v>
      </c>
      <c r="G113" s="23" t="n">
        <v>128</v>
      </c>
      <c r="H113" s="23" t="n">
        <v>10</v>
      </c>
      <c r="I113" s="23" t="n">
        <v>36</v>
      </c>
      <c r="J113" s="23" t="inlineStr">
        <is>
          <t>978-5-227-06499-8</t>
        </is>
      </c>
      <c r="K113" s="23" t="inlineStr">
        <is>
          <t>70x100 1/32</t>
        </is>
      </c>
      <c r="L113" s="23" t="inlineStr">
        <is>
          <t>мяг</t>
        </is>
      </c>
      <c r="M113" s="23" t="n">
        <v>192</v>
      </c>
      <c r="N113" s="23" t="n">
        <v>2016</v>
      </c>
      <c r="O113" s="23" t="n">
        <v>90</v>
      </c>
      <c r="P113" s="23" t="n"/>
      <c r="Q113" s="23" t="n"/>
      <c r="R113" s="25" t="n"/>
      <c r="S113" s="26">
        <f>HYPERLINK("http://www.cnpol.ru/covers/16588.jpg","фото на сайте")</f>
        <v/>
      </c>
    </row>
    <row r="114" ht="50.1" customHeight="1" s="3">
      <c r="A114" s="23" t="n"/>
      <c r="B114" s="24" t="inlineStr">
        <is>
          <t>16360</t>
        </is>
      </c>
      <c r="C114" s="23" t="inlineStr">
        <is>
          <t>KISS</t>
        </is>
      </c>
      <c r="D114" s="23" t="inlineStr">
        <is>
          <t>Райс Д.Т.</t>
        </is>
      </c>
      <c r="E114" s="23" t="inlineStr">
        <is>
          <t>Отдых на бермудах</t>
        </is>
      </c>
      <c r="F114" s="23" t="n">
        <v>80</v>
      </c>
      <c r="G114" s="23" t="n">
        <v>128</v>
      </c>
      <c r="H114" s="23" t="n">
        <v>10</v>
      </c>
      <c r="I114" s="23" t="n">
        <v>36</v>
      </c>
      <c r="J114" s="23" t="inlineStr">
        <is>
          <t>978-5-227-06265-9</t>
        </is>
      </c>
      <c r="K114" s="23" t="inlineStr">
        <is>
          <t>70x100 1/32</t>
        </is>
      </c>
      <c r="L114" s="23" t="inlineStr">
        <is>
          <t>мяг</t>
        </is>
      </c>
      <c r="M114" s="23" t="n">
        <v>189</v>
      </c>
      <c r="N114" s="23" t="n">
        <v>2015</v>
      </c>
      <c r="O114" s="23" t="n">
        <v>90</v>
      </c>
      <c r="P114" s="23" t="n"/>
      <c r="Q114" s="23" t="n"/>
      <c r="R114" s="25" t="n"/>
      <c r="S114" s="26">
        <f>HYPERLINK("http://www.cnpol.ru/covers/16360.jpg","фото на сайте")</f>
        <v/>
      </c>
    </row>
    <row r="115" ht="50.1" customHeight="1" s="3">
      <c r="A115" s="23" t="n"/>
      <c r="B115" s="24" t="inlineStr">
        <is>
          <t>18964</t>
        </is>
      </c>
      <c r="C115" s="23" t="inlineStr">
        <is>
          <t>KISS</t>
        </is>
      </c>
      <c r="D115" s="23" t="inlineStr">
        <is>
          <t>Данлоп Б.</t>
        </is>
      </c>
      <c r="E115" s="23" t="inlineStr">
        <is>
          <t>Отложенная свадьба</t>
        </is>
      </c>
      <c r="F115" s="23" t="n">
        <v>171</v>
      </c>
      <c r="G115" s="23" t="n">
        <v>128</v>
      </c>
      <c r="H115" s="23" t="n">
        <v>10</v>
      </c>
      <c r="I115" s="23" t="n">
        <v>30</v>
      </c>
      <c r="J115" s="23" t="inlineStr">
        <is>
          <t>978-5-227-08896-3</t>
        </is>
      </c>
      <c r="K115" s="23" t="inlineStr">
        <is>
          <t>70x100 1/32</t>
        </is>
      </c>
      <c r="L115" s="23" t="inlineStr">
        <is>
          <t>мяг</t>
        </is>
      </c>
      <c r="M115" s="23" t="n">
        <v>192</v>
      </c>
      <c r="N115" s="23" t="n">
        <v>2019</v>
      </c>
      <c r="O115" s="23" t="n">
        <v>90</v>
      </c>
      <c r="P115" s="23" t="n"/>
      <c r="Q115" s="23" t="n"/>
      <c r="R115" s="25" t="n"/>
      <c r="S115" s="26">
        <f>HYPERLINK("http://www.cnpol.ru/covers/18964.jpg","фото на сайте")</f>
        <v/>
      </c>
    </row>
    <row r="116" ht="50.1" customHeight="1" s="3">
      <c r="A116" s="23" t="n"/>
      <c r="B116" s="24" t="inlineStr">
        <is>
          <t>16148</t>
        </is>
      </c>
      <c r="C116" s="23" t="inlineStr">
        <is>
          <t>KISS</t>
        </is>
      </c>
      <c r="D116" s="23" t="inlineStr">
        <is>
          <t>Андерсон Н.</t>
        </is>
      </c>
      <c r="E116" s="23" t="inlineStr">
        <is>
          <t>Пикник в Вероне</t>
        </is>
      </c>
      <c r="F116" s="23" t="n">
        <v>66</v>
      </c>
      <c r="G116" s="23" t="n">
        <v>128</v>
      </c>
      <c r="H116" s="23" t="n">
        <v>10</v>
      </c>
      <c r="I116" s="23" t="n">
        <v>36</v>
      </c>
      <c r="J116" s="23" t="inlineStr">
        <is>
          <t>978-5-227-06128-7</t>
        </is>
      </c>
      <c r="K116" s="23" t="inlineStr">
        <is>
          <t>70x100 1/32</t>
        </is>
      </c>
      <c r="L116" s="23" t="inlineStr">
        <is>
          <t>мяг</t>
        </is>
      </c>
      <c r="M116" s="23" t="n">
        <v>190</v>
      </c>
      <c r="N116" s="23" t="n">
        <v>2015</v>
      </c>
      <c r="O116" s="23" t="n">
        <v>90</v>
      </c>
      <c r="P116" s="23" t="n"/>
      <c r="Q116" s="23" t="n"/>
      <c r="R116" s="25" t="n"/>
      <c r="S116" s="26">
        <f>HYPERLINK("http://www.cnpol.ru/covers/16148.jpg","фото на сайте")</f>
        <v/>
      </c>
    </row>
    <row r="117" ht="50.1" customHeight="1" s="3">
      <c r="A117" s="23" t="n"/>
      <c r="B117" s="24" t="inlineStr">
        <is>
          <t>19016</t>
        </is>
      </c>
      <c r="C117" s="23" t="inlineStr">
        <is>
          <t>KISS</t>
        </is>
      </c>
      <c r="D117" s="23" t="inlineStr">
        <is>
          <t>Дуглас М.</t>
        </is>
      </c>
      <c r="E117" s="23" t="inlineStr">
        <is>
          <t>Пикник для влюбленных</t>
        </is>
      </c>
      <c r="F117" s="23" t="n">
        <v>172</v>
      </c>
      <c r="G117" s="23" t="n">
        <v>128</v>
      </c>
      <c r="H117" s="23" t="n">
        <v>10</v>
      </c>
      <c r="I117" s="23" t="n">
        <v>30</v>
      </c>
      <c r="J117" s="23" t="inlineStr">
        <is>
          <t>978-5-227-08925-0</t>
        </is>
      </c>
      <c r="K117" s="23" t="inlineStr">
        <is>
          <t>70x100 1/32</t>
        </is>
      </c>
      <c r="L117" s="23" t="inlineStr">
        <is>
          <t>мяг</t>
        </is>
      </c>
      <c r="M117" s="23" t="n">
        <v>192</v>
      </c>
      <c r="N117" s="23" t="n">
        <v>2020</v>
      </c>
      <c r="O117" s="23" t="n">
        <v>90</v>
      </c>
      <c r="P117" s="23" t="n"/>
      <c r="Q117" s="23" t="n"/>
      <c r="R117" s="25" t="n"/>
      <c r="S117" s="26">
        <f>HYPERLINK("http://www.cnpol.ru/covers/19016.jpg","фото на сайте")</f>
        <v/>
      </c>
    </row>
    <row r="118" ht="50.1" customHeight="1" s="3">
      <c r="A118" s="23" t="n"/>
      <c r="B118" s="24" t="inlineStr">
        <is>
          <t>18142</t>
        </is>
      </c>
      <c r="C118" s="23" t="inlineStr">
        <is>
          <t>KISS</t>
        </is>
      </c>
      <c r="D118" s="23" t="inlineStr">
        <is>
          <t>Гейтс О.</t>
        </is>
      </c>
      <c r="E118" s="23" t="inlineStr">
        <is>
          <t>Повод для знакомства</t>
        </is>
      </c>
      <c r="F118" s="23" t="n">
        <v>154</v>
      </c>
      <c r="G118" s="23" t="n">
        <v>128</v>
      </c>
      <c r="H118" s="23" t="n">
        <v>10</v>
      </c>
      <c r="I118" s="23" t="n">
        <v>36</v>
      </c>
      <c r="J118" s="23" t="inlineStr">
        <is>
          <t>978-5-227-08143-8</t>
        </is>
      </c>
      <c r="K118" s="23" t="inlineStr">
        <is>
          <t>70x100 1/32</t>
        </is>
      </c>
      <c r="L118" s="23" t="inlineStr">
        <is>
          <t>мяг</t>
        </is>
      </c>
      <c r="M118" s="23" t="n">
        <v>192</v>
      </c>
      <c r="N118" s="23" t="n">
        <v>2018</v>
      </c>
      <c r="O118" s="23" t="n">
        <v>90</v>
      </c>
      <c r="P118" s="23" t="n"/>
      <c r="Q118" s="23" t="n"/>
      <c r="R118" s="25" t="n"/>
      <c r="S118" s="26">
        <f>HYPERLINK("http://www.cnpol.ru/covers/18142.jpg","фото на сайте")</f>
        <v/>
      </c>
    </row>
    <row r="119" ht="50.1" customHeight="1" s="3">
      <c r="A119" s="23" t="n"/>
      <c r="B119" s="24" t="inlineStr">
        <is>
          <t>18501</t>
        </is>
      </c>
      <c r="C119" s="23" t="inlineStr">
        <is>
          <t>KISS</t>
        </is>
      </c>
      <c r="D119" s="23" t="inlineStr">
        <is>
          <t>Лейн Э.</t>
        </is>
      </c>
      <c r="E119" s="23" t="inlineStr">
        <is>
          <t>Поворот судьбы</t>
        </is>
      </c>
      <c r="F119" s="23" t="n">
        <v>161</v>
      </c>
      <c r="G119" s="23" t="n">
        <v>128</v>
      </c>
      <c r="H119" s="23" t="n">
        <v>10</v>
      </c>
      <c r="I119" s="23" t="n">
        <v>30</v>
      </c>
      <c r="J119" s="23" t="inlineStr">
        <is>
          <t>978-5-227-08427-9</t>
        </is>
      </c>
      <c r="K119" s="23" t="inlineStr">
        <is>
          <t>70x100 1/32</t>
        </is>
      </c>
      <c r="L119" s="23" t="inlineStr">
        <is>
          <t>мяг</t>
        </is>
      </c>
      <c r="M119" s="23" t="n">
        <v>192</v>
      </c>
      <c r="N119" s="23" t="n">
        <v>2019</v>
      </c>
      <c r="O119" s="23" t="n">
        <v>90</v>
      </c>
      <c r="P119" s="23" t="n"/>
      <c r="Q119" s="23" t="n"/>
      <c r="R119" s="25" t="n"/>
      <c r="S119" s="26">
        <f>HYPERLINK("http://www.cnpol.ru/covers/18501.jpg","фото на сайте")</f>
        <v/>
      </c>
    </row>
    <row r="120" ht="50.1" customHeight="1" s="3">
      <c r="A120" s="23" t="n"/>
      <c r="B120" s="24" t="inlineStr">
        <is>
          <t>17092</t>
        </is>
      </c>
      <c r="C120" s="23" t="inlineStr">
        <is>
          <t>KISS</t>
        </is>
      </c>
      <c r="D120" s="23" t="inlineStr">
        <is>
          <t>Данлоп Б.</t>
        </is>
      </c>
      <c r="E120" s="23" t="inlineStr">
        <is>
          <t>Позволь быть рядом</t>
        </is>
      </c>
      <c r="F120" s="23" t="n">
        <v>127</v>
      </c>
      <c r="G120" s="23" t="n">
        <v>128</v>
      </c>
      <c r="H120" s="23" t="n">
        <v>10</v>
      </c>
      <c r="I120" s="23" t="n">
        <v>36</v>
      </c>
      <c r="J120" s="23" t="inlineStr">
        <is>
          <t>978-5-227-07101-9</t>
        </is>
      </c>
      <c r="K120" s="23" t="inlineStr">
        <is>
          <t>70x100 1/32</t>
        </is>
      </c>
      <c r="L120" s="23" t="inlineStr">
        <is>
          <t>мяг</t>
        </is>
      </c>
      <c r="M120" s="23" t="n">
        <v>192</v>
      </c>
      <c r="N120" s="23" t="n">
        <v>2016</v>
      </c>
      <c r="O120" s="23" t="n">
        <v>90</v>
      </c>
      <c r="P120" s="23" t="n"/>
      <c r="Q120" s="23" t="n"/>
      <c r="R120" s="25" t="n"/>
      <c r="S120" s="26">
        <f>HYPERLINK("http://www.cnpol.ru/covers/17092.jpg","фото на сайте")</f>
        <v/>
      </c>
    </row>
    <row r="121" ht="50.1" customHeight="1" s="3">
      <c r="A121" s="23" t="n"/>
      <c r="B121" s="24" t="inlineStr">
        <is>
          <t>16893</t>
        </is>
      </c>
      <c r="C121" s="23" t="inlineStr">
        <is>
          <t>KISS</t>
        </is>
      </c>
      <c r="D121" s="23" t="inlineStr">
        <is>
          <t>Лейн Э.</t>
        </is>
      </c>
      <c r="E121" s="23" t="inlineStr">
        <is>
          <t>Попутчик до Аляски</t>
        </is>
      </c>
      <c r="F121" s="23" t="n">
        <v>115</v>
      </c>
      <c r="G121" s="23" t="n">
        <v>128</v>
      </c>
      <c r="H121" s="23" t="n">
        <v>10</v>
      </c>
      <c r="I121" s="23" t="n">
        <v>36</v>
      </c>
      <c r="J121" s="23" t="inlineStr">
        <is>
          <t>978-5-227-06843-9</t>
        </is>
      </c>
      <c r="K121" s="23" t="inlineStr">
        <is>
          <t>70x100 1/32</t>
        </is>
      </c>
      <c r="L121" s="23" t="inlineStr">
        <is>
          <t>мяг</t>
        </is>
      </c>
      <c r="M121" s="23" t="n">
        <v>192</v>
      </c>
      <c r="N121" s="23" t="n">
        <v>2016</v>
      </c>
      <c r="O121" s="23" t="n">
        <v>90</v>
      </c>
      <c r="P121" s="23" t="n"/>
      <c r="Q121" s="23" t="n"/>
      <c r="R121" s="25" t="n"/>
      <c r="S121" s="26">
        <f>HYPERLINK("http://www.cnpol.ru/covers/16893.jpg","фото на сайте")</f>
        <v/>
      </c>
    </row>
    <row r="122" ht="50.1" customHeight="1" s="3">
      <c r="A122" s="23" t="n"/>
      <c r="B122" s="24" t="inlineStr">
        <is>
          <t>19560</t>
        </is>
      </c>
      <c r="C122" s="23" t="inlineStr">
        <is>
          <t>KISS</t>
        </is>
      </c>
      <c r="D122" s="23" t="inlineStr">
        <is>
          <t>Аштон Л.</t>
        </is>
      </c>
      <c r="E122" s="23" t="inlineStr">
        <is>
          <t>Поцелуй среди песчаных дюн</t>
        </is>
      </c>
      <c r="F122" s="23" t="n">
        <v>180</v>
      </c>
      <c r="G122" s="23" t="n">
        <v>128</v>
      </c>
      <c r="H122" s="23" t="n">
        <v>10</v>
      </c>
      <c r="I122" s="23" t="n">
        <v>36</v>
      </c>
      <c r="J122" s="23" t="inlineStr">
        <is>
          <t>978-5-227-09239-7</t>
        </is>
      </c>
      <c r="K122" s="23" t="inlineStr">
        <is>
          <t>70x100 1/32</t>
        </is>
      </c>
      <c r="L122" s="23" t="inlineStr">
        <is>
          <t>мяг</t>
        </is>
      </c>
      <c r="M122" s="23" t="n">
        <v>192</v>
      </c>
      <c r="N122" s="23" t="n">
        <v>2021</v>
      </c>
      <c r="O122" s="23" t="n">
        <v>90</v>
      </c>
      <c r="P122" s="23" t="n"/>
      <c r="Q122" s="23" t="n"/>
      <c r="R122" s="25" t="n"/>
      <c r="S122" s="26">
        <f>HYPERLINK("http://www.cnpol.ru/covers/19560.jpg","фото на сайте")</f>
        <v/>
      </c>
    </row>
    <row r="123" ht="50.1" customHeight="1" s="3">
      <c r="A123" s="23" t="inlineStr">
        <is>
          <t>Н</t>
        </is>
      </c>
      <c r="B123" s="24" t="inlineStr">
        <is>
          <t>21032</t>
        </is>
      </c>
      <c r="C123" s="23" t="inlineStr">
        <is>
          <t>KISS</t>
        </is>
      </c>
      <c r="D123" s="23" t="inlineStr">
        <is>
          <t>Эйтс М.</t>
        </is>
      </c>
      <c r="E123" s="23" t="inlineStr">
        <is>
          <t>Праздник любящих сердец</t>
        </is>
      </c>
      <c r="F123" s="23" t="n">
        <v>192</v>
      </c>
      <c r="G123" s="23" t="n">
        <v>128</v>
      </c>
      <c r="H123" s="23" t="n">
        <v>10</v>
      </c>
      <c r="I123" s="23" t="n">
        <v>30</v>
      </c>
      <c r="J123" s="23" t="inlineStr">
        <is>
          <t>978-5-227-10290-4</t>
        </is>
      </c>
      <c r="K123" s="23" t="inlineStr">
        <is>
          <t>70x100 1/32</t>
        </is>
      </c>
      <c r="L123" s="23" t="inlineStr">
        <is>
          <t>мяг</t>
        </is>
      </c>
      <c r="M123" s="23" t="n">
        <v>191</v>
      </c>
      <c r="N123" s="23" t="n">
        <v>2024</v>
      </c>
      <c r="O123" s="23" t="n">
        <v>90</v>
      </c>
      <c r="P123" s="23" t="n"/>
      <c r="Q123" s="23" t="n"/>
      <c r="R123" s="25" t="inlineStr">
        <is>
          <t>Одержимый желанием отомстить жестокому отцу, принц Винченцо Моретти поклялся никогда не жениться и не обзаводиться наследниками. Элоиза Сент-Джордж, влюбленная в наследного принца с детства, согласилась поучаствовать в его плане — на время притвориться любовницей. Вскоре после единственной ночи, проведенной с принцем, Элоиза поняла, что беременна. Но как ей признаться в этом Винченцо? Ведь теперь королевская династия Ариосты не прервется…</t>
        </is>
      </c>
      <c r="S123" s="26">
        <f>HYPERLINK("http://www.cnpol.ru/covers/21032.jpg","фото на сайте")</f>
        <v/>
      </c>
    </row>
    <row r="124" ht="50.1" customHeight="1" s="3">
      <c r="A124" s="23" t="n"/>
      <c r="B124" s="24" t="inlineStr">
        <is>
          <t>18286</t>
        </is>
      </c>
      <c r="C124" s="23" t="inlineStr">
        <is>
          <t>KISS</t>
        </is>
      </c>
      <c r="D124" s="23" t="inlineStr">
        <is>
          <t>Шеперд К.</t>
        </is>
      </c>
      <c r="E124" s="23" t="inlineStr">
        <is>
          <t>Праздник нечаянной любви</t>
        </is>
      </c>
      <c r="F124" s="23" t="n">
        <v>157</v>
      </c>
      <c r="G124" s="23" t="n">
        <v>128</v>
      </c>
      <c r="H124" s="23" t="n">
        <v>10</v>
      </c>
      <c r="I124" s="23" t="n">
        <v>36</v>
      </c>
      <c r="J124" s="23" t="inlineStr">
        <is>
          <t>978-5-227-08257-2</t>
        </is>
      </c>
      <c r="K124" s="23" t="inlineStr">
        <is>
          <t>70x100 1/32</t>
        </is>
      </c>
      <c r="L124" s="23" t="inlineStr">
        <is>
          <t>мяг</t>
        </is>
      </c>
      <c r="M124" s="23" t="n">
        <v>192</v>
      </c>
      <c r="N124" s="23" t="n">
        <v>2018</v>
      </c>
      <c r="O124" s="23" t="n">
        <v>90</v>
      </c>
      <c r="P124" s="23" t="n"/>
      <c r="Q124" s="23" t="n"/>
      <c r="R124" s="25" t="n"/>
      <c r="S124" s="26">
        <f>HYPERLINK("http://www.cnpol.ru/covers/18286.jpg","фото на сайте")</f>
        <v/>
      </c>
    </row>
    <row r="125" ht="50.1" customHeight="1" s="3">
      <c r="A125" s="23" t="n"/>
      <c r="B125" s="24" t="inlineStr">
        <is>
          <t>16850</t>
        </is>
      </c>
      <c r="C125" s="23" t="inlineStr">
        <is>
          <t>KISS</t>
        </is>
      </c>
      <c r="D125" s="23" t="inlineStr">
        <is>
          <t>Уинтерз Р.</t>
        </is>
      </c>
      <c r="E125" s="23" t="inlineStr">
        <is>
          <t>Привкус счастья</t>
        </is>
      </c>
      <c r="F125" s="23" t="n">
        <v>111</v>
      </c>
      <c r="G125" s="23" t="n">
        <v>128</v>
      </c>
      <c r="H125" s="23" t="n">
        <v>10</v>
      </c>
      <c r="I125" s="23" t="n">
        <v>36</v>
      </c>
      <c r="J125" s="23" t="inlineStr">
        <is>
          <t>978-5-227-06803-3</t>
        </is>
      </c>
      <c r="K125" s="23" t="inlineStr">
        <is>
          <t>70x100 1/32</t>
        </is>
      </c>
      <c r="L125" s="23" t="inlineStr">
        <is>
          <t>мяг</t>
        </is>
      </c>
      <c r="M125" s="23" t="n">
        <v>192</v>
      </c>
      <c r="N125" s="23" t="n">
        <v>2016</v>
      </c>
      <c r="O125" s="23" t="n">
        <v>90</v>
      </c>
      <c r="P125" s="23" t="n"/>
      <c r="Q125" s="23" t="n"/>
      <c r="R125" s="25" t="n"/>
      <c r="S125" s="26">
        <f>HYPERLINK("http://www.cnpol.ru/covers/16850.jpg","фото на сайте")</f>
        <v/>
      </c>
    </row>
    <row r="126" ht="50.1" customHeight="1" s="3">
      <c r="A126" s="23" t="n"/>
      <c r="B126" s="24" t="inlineStr">
        <is>
          <t>16756</t>
        </is>
      </c>
      <c r="C126" s="23" t="inlineStr">
        <is>
          <t>KISS</t>
        </is>
      </c>
      <c r="D126" s="23" t="inlineStr">
        <is>
          <t>Филдинг Л</t>
        </is>
      </c>
      <c r="E126" s="23" t="inlineStr">
        <is>
          <t>Приключения англичанки в Милане</t>
        </is>
      </c>
      <c r="F126" s="23" t="n">
        <v>105</v>
      </c>
      <c r="G126" s="23" t="n">
        <v>128</v>
      </c>
      <c r="H126" s="23" t="n">
        <v>10</v>
      </c>
      <c r="I126" s="23" t="n">
        <v>36</v>
      </c>
      <c r="J126" s="23" t="inlineStr">
        <is>
          <t>978-5-227-06749-4</t>
        </is>
      </c>
      <c r="K126" s="23" t="inlineStr">
        <is>
          <t>70x100 1/32</t>
        </is>
      </c>
      <c r="L126" s="23" t="inlineStr">
        <is>
          <t>мяг</t>
        </is>
      </c>
      <c r="M126" s="23" t="n">
        <v>192</v>
      </c>
      <c r="N126" s="23" t="n">
        <v>2016</v>
      </c>
      <c r="O126" s="23" t="n">
        <v>90</v>
      </c>
      <c r="P126" s="23" t="n"/>
      <c r="Q126" s="23" t="n"/>
      <c r="R126" s="25" t="n"/>
      <c r="S126" s="26">
        <f>HYPERLINK("http://www.cnpol.ru/covers/16756.jpg","фото на сайте")</f>
        <v/>
      </c>
    </row>
    <row r="127" ht="50.1" customHeight="1" s="3">
      <c r="A127" s="23" t="n"/>
      <c r="B127" s="24" t="inlineStr">
        <is>
          <t>16265</t>
        </is>
      </c>
      <c r="C127" s="23" t="inlineStr">
        <is>
          <t>KISS</t>
        </is>
      </c>
      <c r="D127" s="23" t="inlineStr">
        <is>
          <t>Лондон С.</t>
        </is>
      </c>
      <c r="E127" s="23" t="inlineStr">
        <is>
          <t>Прогони мою печаль</t>
        </is>
      </c>
      <c r="F127" s="23" t="n">
        <v>75</v>
      </c>
      <c r="G127" s="23" t="n">
        <v>128</v>
      </c>
      <c r="H127" s="23" t="n">
        <v>10</v>
      </c>
      <c r="I127" s="23" t="n">
        <v>36</v>
      </c>
      <c r="J127" s="23" t="inlineStr">
        <is>
          <t>978-5-227-06173-7</t>
        </is>
      </c>
      <c r="K127" s="23" t="inlineStr">
        <is>
          <t>70x100 1/32</t>
        </is>
      </c>
      <c r="L127" s="23" t="inlineStr">
        <is>
          <t>мяг</t>
        </is>
      </c>
      <c r="M127" s="23" t="n">
        <v>189</v>
      </c>
      <c r="N127" s="23" t="n">
        <v>2015</v>
      </c>
      <c r="O127" s="23" t="n">
        <v>90</v>
      </c>
      <c r="P127" s="23" t="n"/>
      <c r="Q127" s="23" t="n"/>
      <c r="R127" s="25" t="n"/>
      <c r="S127" s="26">
        <f>HYPERLINK("http://www.cnpol.ru/covers/16265.jpg","фото на сайте")</f>
        <v/>
      </c>
    </row>
    <row r="128" ht="50.1" customHeight="1" s="3">
      <c r="A128" s="23" t="n"/>
      <c r="B128" s="24" t="inlineStr">
        <is>
          <t>17495</t>
        </is>
      </c>
      <c r="C128" s="23" t="inlineStr">
        <is>
          <t>KISS</t>
        </is>
      </c>
      <c r="D128" s="23" t="inlineStr">
        <is>
          <t>Маккелен Кристи</t>
        </is>
      </c>
      <c r="E128" s="23" t="inlineStr">
        <is>
          <t>Противница одиночества</t>
        </is>
      </c>
      <c r="F128" s="23" t="n">
        <v>143</v>
      </c>
      <c r="G128" s="23" t="n">
        <v>128</v>
      </c>
      <c r="H128" s="23" t="n">
        <v>10</v>
      </c>
      <c r="I128" s="23" t="n">
        <v>36</v>
      </c>
      <c r="J128" s="23" t="inlineStr">
        <is>
          <t>978-5-227-07300-6</t>
        </is>
      </c>
      <c r="K128" s="23" t="inlineStr">
        <is>
          <t>70x100 1/32</t>
        </is>
      </c>
      <c r="L128" s="23" t="inlineStr">
        <is>
          <t>мяг</t>
        </is>
      </c>
      <c r="M128" s="23" t="n">
        <v>192</v>
      </c>
      <c r="N128" s="23" t="n">
        <v>2017</v>
      </c>
      <c r="O128" s="23" t="n">
        <v>90</v>
      </c>
      <c r="P128" s="23" t="n"/>
      <c r="Q128" s="23" t="n"/>
      <c r="R128" s="25" t="n"/>
      <c r="S128" s="26">
        <f>HYPERLINK("http://www.cnpol.ru/covers/17495.jpg","фото на сайте")</f>
        <v/>
      </c>
    </row>
    <row r="129" ht="50.1" customHeight="1" s="3">
      <c r="A129" s="23" t="n"/>
      <c r="B129" s="24" t="inlineStr">
        <is>
          <t>16401</t>
        </is>
      </c>
      <c r="C129" s="23" t="inlineStr">
        <is>
          <t>KISS</t>
        </is>
      </c>
      <c r="D129" s="23" t="inlineStr">
        <is>
          <t>Браун Д.</t>
        </is>
      </c>
      <c r="E129" s="23" t="inlineStr">
        <is>
          <t>Рецепт настоящей любви</t>
        </is>
      </c>
      <c r="F129" s="23" t="n">
        <v>83</v>
      </c>
      <c r="G129" s="23" t="n">
        <v>128</v>
      </c>
      <c r="H129" s="23" t="n">
        <v>10</v>
      </c>
      <c r="I129" s="23" t="n">
        <v>36</v>
      </c>
      <c r="J129" s="23" t="inlineStr">
        <is>
          <t>978-5-227-06268-0</t>
        </is>
      </c>
      <c r="K129" s="23" t="inlineStr">
        <is>
          <t>70x100 1/32</t>
        </is>
      </c>
      <c r="L129" s="23" t="inlineStr">
        <is>
          <t>мяг</t>
        </is>
      </c>
      <c r="M129" s="23" t="n">
        <v>190</v>
      </c>
      <c r="N129" s="23" t="n">
        <v>2016</v>
      </c>
      <c r="O129" s="23" t="n">
        <v>90</v>
      </c>
      <c r="P129" s="23" t="n"/>
      <c r="Q129" s="23" t="n"/>
      <c r="R129" s="25" t="n"/>
      <c r="S129" s="26">
        <f>HYPERLINK("http://www.cnpol.ru/covers/16401.jpg","фото на сайте")</f>
        <v/>
      </c>
    </row>
    <row r="130" ht="50.1" customHeight="1" s="3">
      <c r="A130" s="23" t="n"/>
      <c r="B130" s="24" t="inlineStr">
        <is>
          <t>16162</t>
        </is>
      </c>
      <c r="C130" s="23" t="inlineStr">
        <is>
          <t>KISS</t>
        </is>
      </c>
      <c r="D130" s="23" t="inlineStr">
        <is>
          <t>Рэй Дженнифер</t>
        </is>
      </c>
      <c r="E130" s="23" t="inlineStr">
        <is>
          <t>Родственные души</t>
        </is>
      </c>
      <c r="F130" s="23" t="n">
        <v>67</v>
      </c>
      <c r="G130" s="23" t="n">
        <v>128</v>
      </c>
      <c r="H130" s="23" t="n">
        <v>10</v>
      </c>
      <c r="I130" s="23" t="n">
        <v>36</v>
      </c>
      <c r="J130" s="23" t="inlineStr">
        <is>
          <t>978-5-227-06129-4</t>
        </is>
      </c>
      <c r="K130" s="23" t="inlineStr">
        <is>
          <t>70x100 1/32</t>
        </is>
      </c>
      <c r="L130" s="23" t="inlineStr">
        <is>
          <t>мяг</t>
        </is>
      </c>
      <c r="M130" s="23" t="n">
        <v>190</v>
      </c>
      <c r="N130" s="23" t="n">
        <v>2015</v>
      </c>
      <c r="O130" s="23" t="n">
        <v>90</v>
      </c>
      <c r="P130" s="23" t="n"/>
      <c r="Q130" s="23" t="n"/>
      <c r="R130" s="25" t="n"/>
      <c r="S130" s="26">
        <f>HYPERLINK("http://www.cnpol.ru/covers/16162.jpg","фото на сайте")</f>
        <v/>
      </c>
    </row>
    <row r="131" ht="50.1" customHeight="1" s="3">
      <c r="A131" s="23" t="n"/>
      <c r="B131" s="24" t="inlineStr">
        <is>
          <t>19661</t>
        </is>
      </c>
      <c r="C131" s="23" t="inlineStr">
        <is>
          <t>KISS</t>
        </is>
      </c>
      <c r="D131" s="23" t="inlineStr">
        <is>
          <t>Грин Э.</t>
        </is>
      </c>
      <c r="E131" s="23" t="inlineStr">
        <is>
          <t>Роман без обязательств</t>
        </is>
      </c>
      <c r="F131" s="23" t="n">
        <v>182</v>
      </c>
      <c r="G131" s="23" t="n">
        <v>128</v>
      </c>
      <c r="H131" s="23" t="n">
        <v>10</v>
      </c>
      <c r="I131" s="23" t="n">
        <v>36</v>
      </c>
      <c r="J131" s="23" t="inlineStr">
        <is>
          <t>978-5-227-09411-7</t>
        </is>
      </c>
      <c r="K131" s="23" t="inlineStr">
        <is>
          <t>70x100 1/32</t>
        </is>
      </c>
      <c r="L131" s="23" t="inlineStr">
        <is>
          <t>мяг</t>
        </is>
      </c>
      <c r="M131" s="23" t="n">
        <v>192</v>
      </c>
      <c r="N131" s="23" t="n">
        <v>2021</v>
      </c>
      <c r="O131" s="23" t="n">
        <v>90</v>
      </c>
      <c r="P131" s="23" t="n"/>
      <c r="Q131" s="23" t="n"/>
      <c r="R131" s="25" t="n"/>
      <c r="S131" s="26">
        <f>HYPERLINK("http://www.cnpol.ru/covers/19661.jpg","фото на сайте")</f>
        <v/>
      </c>
    </row>
    <row r="132" ht="50.1" customHeight="1" s="3">
      <c r="A132" s="23" t="n"/>
      <c r="B132" s="24" t="inlineStr">
        <is>
          <t>17302</t>
        </is>
      </c>
      <c r="C132" s="23" t="inlineStr">
        <is>
          <t>KISS</t>
        </is>
      </c>
      <c r="D132" s="23" t="inlineStr">
        <is>
          <t>Шеперд К.</t>
        </is>
      </c>
      <c r="E132" s="23" t="inlineStr">
        <is>
          <t>Романтический ланч для двоих</t>
        </is>
      </c>
      <c r="F132" s="23" t="n">
        <v>137</v>
      </c>
      <c r="G132" s="23" t="n">
        <v>128</v>
      </c>
      <c r="H132" s="23" t="n">
        <v>10</v>
      </c>
      <c r="I132" s="23" t="n">
        <v>30</v>
      </c>
      <c r="J132" s="23" t="inlineStr">
        <is>
          <t>978-5-227-07223-8</t>
        </is>
      </c>
      <c r="K132" s="23" t="inlineStr">
        <is>
          <t>70x100 1/32</t>
        </is>
      </c>
      <c r="L132" s="23" t="inlineStr">
        <is>
          <t>мяг</t>
        </is>
      </c>
      <c r="M132" s="23" t="n">
        <v>192</v>
      </c>
      <c r="N132" s="23" t="n">
        <v>2017</v>
      </c>
      <c r="O132" s="23" t="n">
        <v>90</v>
      </c>
      <c r="P132" s="23" t="n"/>
      <c r="Q132" s="23" t="n"/>
      <c r="R132" s="25" t="n"/>
      <c r="S132" s="26">
        <f>HYPERLINK("http://www.cnpol.ru/covers/17302.jpg","фото на сайте")</f>
        <v/>
      </c>
    </row>
    <row r="133" ht="50.1" customHeight="1" s="3">
      <c r="A133" s="23" t="n"/>
      <c r="B133" s="24" t="inlineStr">
        <is>
          <t>20420</t>
        </is>
      </c>
      <c r="C133" s="23" t="inlineStr">
        <is>
          <t>KISS</t>
        </is>
      </c>
      <c r="D133" s="23" t="inlineStr">
        <is>
          <t>Андерсон Н.</t>
        </is>
      </c>
      <c r="E133" s="23" t="inlineStr">
        <is>
          <t>Самая желанная</t>
        </is>
      </c>
      <c r="F133" s="23" t="n">
        <v>189</v>
      </c>
      <c r="G133" s="23" t="n">
        <v>128</v>
      </c>
      <c r="H133" s="23" t="n">
        <v>10</v>
      </c>
      <c r="I133" s="23" t="n">
        <v>20</v>
      </c>
      <c r="J133" s="23" t="inlineStr">
        <is>
          <t>978-5-227-10094-8</t>
        </is>
      </c>
      <c r="K133" s="23" t="inlineStr">
        <is>
          <t>70x100 1/32</t>
        </is>
      </c>
      <c r="L133" s="23" t="inlineStr">
        <is>
          <t>мяг</t>
        </is>
      </c>
      <c r="M133" s="23" t="n">
        <v>191</v>
      </c>
      <c r="N133" s="23" t="n">
        <v>2022</v>
      </c>
      <c r="O133" s="23" t="n">
        <v>90</v>
      </c>
      <c r="P133" s="23" t="n"/>
      <c r="Q133" s="23" t="n"/>
      <c r="R133" s="25" t="inlineStr">
        <is>
          <t>Хестер Мосс работает помощницей принцессы островного государства Трискари, которая учится в университете. Брат принцессы, принц Алек, ждет коронации, но по законам государства может быть коронован, только если женится. А жениться он не имеет ни малейшего желания… Ворвавшись в апартаменты своей сестры, Алек встречает Хестер, и у него неожиданно возникает план — заключить с этой «серой мышкой» фиктивный брак. Он сможет короноваться, а Хестер через год получит развод и станет богатой. Но… «Серая мышка», переодетая в красивые одежды и с макияжем, оказывается не просто красавицей — богиней, в которую принц влюбляется и не желает отпускать ее от себя ни через год, никогда…</t>
        </is>
      </c>
      <c r="S133" s="26">
        <f>HYPERLINK("http://www.cnpol.ru/covers/20420.jpg","фото на сайте")</f>
        <v/>
      </c>
    </row>
    <row r="134" ht="50.1" customHeight="1" s="3">
      <c r="A134" s="23" t="n"/>
      <c r="B134" s="24" t="inlineStr">
        <is>
          <t>17132</t>
        </is>
      </c>
      <c r="C134" s="23" t="inlineStr">
        <is>
          <t>KISS</t>
        </is>
      </c>
      <c r="D134" s="23" t="inlineStr">
        <is>
          <t>Логан Н.</t>
        </is>
      </c>
      <c r="E134" s="23" t="inlineStr">
        <is>
          <t>Самая короткая помолвка</t>
        </is>
      </c>
      <c r="F134" s="23" t="n">
        <v>130</v>
      </c>
      <c r="G134" s="23" t="n">
        <v>128</v>
      </c>
      <c r="H134" s="23" t="n">
        <v>10</v>
      </c>
      <c r="I134" s="23" t="n">
        <v>36</v>
      </c>
      <c r="J134" s="23" t="inlineStr">
        <is>
          <t>978-5-227-07104-0</t>
        </is>
      </c>
      <c r="K134" s="23" t="inlineStr">
        <is>
          <t>70x100 1/32</t>
        </is>
      </c>
      <c r="L134" s="23" t="inlineStr">
        <is>
          <t>мяг</t>
        </is>
      </c>
      <c r="M134" s="23" t="n">
        <v>192</v>
      </c>
      <c r="N134" s="23" t="n">
        <v>2016</v>
      </c>
      <c r="O134" s="23" t="n">
        <v>76</v>
      </c>
      <c r="P134" s="23" t="n"/>
      <c r="Q134" s="23" t="n"/>
      <c r="R134" s="25" t="n"/>
      <c r="S134" s="26">
        <f>HYPERLINK("http://www.cnpol.ru/covers/17132.jpg","фото на сайте")</f>
        <v/>
      </c>
    </row>
    <row r="135" ht="50.1" customHeight="1" s="3">
      <c r="A135" s="23" t="n"/>
      <c r="B135" s="24" t="inlineStr">
        <is>
          <t>16530</t>
        </is>
      </c>
      <c r="C135" s="23" t="inlineStr">
        <is>
          <t>KISS</t>
        </is>
      </c>
      <c r="D135" s="23" t="inlineStr">
        <is>
          <t>Вуд Джосс</t>
        </is>
      </c>
      <c r="E135" s="23" t="inlineStr">
        <is>
          <t>Самая роскошная и настойчивая</t>
        </is>
      </c>
      <c r="F135" s="23" t="n">
        <v>89</v>
      </c>
      <c r="G135" s="23" t="n">
        <v>128</v>
      </c>
      <c r="H135" s="23" t="n">
        <v>10</v>
      </c>
      <c r="I135" s="23" t="n">
        <v>36</v>
      </c>
      <c r="J135" s="23" t="inlineStr">
        <is>
          <t>978-5-227-06403-5</t>
        </is>
      </c>
      <c r="K135" s="23" t="inlineStr">
        <is>
          <t>70x100 1/32</t>
        </is>
      </c>
      <c r="L135" s="23" t="inlineStr">
        <is>
          <t>мяг</t>
        </is>
      </c>
      <c r="M135" s="23" t="n">
        <v>190</v>
      </c>
      <c r="N135" s="23" t="n">
        <v>2016</v>
      </c>
      <c r="O135" s="23" t="n">
        <v>90</v>
      </c>
      <c r="P135" s="23" t="n"/>
      <c r="Q135" s="23" t="n"/>
      <c r="R135" s="25" t="n"/>
      <c r="S135" s="26">
        <f>HYPERLINK("http://www.cnpol.ru/covers/16530.jpg","фото на сайте")</f>
        <v/>
      </c>
    </row>
    <row r="136" ht="50.1" customHeight="1" s="3">
      <c r="A136" s="23" t="n"/>
      <c r="B136" s="24" t="inlineStr">
        <is>
          <t>16619</t>
        </is>
      </c>
      <c r="C136" s="23" t="inlineStr">
        <is>
          <t>KISS</t>
        </is>
      </c>
      <c r="D136" s="23" t="inlineStr">
        <is>
          <t>Дженнифер Николь Ли</t>
        </is>
      </c>
      <c r="E136" s="23" t="inlineStr">
        <is>
          <t>Самая соблазнительная скромница</t>
        </is>
      </c>
      <c r="F136" s="23" t="n">
        <v>95</v>
      </c>
      <c r="G136" s="23" t="n">
        <v>128</v>
      </c>
      <c r="H136" s="23" t="n">
        <v>10</v>
      </c>
      <c r="I136" s="23" t="n">
        <v>36</v>
      </c>
      <c r="J136" s="23" t="inlineStr">
        <is>
          <t>978-5-227-06500-1</t>
        </is>
      </c>
      <c r="K136" s="23" t="inlineStr">
        <is>
          <t>70x100 1/32</t>
        </is>
      </c>
      <c r="L136" s="23" t="inlineStr">
        <is>
          <t>мяг</t>
        </is>
      </c>
      <c r="M136" s="23" t="n">
        <v>192</v>
      </c>
      <c r="N136" s="23" t="n">
        <v>2016</v>
      </c>
      <c r="O136" s="23" t="n">
        <v>90</v>
      </c>
      <c r="P136" s="23" t="n"/>
      <c r="Q136" s="23" t="n"/>
      <c r="R136" s="25" t="n"/>
      <c r="S136" s="26">
        <f>HYPERLINK("http://www.cnpol.ru/covers/16619.jpg","фото на сайте")</f>
        <v/>
      </c>
    </row>
    <row r="137" ht="50.1" customHeight="1" s="3">
      <c r="A137" s="23" t="n"/>
      <c r="B137" s="24" t="inlineStr">
        <is>
          <t>16709</t>
        </is>
      </c>
      <c r="C137" s="23" t="inlineStr">
        <is>
          <t>KISS</t>
        </is>
      </c>
      <c r="D137" s="23" t="inlineStr">
        <is>
          <t>Уоллис Бадж</t>
        </is>
      </c>
      <c r="E137" s="23" t="inlineStr">
        <is>
          <t>Самые счастливые времена</t>
        </is>
      </c>
      <c r="F137" s="23" t="n">
        <v>103</v>
      </c>
      <c r="G137" s="23" t="n">
        <v>128</v>
      </c>
      <c r="H137" s="23" t="n">
        <v>10</v>
      </c>
      <c r="I137" s="23" t="n">
        <v>36</v>
      </c>
      <c r="J137" s="23" t="inlineStr">
        <is>
          <t>978-5-227-06716-6</t>
        </is>
      </c>
      <c r="K137" s="23" t="inlineStr">
        <is>
          <t>70x100 1/32</t>
        </is>
      </c>
      <c r="L137" s="23" t="inlineStr">
        <is>
          <t>мяг</t>
        </is>
      </c>
      <c r="M137" s="23" t="n">
        <v>192</v>
      </c>
      <c r="N137" s="23" t="n">
        <v>2016</v>
      </c>
      <c r="O137" s="23" t="n">
        <v>90</v>
      </c>
      <c r="P137" s="23" t="n"/>
      <c r="Q137" s="23" t="n"/>
      <c r="R137" s="25" t="n"/>
      <c r="S137" s="26">
        <f>HYPERLINK("http://www.cnpol.ru/covers/16709.jpg","фото на сайте")</f>
        <v/>
      </c>
    </row>
    <row r="138" ht="50.1" customHeight="1" s="3">
      <c r="A138" s="23" t="n"/>
      <c r="B138" s="24" t="inlineStr">
        <is>
          <t>16283</t>
        </is>
      </c>
      <c r="C138" s="23" t="inlineStr">
        <is>
          <t>KISS</t>
        </is>
      </c>
      <c r="D138" s="23" t="inlineStr">
        <is>
          <t>Джордж Луиза</t>
        </is>
      </c>
      <c r="E138" s="23" t="inlineStr">
        <is>
          <t>Свадебный завтрак для холостяка</t>
        </is>
      </c>
      <c r="F138" s="23" t="n">
        <v>76</v>
      </c>
      <c r="G138" s="23" t="n">
        <v>128</v>
      </c>
      <c r="H138" s="23" t="n">
        <v>10</v>
      </c>
      <c r="I138" s="23" t="n">
        <v>36</v>
      </c>
      <c r="J138" s="23" t="inlineStr">
        <is>
          <t>978-5-227-06205-5</t>
        </is>
      </c>
      <c r="K138" s="23" t="inlineStr">
        <is>
          <t>70x100 1/32</t>
        </is>
      </c>
      <c r="L138" s="23" t="inlineStr">
        <is>
          <t>мяг</t>
        </is>
      </c>
      <c r="M138" s="23" t="n">
        <v>190</v>
      </c>
      <c r="N138" s="23" t="n">
        <v>2015</v>
      </c>
      <c r="O138" s="23" t="n">
        <v>90</v>
      </c>
      <c r="P138" s="23" t="n"/>
      <c r="Q138" s="23" t="n"/>
      <c r="R138" s="25" t="n"/>
      <c r="S138" s="26">
        <f>HYPERLINK("http://www.cnpol.ru/covers/16283.jpg","фото на сайте")</f>
        <v/>
      </c>
    </row>
    <row r="139" ht="50.1" customHeight="1" s="3">
      <c r="A139" s="23" t="n"/>
      <c r="B139" s="24" t="inlineStr">
        <is>
          <t>17341</t>
        </is>
      </c>
      <c r="C139" s="23" t="inlineStr">
        <is>
          <t>KISS</t>
        </is>
      </c>
      <c r="D139" s="23" t="inlineStr">
        <is>
          <t>Лоренс А.</t>
        </is>
      </c>
      <c r="E139" s="23" t="inlineStr">
        <is>
          <t>Свадьба на Рождество</t>
        </is>
      </c>
      <c r="F139" s="23" t="n">
        <v>140</v>
      </c>
      <c r="G139" s="23" t="n">
        <v>128</v>
      </c>
      <c r="H139" s="23" t="n">
        <v>10</v>
      </c>
      <c r="I139" s="23" t="n">
        <v>36</v>
      </c>
      <c r="J139" s="23" t="inlineStr">
        <is>
          <t>978-5-227-07297-9</t>
        </is>
      </c>
      <c r="K139" s="23" t="inlineStr">
        <is>
          <t>70x100 1/32</t>
        </is>
      </c>
      <c r="L139" s="23" t="inlineStr">
        <is>
          <t>мяг</t>
        </is>
      </c>
      <c r="M139" s="23" t="n">
        <v>192</v>
      </c>
      <c r="N139" s="23" t="n">
        <v>2017</v>
      </c>
      <c r="O139" s="23" t="n">
        <v>90</v>
      </c>
      <c r="P139" s="23" t="n"/>
      <c r="Q139" s="23" t="n"/>
      <c r="R139" s="25" t="n"/>
      <c r="S139" s="26">
        <f>HYPERLINK("http://www.cnpol.ru/covers/17341.jpg","фото на сайте")</f>
        <v/>
      </c>
    </row>
    <row r="140" ht="50.1" customHeight="1" s="3">
      <c r="A140" s="23" t="n"/>
      <c r="B140" s="24" t="inlineStr">
        <is>
          <t>17568</t>
        </is>
      </c>
      <c r="C140" s="23" t="inlineStr">
        <is>
          <t>KISS</t>
        </is>
      </c>
      <c r="D140" s="23" t="inlineStr">
        <is>
          <t>Лейн С.</t>
        </is>
      </c>
      <c r="E140" s="23" t="inlineStr">
        <is>
          <t>Свидание с незнакомцем</t>
        </is>
      </c>
      <c r="F140" s="23" t="n">
        <v>145</v>
      </c>
      <c r="G140" s="23" t="n">
        <v>128</v>
      </c>
      <c r="H140" s="23" t="n">
        <v>10</v>
      </c>
      <c r="I140" s="23" t="n">
        <v>36</v>
      </c>
      <c r="J140" s="23" t="inlineStr">
        <is>
          <t>978-5-227-07323-5</t>
        </is>
      </c>
      <c r="K140" s="23" t="inlineStr">
        <is>
          <t>70x100 1/32</t>
        </is>
      </c>
      <c r="L140" s="23" t="inlineStr">
        <is>
          <t>мяг</t>
        </is>
      </c>
      <c r="M140" s="23" t="n">
        <v>192</v>
      </c>
      <c r="N140" s="23" t="n">
        <v>2017</v>
      </c>
      <c r="O140" s="23" t="n">
        <v>76</v>
      </c>
      <c r="P140" s="23" t="n"/>
      <c r="Q140" s="23" t="n"/>
      <c r="R140" s="25" t="n"/>
      <c r="S140" s="26">
        <f>HYPERLINK("http://www.cnpol.ru/covers/17568.jpg","фото на сайте")</f>
        <v/>
      </c>
    </row>
    <row r="141" ht="50.1" customHeight="1" s="3">
      <c r="A141" s="23" t="n"/>
      <c r="B141" s="24" t="inlineStr">
        <is>
          <t>20369</t>
        </is>
      </c>
      <c r="C141" s="23" t="inlineStr">
        <is>
          <t>KISS</t>
        </is>
      </c>
      <c r="D141" s="23" t="inlineStr">
        <is>
          <t>Сен­Джон Я.</t>
        </is>
      </c>
      <c r="E141" s="23" t="inlineStr">
        <is>
          <t>Секреты фальшивого жениха</t>
        </is>
      </c>
      <c r="F141" s="23" t="n">
        <v>188</v>
      </c>
      <c r="G141" s="23" t="n">
        <v>128</v>
      </c>
      <c r="H141" s="23" t="n">
        <v>10</v>
      </c>
      <c r="I141" s="23" t="n">
        <v>20</v>
      </c>
      <c r="J141" s="23" t="inlineStr">
        <is>
          <t>978-5-227-10026-9</t>
        </is>
      </c>
      <c r="K141" s="23" t="inlineStr">
        <is>
          <t>70x100 1/32</t>
        </is>
      </c>
      <c r="L141" s="23" t="inlineStr">
        <is>
          <t>мяг</t>
        </is>
      </c>
      <c r="M141" s="23" t="n">
        <v>191</v>
      </c>
      <c r="N141" s="23" t="n">
        <v>2022</v>
      </c>
      <c r="O141" s="23" t="n">
        <v>90</v>
      </c>
      <c r="P141" s="23" t="n"/>
      <c r="Q141" s="23" t="n"/>
      <c r="R141" s="25" t="n"/>
      <c r="S141" s="26">
        <f>HYPERLINK("http://www.cnpol.ru/covers/20369.jpg","фото на сайте")</f>
        <v/>
      </c>
    </row>
    <row r="142" ht="50.1" customHeight="1" s="3">
      <c r="A142" s="23" t="n"/>
      <c r="B142" s="24" t="inlineStr">
        <is>
          <t>17658</t>
        </is>
      </c>
      <c r="C142" s="23" t="inlineStr">
        <is>
          <t>KISS</t>
        </is>
      </c>
      <c r="D142" s="23" t="inlineStr">
        <is>
          <t>Робертс Э.</t>
        </is>
      </c>
      <c r="E142" s="23" t="inlineStr">
        <is>
          <t>Сердце открытое любви</t>
        </is>
      </c>
      <c r="F142" s="23" t="n">
        <v>146</v>
      </c>
      <c r="G142" s="23" t="n">
        <v>128</v>
      </c>
      <c r="H142" s="23" t="n">
        <v>10</v>
      </c>
      <c r="I142" s="23" t="n">
        <v>36</v>
      </c>
      <c r="J142" s="23" t="inlineStr">
        <is>
          <t>978-5-227-07324-2</t>
        </is>
      </c>
      <c r="K142" s="23" t="inlineStr">
        <is>
          <t>70x100 1/32</t>
        </is>
      </c>
      <c r="L142" s="23" t="inlineStr">
        <is>
          <t>мяг</t>
        </is>
      </c>
      <c r="M142" s="23" t="n">
        <v>192</v>
      </c>
      <c r="N142" s="23" t="n">
        <v>2017</v>
      </c>
      <c r="O142" s="23" t="n">
        <v>90</v>
      </c>
      <c r="P142" s="23" t="n"/>
      <c r="Q142" s="23" t="n"/>
      <c r="R142" s="25" t="n"/>
      <c r="S142" s="26">
        <f>HYPERLINK("http://www.cnpol.ru/covers/17658.jpg","фото на сайте")</f>
        <v/>
      </c>
    </row>
    <row r="143" ht="50.1" customHeight="1" s="3">
      <c r="A143" s="23" t="n"/>
      <c r="B143" s="24" t="inlineStr">
        <is>
          <t>20719</t>
        </is>
      </c>
      <c r="C143" s="23" t="inlineStr">
        <is>
          <t>KISS</t>
        </is>
      </c>
      <c r="D143" s="23" t="inlineStr">
        <is>
          <t>Саймон Н.</t>
        </is>
      </c>
      <c r="E143" s="23" t="inlineStr">
        <is>
          <t>Спасение в любви</t>
        </is>
      </c>
      <c r="F143" s="23" t="n">
        <v>190</v>
      </c>
      <c r="G143" s="23" t="n">
        <v>128</v>
      </c>
      <c r="H143" s="23" t="n">
        <v>10</v>
      </c>
      <c r="I143" s="23" t="n">
        <v>24</v>
      </c>
      <c r="J143" s="23" t="inlineStr">
        <is>
          <t>978-5-227-10150-1</t>
        </is>
      </c>
      <c r="K143" s="23" t="inlineStr">
        <is>
          <t>70x100 1/32</t>
        </is>
      </c>
      <c r="L143" s="23" t="inlineStr">
        <is>
          <t>мяг</t>
        </is>
      </c>
      <c r="M143" s="23" t="n">
        <v>191</v>
      </c>
      <c r="N143" s="23" t="n">
        <v>2023</v>
      </c>
      <c r="O143" s="23" t="n">
        <v>79</v>
      </c>
      <c r="P143" s="23" t="n"/>
      <c r="Q143" s="23" t="n"/>
      <c r="R143" s="25" t="inlineStr">
        <is>
          <t>В состоянии легкого помрачения рассудка на официальном торжественном вечере Шей Нил соглашается провести ночь с миллиардером Гидеоном Найтом, не зная, что он враг ее брата в денежных расчетах. Теперь, чтобы спасти своего брата, она должна притвориться влюбленной в Гидеона. Но играть в эту игру означает сопротивляться взаимной страсти, которая может уничтожить их обоих...</t>
        </is>
      </c>
      <c r="S143" s="26">
        <f>HYPERLINK("http://www.cnpol.ru/covers/20719.jpg","фото на сайте")</f>
        <v/>
      </c>
    </row>
    <row r="144" ht="50.1" customHeight="1" s="3">
      <c r="A144" s="23" t="n"/>
      <c r="B144" s="24" t="inlineStr">
        <is>
          <t>19960</t>
        </is>
      </c>
      <c r="C144" s="23" t="inlineStr">
        <is>
          <t>KISS</t>
        </is>
      </c>
      <c r="D144" s="23" t="inlineStr">
        <is>
          <t>Уильямс А.</t>
        </is>
      </c>
      <c r="E144" s="23" t="inlineStr">
        <is>
          <t>Спасенная любовь</t>
        </is>
      </c>
      <c r="F144" s="23" t="n">
        <v>184</v>
      </c>
      <c r="G144" s="23" t="n">
        <v>128</v>
      </c>
      <c r="H144" s="23" t="n">
        <v>10</v>
      </c>
      <c r="I144" s="23" t="n">
        <v>20</v>
      </c>
      <c r="J144" s="23" t="inlineStr">
        <is>
          <t>978-5-227-09577-0</t>
        </is>
      </c>
      <c r="K144" s="23" t="inlineStr">
        <is>
          <t>70x100 1/32</t>
        </is>
      </c>
      <c r="L144" s="23" t="inlineStr">
        <is>
          <t>мяг</t>
        </is>
      </c>
      <c r="M144" s="23" t="n">
        <v>191</v>
      </c>
      <c r="N144" s="23" t="n">
        <v>2021</v>
      </c>
      <c r="O144" s="23" t="n">
        <v>76</v>
      </c>
      <c r="P144" s="23" t="n"/>
      <c r="Q144" s="23" t="n"/>
      <c r="R144" s="25" t="n"/>
      <c r="S144" s="26">
        <f>HYPERLINK("http://www.cnpol.ru/covers/19960.jpg","фото на сайте")</f>
        <v/>
      </c>
    </row>
    <row r="145" ht="50.1" customHeight="1" s="3">
      <c r="A145" s="23" t="n"/>
      <c r="B145" s="24" t="inlineStr">
        <is>
          <t>17011</t>
        </is>
      </c>
      <c r="C145" s="23" t="inlineStr">
        <is>
          <t>KISS</t>
        </is>
      </c>
      <c r="D145" s="23" t="inlineStr">
        <is>
          <t>Лоренс А.</t>
        </is>
      </c>
      <c r="E145" s="23" t="inlineStr">
        <is>
          <t>Спутница для кинозвезды</t>
        </is>
      </c>
      <c r="F145" s="23" t="n">
        <v>121</v>
      </c>
      <c r="G145" s="23" t="n">
        <v>128</v>
      </c>
      <c r="H145" s="23" t="n">
        <v>10</v>
      </c>
      <c r="I145" s="23" t="n">
        <v>36</v>
      </c>
      <c r="J145" s="23" t="inlineStr">
        <is>
          <t>978-5-227-06936-8</t>
        </is>
      </c>
      <c r="K145" s="23" t="inlineStr">
        <is>
          <t>70x100 1/32</t>
        </is>
      </c>
      <c r="L145" s="23" t="inlineStr">
        <is>
          <t>мяг</t>
        </is>
      </c>
      <c r="M145" s="23" t="n">
        <v>192</v>
      </c>
      <c r="N145" s="23" t="n">
        <v>2016</v>
      </c>
      <c r="O145" s="23" t="n">
        <v>90</v>
      </c>
      <c r="P145" s="23" t="n"/>
      <c r="Q145" s="23" t="n"/>
      <c r="R145" s="25" t="n"/>
      <c r="S145" s="26">
        <f>HYPERLINK("http://www.cnpol.ru/covers/17011.jpg","фото на сайте")</f>
        <v/>
      </c>
    </row>
    <row r="146" ht="50.1" customHeight="1" s="3">
      <c r="A146" s="23" t="n"/>
      <c r="B146" s="24" t="inlineStr">
        <is>
          <t>18228</t>
        </is>
      </c>
      <c r="C146" s="23" t="inlineStr">
        <is>
          <t>KISS</t>
        </is>
      </c>
      <c r="D146" s="23" t="inlineStr">
        <is>
          <t>Фэй Дж.</t>
        </is>
      </c>
      <c r="E146" s="23" t="inlineStr">
        <is>
          <t>Странный путь к счастью</t>
        </is>
      </c>
      <c r="F146" s="23" t="n">
        <v>156</v>
      </c>
      <c r="G146" s="23" t="n">
        <v>128</v>
      </c>
      <c r="H146" s="23" t="n">
        <v>10</v>
      </c>
      <c r="I146" s="23" t="n">
        <v>30</v>
      </c>
      <c r="J146" s="23" t="inlineStr">
        <is>
          <t>978-5-227-08233-6</t>
        </is>
      </c>
      <c r="K146" s="23" t="inlineStr">
        <is>
          <t>70x100 1/32</t>
        </is>
      </c>
      <c r="L146" s="23" t="inlineStr">
        <is>
          <t>мяг</t>
        </is>
      </c>
      <c r="M146" s="23" t="n">
        <v>192</v>
      </c>
      <c r="N146" s="23" t="n">
        <v>2018</v>
      </c>
      <c r="O146" s="23" t="n">
        <v>90</v>
      </c>
      <c r="P146" s="23" t="n"/>
      <c r="Q146" s="23" t="n"/>
      <c r="R146" s="25" t="n"/>
      <c r="S146" s="26">
        <f>HYPERLINK("http://www.cnpol.ru/covers/18228.jpg","фото на сайте")</f>
        <v/>
      </c>
    </row>
    <row r="147" ht="50.1" customHeight="1" s="3">
      <c r="A147" s="23" t="n"/>
      <c r="B147" s="24" t="inlineStr">
        <is>
          <t>18751</t>
        </is>
      </c>
      <c r="C147" s="23" t="inlineStr">
        <is>
          <t>KISS</t>
        </is>
      </c>
      <c r="D147" s="23" t="inlineStr">
        <is>
          <t>Кондер М.</t>
        </is>
      </c>
      <c r="E147" s="23" t="inlineStr">
        <is>
          <t>Судьбе вопреки</t>
        </is>
      </c>
      <c r="F147" s="23" t="n">
        <v>166</v>
      </c>
      <c r="G147" s="23" t="n">
        <v>128</v>
      </c>
      <c r="H147" s="23" t="n">
        <v>10</v>
      </c>
      <c r="I147" s="23" t="n">
        <v>30</v>
      </c>
      <c r="J147" s="23" t="inlineStr">
        <is>
          <t>978-5-227-08676-1</t>
        </is>
      </c>
      <c r="K147" s="23" t="inlineStr">
        <is>
          <t>70x100 1/32</t>
        </is>
      </c>
      <c r="L147" s="23" t="inlineStr">
        <is>
          <t>мяг</t>
        </is>
      </c>
      <c r="M147" s="23" t="n">
        <v>192</v>
      </c>
      <c r="N147" s="23" t="n">
        <v>2019</v>
      </c>
      <c r="O147" s="23" t="n">
        <v>90</v>
      </c>
      <c r="P147" s="23" t="n"/>
      <c r="Q147" s="23" t="n"/>
      <c r="R147" s="25" t="n"/>
      <c r="S147" s="26">
        <f>HYPERLINK("http://www.cnpol.ru/covers/18751.jpg","фото на сайте")</f>
        <v/>
      </c>
    </row>
    <row r="148" ht="50.1" customHeight="1" s="3">
      <c r="A148" s="23" t="n"/>
      <c r="B148" s="24" t="inlineStr">
        <is>
          <t>16531</t>
        </is>
      </c>
      <c r="C148" s="23" t="inlineStr">
        <is>
          <t>KISS</t>
        </is>
      </c>
      <c r="D148" s="23" t="inlineStr">
        <is>
          <t>Аштон Л.</t>
        </is>
      </c>
      <c r="E148" s="23" t="inlineStr">
        <is>
          <t>Супергерой для миллиардерши</t>
        </is>
      </c>
      <c r="F148" s="23" t="n">
        <v>90</v>
      </c>
      <c r="G148" s="23" t="n">
        <v>128</v>
      </c>
      <c r="H148" s="23" t="n">
        <v>10</v>
      </c>
      <c r="I148" s="23" t="n">
        <v>36</v>
      </c>
      <c r="J148" s="23" t="inlineStr">
        <is>
          <t>978-5-227-06404-2</t>
        </is>
      </c>
      <c r="K148" s="23" t="inlineStr">
        <is>
          <t>70x100 1/32</t>
        </is>
      </c>
      <c r="L148" s="23" t="inlineStr">
        <is>
          <t>мяг</t>
        </is>
      </c>
      <c r="M148" s="23" t="n">
        <v>192</v>
      </c>
      <c r="N148" s="23" t="n">
        <v>2016</v>
      </c>
      <c r="O148" s="23" t="n">
        <v>90</v>
      </c>
      <c r="P148" s="23" t="n"/>
      <c r="Q148" s="23" t="n"/>
      <c r="R148" s="25" t="n"/>
      <c r="S148" s="26">
        <f>HYPERLINK("http://www.cnpol.ru/covers/16531.jpg","фото на сайте")</f>
        <v/>
      </c>
    </row>
    <row r="149" ht="50.1" customHeight="1" s="3">
      <c r="A149" s="23" t="n"/>
      <c r="B149" s="24" t="inlineStr">
        <is>
          <t>18791</t>
        </is>
      </c>
      <c r="C149" s="23" t="inlineStr">
        <is>
          <t>KISS</t>
        </is>
      </c>
      <c r="D149" s="23" t="inlineStr">
        <is>
          <t>Вейд Д.</t>
        </is>
      </c>
      <c r="E149" s="23" t="inlineStr">
        <is>
          <t>Счастливое недоразумение</t>
        </is>
      </c>
      <c r="F149" s="23" t="n">
        <v>167</v>
      </c>
      <c r="G149" s="23" t="n">
        <v>128</v>
      </c>
      <c r="H149" s="23" t="n">
        <v>10</v>
      </c>
      <c r="I149" s="23" t="n">
        <v>30</v>
      </c>
      <c r="J149" s="23" t="inlineStr">
        <is>
          <t>978-5-227-08712-6</t>
        </is>
      </c>
      <c r="K149" s="23" t="inlineStr">
        <is>
          <t>70x100 1/32</t>
        </is>
      </c>
      <c r="L149" s="23" t="inlineStr">
        <is>
          <t>мяг</t>
        </is>
      </c>
      <c r="M149" s="23" t="n">
        <v>192</v>
      </c>
      <c r="N149" s="23" t="n">
        <v>2019</v>
      </c>
      <c r="O149" s="23" t="n">
        <v>90</v>
      </c>
      <c r="P149" s="23" t="n"/>
      <c r="Q149" s="23" t="n"/>
      <c r="R149" s="25" t="n"/>
      <c r="S149" s="26">
        <f>HYPERLINK("http://www.cnpol.ru/covers/18791.jpg","фото на сайте")</f>
        <v/>
      </c>
    </row>
    <row r="150" ht="50.1" customHeight="1" s="3">
      <c r="A150" s="23" t="n"/>
      <c r="B150" s="24" t="inlineStr">
        <is>
          <t>17819</t>
        </is>
      </c>
      <c r="C150" s="23" t="inlineStr">
        <is>
          <t>KISS</t>
        </is>
      </c>
      <c r="D150" s="23" t="inlineStr">
        <is>
          <t>Гилмор Д.</t>
        </is>
      </c>
      <c r="E150" s="23" t="inlineStr">
        <is>
          <t>Счастливые дни в Шотландии</t>
        </is>
      </c>
      <c r="F150" s="23" t="n">
        <v>149</v>
      </c>
      <c r="G150" s="23" t="n">
        <v>128</v>
      </c>
      <c r="H150" s="23" t="n">
        <v>10</v>
      </c>
      <c r="I150" s="23" t="n">
        <v>36</v>
      </c>
      <c r="J150" s="23" t="inlineStr">
        <is>
          <t>978-5-227-07770-7</t>
        </is>
      </c>
      <c r="K150" s="23" t="inlineStr">
        <is>
          <t>70x100 1/32</t>
        </is>
      </c>
      <c r="L150" s="23" t="inlineStr">
        <is>
          <t>мяг</t>
        </is>
      </c>
      <c r="M150" s="23" t="n">
        <v>192</v>
      </c>
      <c r="N150" s="23" t="n">
        <v>2017</v>
      </c>
      <c r="O150" s="23" t="n">
        <v>90</v>
      </c>
      <c r="P150" s="23" t="n"/>
      <c r="Q150" s="23" t="n"/>
      <c r="R150" s="25" t="n"/>
      <c r="S150" s="26">
        <f>HYPERLINK("http://www.cnpol.ru/covers/17819.jpg","фото на сайте")</f>
        <v/>
      </c>
    </row>
    <row r="151" ht="50.1" customHeight="1" s="3">
      <c r="A151" s="23" t="n"/>
      <c r="B151" s="24" t="inlineStr">
        <is>
          <t>17340</t>
        </is>
      </c>
      <c r="C151" s="23" t="inlineStr">
        <is>
          <t>KISS</t>
        </is>
      </c>
      <c r="D151" s="23" t="inlineStr">
        <is>
          <t>Уилсон С.</t>
        </is>
      </c>
      <c r="E151" s="23" t="inlineStr">
        <is>
          <t>Счастливые дни во Флоренции</t>
        </is>
      </c>
      <c r="F151" s="23" t="n">
        <v>139</v>
      </c>
      <c r="G151" s="23" t="n">
        <v>128</v>
      </c>
      <c r="H151" s="23" t="n">
        <v>10</v>
      </c>
      <c r="I151" s="23" t="n">
        <v>36</v>
      </c>
      <c r="J151" s="23" t="inlineStr">
        <is>
          <t>978-5-227-07225-2</t>
        </is>
      </c>
      <c r="K151" s="23" t="inlineStr">
        <is>
          <t>70x100 1/32</t>
        </is>
      </c>
      <c r="L151" s="23" t="inlineStr">
        <is>
          <t>мяг</t>
        </is>
      </c>
      <c r="M151" s="23" t="n">
        <v>192</v>
      </c>
      <c r="N151" s="23" t="n">
        <v>2017</v>
      </c>
      <c r="O151" s="23" t="n">
        <v>90</v>
      </c>
      <c r="P151" s="23" t="n"/>
      <c r="Q151" s="23" t="n"/>
      <c r="R151" s="25" t="n"/>
      <c r="S151" s="26">
        <f>HYPERLINK("http://www.cnpol.ru/covers/17340.jpg","фото на сайте")</f>
        <v/>
      </c>
    </row>
    <row r="152" ht="50.1" customHeight="1" s="3">
      <c r="A152" s="23" t="n"/>
      <c r="B152" s="24" t="inlineStr">
        <is>
          <t>17091</t>
        </is>
      </c>
      <c r="C152" s="23" t="inlineStr">
        <is>
          <t>KISS</t>
        </is>
      </c>
      <c r="D152" s="23" t="inlineStr">
        <is>
          <t>Леннокс М.</t>
        </is>
      </c>
      <c r="E152" s="23" t="inlineStr">
        <is>
          <t>Счастье с отсрочкой на год</t>
        </is>
      </c>
      <c r="F152" s="23" t="n">
        <v>126</v>
      </c>
      <c r="G152" s="23" t="n">
        <v>128</v>
      </c>
      <c r="H152" s="23" t="n">
        <v>10</v>
      </c>
      <c r="I152" s="23" t="n">
        <v>36</v>
      </c>
      <c r="J152" s="23" t="inlineStr">
        <is>
          <t>978-5-227-07054-8</t>
        </is>
      </c>
      <c r="K152" s="23" t="inlineStr">
        <is>
          <t>70x100 1/32</t>
        </is>
      </c>
      <c r="L152" s="23" t="inlineStr">
        <is>
          <t>мяг</t>
        </is>
      </c>
      <c r="M152" s="23" t="n">
        <v>192</v>
      </c>
      <c r="N152" s="23" t="n">
        <v>2016</v>
      </c>
      <c r="O152" s="23" t="n">
        <v>90</v>
      </c>
      <c r="P152" s="23" t="n"/>
      <c r="Q152" s="23" t="n"/>
      <c r="R152" s="25" t="n"/>
      <c r="S152" s="26">
        <f>HYPERLINK("http://www.cnpol.ru/covers/17091.jpg","фото на сайте")</f>
        <v/>
      </c>
    </row>
    <row r="153" ht="50.1" customHeight="1" s="3">
      <c r="A153" s="23" t="n"/>
      <c r="B153" s="24" t="inlineStr">
        <is>
          <t>16133</t>
        </is>
      </c>
      <c r="C153" s="23" t="inlineStr">
        <is>
          <t>KISS</t>
        </is>
      </c>
      <c r="D153" s="23" t="inlineStr">
        <is>
          <t>Тремейн А.</t>
        </is>
      </c>
      <c r="E153" s="23" t="inlineStr">
        <is>
          <t>Тайная жизнь скромницы</t>
        </is>
      </c>
      <c r="F153" s="23" t="n">
        <v>65</v>
      </c>
      <c r="G153" s="23" t="n">
        <v>128</v>
      </c>
      <c r="H153" s="23" t="n">
        <v>10</v>
      </c>
      <c r="I153" s="23" t="n">
        <v>36</v>
      </c>
      <c r="J153" s="23" t="inlineStr">
        <is>
          <t>978-5-227-06127-0</t>
        </is>
      </c>
      <c r="K153" s="23" t="inlineStr">
        <is>
          <t>70x100 1/32</t>
        </is>
      </c>
      <c r="L153" s="23" t="inlineStr">
        <is>
          <t>мяг</t>
        </is>
      </c>
      <c r="M153" s="23" t="n">
        <v>190</v>
      </c>
      <c r="N153" s="23" t="n">
        <v>2015</v>
      </c>
      <c r="O153" s="23" t="n">
        <v>90</v>
      </c>
      <c r="P153" s="23" t="n"/>
      <c r="Q153" s="23" t="n"/>
      <c r="R153" s="25" t="n"/>
      <c r="S153" s="26">
        <f>HYPERLINK("http://www.cnpol.ru/covers/16133.jpg","фото на сайте")</f>
        <v/>
      </c>
    </row>
    <row r="154" ht="50.1" customHeight="1" s="3">
      <c r="A154" s="23" t="n"/>
      <c r="B154" s="24" t="inlineStr">
        <is>
          <t>16237</t>
        </is>
      </c>
      <c r="C154" s="23" t="inlineStr">
        <is>
          <t>KISS</t>
        </is>
      </c>
      <c r="D154" s="23" t="inlineStr">
        <is>
          <t>Райт Т.</t>
        </is>
      </c>
      <c r="E154" s="23" t="inlineStr">
        <is>
          <t>Тепло твоих губ</t>
        </is>
      </c>
      <c r="F154" s="23" t="n">
        <v>72</v>
      </c>
      <c r="G154" s="23" t="n">
        <v>128</v>
      </c>
      <c r="H154" s="23" t="n">
        <v>10</v>
      </c>
      <c r="I154" s="23" t="n">
        <v>36</v>
      </c>
      <c r="J154" s="23" t="inlineStr">
        <is>
          <t>978-5-227-06170-6</t>
        </is>
      </c>
      <c r="K154" s="23" t="inlineStr">
        <is>
          <t>70x100 1/32</t>
        </is>
      </c>
      <c r="L154" s="23" t="inlineStr">
        <is>
          <t>мяг</t>
        </is>
      </c>
      <c r="M154" s="23" t="n">
        <v>190</v>
      </c>
      <c r="N154" s="23" t="n">
        <v>2015</v>
      </c>
      <c r="O154" s="23" t="n">
        <v>90</v>
      </c>
      <c r="P154" s="23" t="n"/>
      <c r="Q154" s="23" t="n"/>
      <c r="R154" s="25" t="n"/>
      <c r="S154" s="26">
        <f>HYPERLINK("http://www.cnpol.ru/covers/16237.jpg","фото на сайте")</f>
        <v/>
      </c>
    </row>
    <row r="155" ht="50.1" customHeight="1" s="3">
      <c r="A155" s="23" t="n"/>
      <c r="B155" s="24" t="inlineStr">
        <is>
          <t>15504</t>
        </is>
      </c>
      <c r="C155" s="23" t="inlineStr">
        <is>
          <t>KISS</t>
        </is>
      </c>
      <c r="D155" s="23" t="inlineStr">
        <is>
          <t>Эндрюс Э.</t>
        </is>
      </c>
      <c r="E155" s="23" t="inlineStr">
        <is>
          <t>Только не замуж!</t>
        </is>
      </c>
      <c r="F155" s="23" t="n">
        <v>25</v>
      </c>
      <c r="G155" s="23" t="n">
        <v>128</v>
      </c>
      <c r="H155" s="23" t="n">
        <v>10</v>
      </c>
      <c r="I155" s="23" t="n">
        <v>36</v>
      </c>
      <c r="J155" s="23" t="inlineStr">
        <is>
          <t>978-5-227-05495-1</t>
        </is>
      </c>
      <c r="K155" s="23" t="inlineStr">
        <is>
          <t>70x100 1/32</t>
        </is>
      </c>
      <c r="L155" s="23" t="inlineStr">
        <is>
          <t>мяг</t>
        </is>
      </c>
      <c r="M155" s="23" t="n">
        <v>190</v>
      </c>
      <c r="N155" s="23" t="n">
        <v>2014</v>
      </c>
      <c r="O155" s="23" t="n">
        <v>92</v>
      </c>
      <c r="P155" s="23" t="n"/>
      <c r="Q155" s="23" t="n"/>
      <c r="R155" s="25" t="n"/>
      <c r="S155" s="26">
        <f>HYPERLINK("http://www.cnpol.ru/covers/15504.jpg","фото на сайте")</f>
        <v/>
      </c>
    </row>
    <row r="156" ht="50.1" customHeight="1" s="3">
      <c r="A156" s="23" t="n"/>
      <c r="B156" s="24" t="inlineStr">
        <is>
          <t>16750</t>
        </is>
      </c>
      <c r="C156" s="23" t="inlineStr">
        <is>
          <t>KISS</t>
        </is>
      </c>
      <c r="D156" s="23" t="inlineStr">
        <is>
          <t>Беннет Д.</t>
        </is>
      </c>
      <c r="E156" s="23" t="inlineStr">
        <is>
          <t>Тонкий расчет</t>
        </is>
      </c>
      <c r="F156" s="23" t="n">
        <v>104</v>
      </c>
      <c r="G156" s="23" t="n">
        <v>128</v>
      </c>
      <c r="H156" s="23" t="n">
        <v>10</v>
      </c>
      <c r="I156" s="23" t="n">
        <v>36</v>
      </c>
      <c r="J156" s="23" t="inlineStr">
        <is>
          <t>978-5-227-06717-3</t>
        </is>
      </c>
      <c r="K156" s="23" t="inlineStr">
        <is>
          <t>70x100 1/32</t>
        </is>
      </c>
      <c r="L156" s="23" t="inlineStr">
        <is>
          <t>мяг</t>
        </is>
      </c>
      <c r="M156" s="23" t="n">
        <v>192</v>
      </c>
      <c r="N156" s="23" t="n">
        <v>2016</v>
      </c>
      <c r="O156" s="23" t="n">
        <v>90</v>
      </c>
      <c r="P156" s="23" t="n"/>
      <c r="Q156" s="23" t="n"/>
      <c r="R156" s="25" t="n"/>
      <c r="S156" s="26">
        <f>HYPERLINK("http://www.cnpol.ru/covers/16750.jpg","фото на сайте")</f>
        <v/>
      </c>
    </row>
    <row r="157" ht="50.1" customHeight="1" s="3">
      <c r="A157" s="23" t="n"/>
      <c r="B157" s="24" t="inlineStr">
        <is>
          <t>16532</t>
        </is>
      </c>
      <c r="C157" s="23" t="inlineStr">
        <is>
          <t>KISS</t>
        </is>
      </c>
      <c r="D157" s="23" t="inlineStr">
        <is>
          <t>Чайлд М.</t>
        </is>
      </c>
      <c r="E157" s="23" t="inlineStr">
        <is>
          <t>Тройная радость</t>
        </is>
      </c>
      <c r="F157" s="23" t="n">
        <v>91</v>
      </c>
      <c r="G157" s="23" t="n">
        <v>128</v>
      </c>
      <c r="H157" s="23" t="n">
        <v>10</v>
      </c>
      <c r="I157" s="23" t="n">
        <v>36</v>
      </c>
      <c r="J157" s="23" t="inlineStr">
        <is>
          <t>978-5-227-06405-9</t>
        </is>
      </c>
      <c r="K157" s="23" t="inlineStr">
        <is>
          <t>70x100 1/32</t>
        </is>
      </c>
      <c r="L157" s="23" t="inlineStr">
        <is>
          <t>мяг</t>
        </is>
      </c>
      <c r="M157" s="23" t="n">
        <v>192</v>
      </c>
      <c r="N157" s="23" t="n">
        <v>2016</v>
      </c>
      <c r="O157" s="23" t="n">
        <v>90</v>
      </c>
      <c r="P157" s="23" t="n"/>
      <c r="Q157" s="23" t="n"/>
      <c r="R157" s="25" t="n"/>
      <c r="S157" s="26">
        <f>HYPERLINK("http://www.cnpol.ru/covers/16532.jpg","фото на сайте")</f>
        <v/>
      </c>
    </row>
    <row r="158" ht="50.1" customHeight="1" s="3">
      <c r="A158" s="23" t="n"/>
      <c r="B158" s="24" t="inlineStr">
        <is>
          <t>16579</t>
        </is>
      </c>
      <c r="C158" s="23" t="inlineStr">
        <is>
          <t>KISS</t>
        </is>
      </c>
      <c r="D158" s="23" t="inlineStr">
        <is>
          <t>Ханней Б.</t>
        </is>
      </c>
      <c r="E158" s="23" t="inlineStr">
        <is>
          <t>Удивительный подарок</t>
        </is>
      </c>
      <c r="F158" s="23" t="n">
        <v>93</v>
      </c>
      <c r="G158" s="23" t="n">
        <v>128</v>
      </c>
      <c r="H158" s="23" t="n">
        <v>10</v>
      </c>
      <c r="I158" s="23" t="n">
        <v>36</v>
      </c>
      <c r="J158" s="23" t="inlineStr">
        <is>
          <t>978-5-227-06498-1</t>
        </is>
      </c>
      <c r="K158" s="23" t="inlineStr">
        <is>
          <t>70x100 1/32</t>
        </is>
      </c>
      <c r="L158" s="23" t="inlineStr">
        <is>
          <t>мяг</t>
        </is>
      </c>
      <c r="M158" s="23" t="n">
        <v>192</v>
      </c>
      <c r="N158" s="23" t="n">
        <v>2016</v>
      </c>
      <c r="O158" s="23" t="n">
        <v>90</v>
      </c>
      <c r="P158" s="23" t="n"/>
      <c r="Q158" s="23" t="n"/>
      <c r="R158" s="25" t="n"/>
      <c r="S158" s="26">
        <f>HYPERLINK("http://www.cnpol.ru/covers/16579.jpg","фото на сайте")</f>
        <v/>
      </c>
    </row>
    <row r="159" ht="50.1" customHeight="1" s="3">
      <c r="A159" s="23" t="n"/>
      <c r="B159" s="24" t="inlineStr">
        <is>
          <t>16631</t>
        </is>
      </c>
      <c r="C159" s="23" t="inlineStr">
        <is>
          <t>KISS</t>
        </is>
      </c>
      <c r="D159" s="23" t="inlineStr">
        <is>
          <t>Шеперд К.</t>
        </is>
      </c>
      <c r="E159" s="23" t="inlineStr">
        <is>
          <t>Фантастическая женщина</t>
        </is>
      </c>
      <c r="F159" s="23" t="n">
        <v>96</v>
      </c>
      <c r="G159" s="23" t="n">
        <v>128</v>
      </c>
      <c r="H159" s="23" t="n">
        <v>10</v>
      </c>
      <c r="I159" s="23" t="n">
        <v>36</v>
      </c>
      <c r="J159" s="23" t="inlineStr">
        <is>
          <t>978-5-227-06540-7</t>
        </is>
      </c>
      <c r="K159" s="23" t="inlineStr">
        <is>
          <t>70x100 1/32</t>
        </is>
      </c>
      <c r="L159" s="23" t="inlineStr">
        <is>
          <t>мяг</t>
        </is>
      </c>
      <c r="M159" s="23" t="n">
        <v>192</v>
      </c>
      <c r="N159" s="23" t="n">
        <v>2016</v>
      </c>
      <c r="O159" s="23" t="n">
        <v>90</v>
      </c>
      <c r="P159" s="23" t="n"/>
      <c r="Q159" s="23" t="n"/>
      <c r="R159" s="25" t="n"/>
      <c r="S159" s="26">
        <f>HYPERLINK("http://www.cnpol.ru/covers/16631.jpg","фото на сайте")</f>
        <v/>
      </c>
    </row>
    <row r="160" ht="50.1" customHeight="1" s="3">
      <c r="A160" s="23" t="n"/>
      <c r="B160" s="24" t="inlineStr">
        <is>
          <t>16795</t>
        </is>
      </c>
      <c r="C160" s="23" t="inlineStr">
        <is>
          <t>KISS</t>
        </is>
      </c>
      <c r="D160" s="23" t="inlineStr">
        <is>
          <t>Харт Д.</t>
        </is>
      </c>
      <c r="E160" s="23" t="inlineStr">
        <is>
          <t>Формула идеального мужчины</t>
        </is>
      </c>
      <c r="F160" s="23" t="n">
        <v>107</v>
      </c>
      <c r="G160" s="23" t="n">
        <v>128</v>
      </c>
      <c r="H160" s="23" t="n">
        <v>10</v>
      </c>
      <c r="I160" s="23" t="n">
        <v>36</v>
      </c>
      <c r="J160" s="23" t="inlineStr">
        <is>
          <t>978-5-227-06751-7</t>
        </is>
      </c>
      <c r="K160" s="23" t="inlineStr">
        <is>
          <t>70x100 1/32</t>
        </is>
      </c>
      <c r="L160" s="23" t="inlineStr">
        <is>
          <t>мяг</t>
        </is>
      </c>
      <c r="M160" s="23" t="n">
        <v>192</v>
      </c>
      <c r="N160" s="23" t="n">
        <v>2016</v>
      </c>
      <c r="O160" s="23" t="n">
        <v>90</v>
      </c>
      <c r="P160" s="23" t="n"/>
      <c r="Q160" s="23" t="n"/>
      <c r="R160" s="25" t="n"/>
      <c r="S160" s="26">
        <f>HYPERLINK("http://www.cnpol.ru/covers/16795.jpg","фото на сайте")</f>
        <v/>
      </c>
    </row>
    <row r="161" ht="50.1" customHeight="1" s="3">
      <c r="A161" s="23" t="n"/>
      <c r="B161" s="24" t="inlineStr">
        <is>
          <t>18441</t>
        </is>
      </c>
      <c r="C161" s="23" t="inlineStr">
        <is>
          <t>KISS</t>
        </is>
      </c>
      <c r="D161" s="23" t="inlineStr">
        <is>
          <t>Кэнтрелл К.</t>
        </is>
      </c>
      <c r="E161" s="23" t="inlineStr">
        <is>
          <t>Формула личного счастья</t>
        </is>
      </c>
      <c r="F161" s="23" t="n">
        <v>160</v>
      </c>
      <c r="G161" s="23" t="n">
        <v>128</v>
      </c>
      <c r="H161" s="23" t="n">
        <v>10</v>
      </c>
      <c r="I161" s="23" t="n">
        <v>30</v>
      </c>
      <c r="J161" s="23" t="inlineStr">
        <is>
          <t>978-5-227-08404-0</t>
        </is>
      </c>
      <c r="K161" s="23" t="inlineStr">
        <is>
          <t>70x100 1/32</t>
        </is>
      </c>
      <c r="L161" s="23" t="inlineStr">
        <is>
          <t>мяг</t>
        </is>
      </c>
      <c r="M161" s="23" t="n">
        <v>192</v>
      </c>
      <c r="N161" s="23" t="n">
        <v>2018</v>
      </c>
      <c r="O161" s="23" t="n">
        <v>90</v>
      </c>
      <c r="P161" s="23" t="n"/>
      <c r="Q161" s="23" t="n"/>
      <c r="R161" s="25" t="n"/>
      <c r="S161" s="26">
        <f>HYPERLINK("http://www.cnpol.ru/covers/18441.jpg","фото на сайте")</f>
        <v/>
      </c>
    </row>
    <row r="162" ht="50.1" customHeight="1" s="3">
      <c r="A162" s="23" t="n"/>
      <c r="B162" s="24" t="inlineStr">
        <is>
          <t>16872</t>
        </is>
      </c>
      <c r="C162" s="23" t="inlineStr">
        <is>
          <t>KISS</t>
        </is>
      </c>
      <c r="D162" s="23" t="inlineStr">
        <is>
          <t>Даркинс Э.</t>
        </is>
      </c>
      <c r="E162" s="23" t="inlineStr">
        <is>
          <t>Холодное сердце, горячий поцелуй</t>
        </is>
      </c>
      <c r="F162" s="23" t="n">
        <v>113</v>
      </c>
      <c r="G162" s="23" t="n">
        <v>128</v>
      </c>
      <c r="H162" s="23" t="n">
        <v>10</v>
      </c>
      <c r="I162" s="23" t="n">
        <v>36</v>
      </c>
      <c r="J162" s="23" t="inlineStr">
        <is>
          <t>978-5-227-06841-5</t>
        </is>
      </c>
      <c r="K162" s="23" t="inlineStr">
        <is>
          <t>70x100 1/32</t>
        </is>
      </c>
      <c r="L162" s="23" t="inlineStr">
        <is>
          <t>мяг</t>
        </is>
      </c>
      <c r="M162" s="23" t="n">
        <v>192</v>
      </c>
      <c r="N162" s="23" t="n">
        <v>2016</v>
      </c>
      <c r="O162" s="23" t="n">
        <v>90</v>
      </c>
      <c r="P162" s="23" t="n"/>
      <c r="Q162" s="23" t="n"/>
      <c r="R162" s="25" t="n"/>
      <c r="S162" s="26">
        <f>HYPERLINK("http://www.cnpol.ru/covers/16872.jpg","фото на сайте")</f>
        <v/>
      </c>
    </row>
    <row r="163" ht="50.1" customHeight="1" s="3">
      <c r="A163" s="23" t="n"/>
      <c r="B163" s="24" t="inlineStr">
        <is>
          <t>16863</t>
        </is>
      </c>
      <c r="C163" s="23" t="inlineStr">
        <is>
          <t>KISS</t>
        </is>
      </c>
      <c r="D163" s="23" t="inlineStr">
        <is>
          <t>Карпентер Т.</t>
        </is>
      </c>
      <c r="E163" s="23" t="inlineStr">
        <is>
          <t>Цветок для счастливого дома</t>
        </is>
      </c>
      <c r="F163" s="23" t="n">
        <v>112</v>
      </c>
      <c r="G163" s="23" t="n">
        <v>128</v>
      </c>
      <c r="H163" s="23" t="n">
        <v>10</v>
      </c>
      <c r="I163" s="23" t="n">
        <v>36</v>
      </c>
      <c r="J163" s="23" t="inlineStr">
        <is>
          <t>978-5-227-06804-0</t>
        </is>
      </c>
      <c r="K163" s="23" t="inlineStr">
        <is>
          <t>70x100 1/32</t>
        </is>
      </c>
      <c r="L163" s="23" t="inlineStr">
        <is>
          <t>мяг</t>
        </is>
      </c>
      <c r="M163" s="23" t="n">
        <v>192</v>
      </c>
      <c r="N163" s="23" t="n">
        <v>2016</v>
      </c>
      <c r="O163" s="23" t="n">
        <v>90</v>
      </c>
      <c r="P163" s="23" t="n"/>
      <c r="Q163" s="23" t="n"/>
      <c r="R163" s="25" t="n"/>
      <c r="S163" s="26">
        <f>HYPERLINK("http://www.cnpol.ru/covers/16863.jpg","фото на сайте")</f>
        <v/>
      </c>
    </row>
    <row r="164" ht="50.1" customHeight="1" s="3">
      <c r="A164" s="23" t="n"/>
      <c r="B164" s="24" t="inlineStr">
        <is>
          <t>18181</t>
        </is>
      </c>
      <c r="C164" s="23" t="inlineStr">
        <is>
          <t>KISS</t>
        </is>
      </c>
      <c r="D164" s="23" t="inlineStr">
        <is>
          <t>Эйтс М.</t>
        </is>
      </c>
      <c r="E164" s="23" t="inlineStr">
        <is>
          <t>Цена любви и мести</t>
        </is>
      </c>
      <c r="F164" s="23" t="n">
        <v>155</v>
      </c>
      <c r="G164" s="23" t="n">
        <v>128</v>
      </c>
      <c r="H164" s="23" t="n">
        <v>10</v>
      </c>
      <c r="I164" s="23" t="n">
        <v>36</v>
      </c>
      <c r="J164" s="23" t="inlineStr">
        <is>
          <t>978-5-227-08210-7</t>
        </is>
      </c>
      <c r="K164" s="23" t="inlineStr">
        <is>
          <t>70x100 1/32</t>
        </is>
      </c>
      <c r="L164" s="23" t="inlineStr">
        <is>
          <t>мяг</t>
        </is>
      </c>
      <c r="M164" s="23" t="n">
        <v>192</v>
      </c>
      <c r="N164" s="23" t="n">
        <v>2018</v>
      </c>
      <c r="O164" s="23" t="n">
        <v>90</v>
      </c>
      <c r="P164" s="23" t="n"/>
      <c r="Q164" s="23" t="n"/>
      <c r="R164" s="25" t="n"/>
      <c r="S164" s="26">
        <f>HYPERLINK("http://www.cnpol.ru/covers/18181.jpg","фото на сайте")</f>
        <v/>
      </c>
    </row>
    <row r="165" ht="50.1" customHeight="1" s="3">
      <c r="A165" s="23" t="n"/>
      <c r="B165" s="24" t="inlineStr">
        <is>
          <t>16668</t>
        </is>
      </c>
      <c r="C165" s="23" t="inlineStr">
        <is>
          <t>KISS</t>
        </is>
      </c>
      <c r="D165" s="23" t="inlineStr">
        <is>
          <t>Беннет Д.</t>
        </is>
      </c>
      <c r="E165" s="23" t="inlineStr">
        <is>
          <t>Частная жизнь знаменитости</t>
        </is>
      </c>
      <c r="F165" s="23" t="n">
        <v>99</v>
      </c>
      <c r="G165" s="23" t="n">
        <v>128</v>
      </c>
      <c r="H165" s="23" t="n">
        <v>10</v>
      </c>
      <c r="I165" s="23" t="n">
        <v>36</v>
      </c>
      <c r="J165" s="23" t="inlineStr">
        <is>
          <t>978-5-227-06543-8</t>
        </is>
      </c>
      <c r="K165" s="23" t="inlineStr">
        <is>
          <t>70x100 1/32</t>
        </is>
      </c>
      <c r="L165" s="23" t="inlineStr">
        <is>
          <t>мяг</t>
        </is>
      </c>
      <c r="M165" s="23" t="n">
        <v>192</v>
      </c>
      <c r="N165" s="23" t="n">
        <v>2016</v>
      </c>
      <c r="O165" s="23" t="n">
        <v>90</v>
      </c>
      <c r="P165" s="23" t="n"/>
      <c r="Q165" s="23" t="n"/>
      <c r="R165" s="25" t="n"/>
      <c r="S165" s="26">
        <f>HYPERLINK("http://www.cnpol.ru/covers/16668.jpg","фото на сайте")</f>
        <v/>
      </c>
    </row>
    <row r="166" ht="50.1" customHeight="1" s="3">
      <c r="A166" s="23" t="n"/>
      <c r="B166" s="24" t="inlineStr">
        <is>
          <t>19481</t>
        </is>
      </c>
      <c r="C166" s="23" t="inlineStr">
        <is>
          <t>KISS</t>
        </is>
      </c>
      <c r="D166" s="23" t="inlineStr">
        <is>
          <t>Леннокс М.</t>
        </is>
      </c>
      <c r="E166" s="23" t="inlineStr">
        <is>
          <t>Штормовое море любви</t>
        </is>
      </c>
      <c r="F166" s="23" t="n">
        <v>179</v>
      </c>
      <c r="G166" s="23" t="n">
        <v>128</v>
      </c>
      <c r="H166" s="23" t="n">
        <v>10</v>
      </c>
      <c r="I166" s="23" t="n">
        <v>30</v>
      </c>
      <c r="J166" s="23" t="inlineStr">
        <is>
          <t>978-5-227-09212-0</t>
        </is>
      </c>
      <c r="K166" s="23" t="inlineStr">
        <is>
          <t>70x100 1/32</t>
        </is>
      </c>
      <c r="L166" s="23" t="inlineStr">
        <is>
          <t>мяг</t>
        </is>
      </c>
      <c r="M166" s="23" t="n">
        <v>192</v>
      </c>
      <c r="N166" s="23" t="n">
        <v>2020</v>
      </c>
      <c r="O166" s="23" t="n">
        <v>90</v>
      </c>
      <c r="P166" s="23" t="n"/>
      <c r="Q166" s="23" t="n"/>
      <c r="R166" s="25" t="n"/>
      <c r="S166" s="26">
        <f>HYPERLINK("http://www.cnpol.ru/covers/19481.jpg","фото на сайте")</f>
        <v/>
      </c>
    </row>
    <row r="167" ht="50.1" customHeight="1" s="3">
      <c r="A167" s="23" t="n"/>
      <c r="B167" s="24" t="inlineStr">
        <is>
          <t>16966</t>
        </is>
      </c>
      <c r="C167" s="23" t="inlineStr">
        <is>
          <t>KISS</t>
        </is>
      </c>
      <c r="D167" s="23" t="inlineStr">
        <is>
          <t>Кэнтрелл К.</t>
        </is>
      </c>
      <c r="E167" s="23" t="inlineStr">
        <is>
          <t>Шутки судьбы</t>
        </is>
      </c>
      <c r="F167" s="23" t="n">
        <v>119</v>
      </c>
      <c r="G167" s="23" t="n">
        <v>128</v>
      </c>
      <c r="H167" s="23" t="n">
        <v>10</v>
      </c>
      <c r="I167" s="23" t="n">
        <v>36</v>
      </c>
      <c r="J167" s="23" t="inlineStr">
        <is>
          <t>978-5-227-06934-4</t>
        </is>
      </c>
      <c r="K167" s="23" t="inlineStr">
        <is>
          <t>70x100 1/32</t>
        </is>
      </c>
      <c r="L167" s="23" t="inlineStr">
        <is>
          <t>мяг</t>
        </is>
      </c>
      <c r="M167" s="23" t="n">
        <v>192</v>
      </c>
      <c r="N167" s="23" t="n">
        <v>2016</v>
      </c>
      <c r="O167" s="23" t="n">
        <v>90</v>
      </c>
      <c r="P167" s="23" t="n"/>
      <c r="Q167" s="23" t="n"/>
      <c r="R167" s="25" t="n"/>
      <c r="S167" s="26">
        <f>HYPERLINK("http://www.cnpol.ru/covers/16966.jpg","фото на сайте")</f>
        <v/>
      </c>
    </row>
    <row r="168" ht="50.1" customHeight="1" s="3">
      <c r="A168" s="23" t="n"/>
      <c r="B168" s="24" t="inlineStr">
        <is>
          <t>16644</t>
        </is>
      </c>
      <c r="C168" s="23" t="inlineStr">
        <is>
          <t>KISS</t>
        </is>
      </c>
      <c r="D168" s="23" t="inlineStr">
        <is>
          <t>Беверли Э</t>
        </is>
      </c>
      <c r="E168" s="23" t="inlineStr">
        <is>
          <t>Щедрый дар</t>
        </is>
      </c>
      <c r="F168" s="23" t="n">
        <v>97</v>
      </c>
      <c r="G168" s="23" t="n">
        <v>128</v>
      </c>
      <c r="H168" s="23" t="n">
        <v>10</v>
      </c>
      <c r="I168" s="23" t="n">
        <v>36</v>
      </c>
      <c r="J168" s="23" t="inlineStr">
        <is>
          <t>978-5-227-06541-4</t>
        </is>
      </c>
      <c r="K168" s="23" t="inlineStr">
        <is>
          <t>70x100 1/32</t>
        </is>
      </c>
      <c r="L168" s="23" t="inlineStr">
        <is>
          <t>мяг</t>
        </is>
      </c>
      <c r="M168" s="23" t="n">
        <v>192</v>
      </c>
      <c r="N168" s="23" t="n">
        <v>2016</v>
      </c>
      <c r="O168" s="23" t="n">
        <v>90</v>
      </c>
      <c r="P168" s="23" t="n"/>
      <c r="Q168" s="23" t="n"/>
      <c r="R168" s="25" t="n"/>
      <c r="S168" s="26">
        <f>HYPERLINK("http://www.cnpol.ru/covers/16644.jpg","фото на сайте")</f>
        <v/>
      </c>
    </row>
    <row r="169" ht="50.1" customHeight="1" s="3">
      <c r="A169" s="23" t="n"/>
      <c r="B169" s="24" t="inlineStr">
        <is>
          <t>16654</t>
        </is>
      </c>
      <c r="C169" s="23" t="inlineStr">
        <is>
          <t>KISS</t>
        </is>
      </c>
      <c r="D169" s="23" t="inlineStr">
        <is>
          <t>Вуд Джосс</t>
        </is>
      </c>
      <c r="E169" s="23" t="inlineStr">
        <is>
          <t>Экстремальные отношения</t>
        </is>
      </c>
      <c r="F169" s="23" t="n">
        <v>98</v>
      </c>
      <c r="G169" s="23" t="n">
        <v>128</v>
      </c>
      <c r="H169" s="23" t="n">
        <v>10</v>
      </c>
      <c r="I169" s="23" t="n">
        <v>36</v>
      </c>
      <c r="J169" s="23" t="inlineStr">
        <is>
          <t>978-5-227-06542-1</t>
        </is>
      </c>
      <c r="K169" s="23" t="inlineStr">
        <is>
          <t>70x100 1/32</t>
        </is>
      </c>
      <c r="L169" s="23" t="inlineStr">
        <is>
          <t>мяг</t>
        </is>
      </c>
      <c r="M169" s="23" t="n">
        <v>192</v>
      </c>
      <c r="N169" s="23" t="n">
        <v>2016</v>
      </c>
      <c r="O169" s="23" t="n">
        <v>90</v>
      </c>
      <c r="P169" s="23" t="n"/>
      <c r="Q169" s="23" t="n"/>
      <c r="R169" s="25" t="n"/>
      <c r="S169" s="26">
        <f>HYPERLINK("http://www.cnpol.ru/covers/16654.jpg","фото на сайте")</f>
        <v/>
      </c>
    </row>
    <row r="170" ht="50.1" customHeight="1" s="3">
      <c r="A170" s="23" t="n"/>
      <c r="B170" s="24" t="inlineStr">
        <is>
          <t>20866</t>
        </is>
      </c>
      <c r="C170" s="23" t="inlineStr">
        <is>
          <t>KISS</t>
        </is>
      </c>
      <c r="D170" s="23" t="inlineStr">
        <is>
          <t>Смарт М.</t>
        </is>
      </c>
      <c r="E170" s="23" t="inlineStr">
        <is>
          <t>Эхо неугасшей любви</t>
        </is>
      </c>
      <c r="F170" s="23" t="n">
        <v>191</v>
      </c>
      <c r="G170" s="23" t="n">
        <v>128</v>
      </c>
      <c r="H170" s="23" t="n">
        <v>10</v>
      </c>
      <c r="I170" s="23" t="n">
        <v>24</v>
      </c>
      <c r="J170" s="23" t="inlineStr">
        <is>
          <t>978-5-227-10185-3</t>
        </is>
      </c>
      <c r="K170" s="23" t="inlineStr">
        <is>
          <t>70x100 1/32</t>
        </is>
      </c>
      <c r="L170" s="23" t="inlineStr">
        <is>
          <t>мяг</t>
        </is>
      </c>
      <c r="M170" s="23" t="n">
        <v>191</v>
      </c>
      <c r="N170" s="23" t="n">
        <v>2023</v>
      </c>
      <c r="O170" s="23" t="n">
        <v>76</v>
      </c>
      <c r="P170" s="23" t="n"/>
      <c r="Q170" s="23" t="n"/>
      <c r="R170" s="25" t="inlineStr">
        <is>
          <t>Керен с детства мечтала о дальних странах и, как только окончила школу, отправилась путешествовать. Свои впечатления она выкладывала в Интернет и даже неплохо на этом зарабатывала. Однажды Керен познакомилась с красавцем Яннисом. То, что он наследник богатой аристократической семьи, не помешало молодым людям полюбить друг друга и пожениться. Родители мужа приняли Керен, несмотря на ее простое происхождение. Жизнь складывалась счастливо, но все изменилось, когда супруги потеряли дочь. Отношения разладились. Керен казалось, что муж не разделяет ее боль и слишком много внимания оказывает своей помощнице…</t>
        </is>
      </c>
      <c r="S170" s="26">
        <f>HYPERLINK("http://www.cnpol.ru/covers/20866.jpg","фото на сайте")</f>
        <v/>
      </c>
    </row>
    <row r="171" ht="50.1" customHeight="1" s="3">
      <c r="A171" s="23" t="n"/>
      <c r="B171" s="24" t="inlineStr">
        <is>
          <t>14295</t>
        </is>
      </c>
      <c r="C171" s="23" t="inlineStr">
        <is>
          <t>KNIGOMANIA</t>
        </is>
      </c>
      <c r="D171" s="23" t="inlineStr">
        <is>
          <t>Кондон</t>
        </is>
      </c>
      <c r="E171" s="23" t="inlineStr">
        <is>
          <t>Честь семьи Прицци</t>
        </is>
      </c>
      <c r="F171" s="23" t="inlineStr">
        <is>
          <t>        </t>
        </is>
      </c>
      <c r="G171" s="23" t="n">
        <v>508</v>
      </c>
      <c r="H171" s="23" t="n">
        <v>10</v>
      </c>
      <c r="I171" s="23" t="n">
        <v>10</v>
      </c>
      <c r="J171" s="23" t="inlineStr">
        <is>
          <t>978-5-227-04157-9</t>
        </is>
      </c>
      <c r="K171" s="23" t="inlineStr">
        <is>
          <t>82x100 1/32</t>
        </is>
      </c>
      <c r="L171" s="23" t="inlineStr">
        <is>
          <t>тв</t>
        </is>
      </c>
      <c r="M171" s="23" t="n">
        <v>384</v>
      </c>
      <c r="N171" s="23" t="n">
        <v>2013</v>
      </c>
      <c r="O171" s="23" t="n">
        <v>268</v>
      </c>
      <c r="P171" s="23" t="n"/>
      <c r="Q171" s="23" t="n"/>
      <c r="R171" s="25" t="n"/>
      <c r="S171" s="26">
        <f>HYPERLINK("http://www.cnpol.ru/covers/14295.jpg","фото на сайте")</f>
        <v/>
      </c>
    </row>
    <row r="172" ht="50.1" customHeight="1" s="3">
      <c r="A172" s="23" t="n"/>
      <c r="B172" s="24" t="inlineStr">
        <is>
          <t>17872</t>
        </is>
      </c>
      <c r="C172" s="23" t="inlineStr">
        <is>
          <t>MAGISTERIUM</t>
        </is>
      </c>
      <c r="D172" s="23" t="inlineStr">
        <is>
          <t>Толстой Л.Н</t>
        </is>
      </c>
      <c r="E172" s="23" t="inlineStr">
        <is>
          <t>Лев Толстой. Мудрость гения. Цитаты и кры­латые выражения</t>
        </is>
      </c>
      <c r="F172" s="23" t="inlineStr">
        <is>
          <t>        </t>
        </is>
      </c>
      <c r="G172" s="23" t="n">
        <v>593</v>
      </c>
      <c r="H172" s="23" t="n">
        <v>10</v>
      </c>
      <c r="I172" s="23" t="n">
        <v>16</v>
      </c>
      <c r="J172" s="23" t="inlineStr">
        <is>
          <t>978-5-227-07542-0</t>
        </is>
      </c>
      <c r="K172" s="23" t="inlineStr">
        <is>
          <t>70x100 1/32</t>
        </is>
      </c>
      <c r="L172" s="23" t="inlineStr">
        <is>
          <t>тв</t>
        </is>
      </c>
      <c r="M172" s="23" t="n">
        <v>416</v>
      </c>
      <c r="N172" s="23" t="n">
        <v>2017</v>
      </c>
      <c r="O172" s="23" t="n">
        <v>278</v>
      </c>
      <c r="P172" s="23" t="n"/>
      <c r="Q172" s="23" t="n"/>
      <c r="R172" s="25" t="n"/>
      <c r="S172" s="26">
        <f>HYPERLINK("http://www.cnpol.ru/covers/17872.jpg","фото на сайте")</f>
        <v/>
      </c>
    </row>
    <row r="173" ht="50.1" customHeight="1" s="3">
      <c r="A173" s="23" t="n"/>
      <c r="B173" s="24" t="inlineStr">
        <is>
          <t>18162</t>
        </is>
      </c>
      <c r="C173" s="23" t="inlineStr">
        <is>
          <t>MAGISTERIUM</t>
        </is>
      </c>
      <c r="D173" s="23" t="inlineStr">
        <is>
          <t>Группа</t>
        </is>
      </c>
      <c r="E173" s="23" t="inlineStr">
        <is>
          <t>Леонардо да Винчи. Универсальный гений</t>
        </is>
      </c>
      <c r="F173" s="23" t="inlineStr">
        <is>
          <t>        </t>
        </is>
      </c>
      <c r="G173" s="23" t="n">
        <v>554</v>
      </c>
      <c r="H173" s="23" t="n">
        <v>10</v>
      </c>
      <c r="I173" s="23" t="n">
        <v>18</v>
      </c>
      <c r="J173" s="23" t="inlineStr">
        <is>
          <t>978-5-227-08161-2</t>
        </is>
      </c>
      <c r="K173" s="23" t="inlineStr">
        <is>
          <t>70x108 1/32</t>
        </is>
      </c>
      <c r="L173" s="23" t="inlineStr">
        <is>
          <t>тв</t>
        </is>
      </c>
      <c r="M173" s="23" t="n">
        <v>192</v>
      </c>
      <c r="N173" s="23" t="n">
        <v>2018</v>
      </c>
      <c r="O173" s="23" t="n">
        <v>204</v>
      </c>
      <c r="P173" s="23" t="n"/>
      <c r="Q173" s="23" t="n"/>
      <c r="R173" s="25" t="inlineStr">
        <is>
          <t>Леонардо да Винчи — человек, вместивший в себя целую вселенную: великий художник, скульптор, архитектор, строитель, дизайнер, прозаик, поэт, музыкант, баснописец, искусст­вовед, ученый-естествоиспытатель, анатом, ботаник, зоолог, оптик, изобретатель, физик, астроном… один из крупнейших представителей искусства Высокого Возрождения, яркий пример «универсального человека». Он был неистощимым на выдум­ки фантазером, занимательным рассказчиком и философом. Предлагаем и тебе, читатель, прикоснуться к его мудрости.</t>
        </is>
      </c>
      <c r="S173" s="26">
        <f>HYPERLINK("http://www.cnpol.ru/covers/18162.jpg","фото на сайте")</f>
        <v/>
      </c>
    </row>
    <row r="174" ht="50.1" customHeight="1" s="3">
      <c r="A174" s="23" t="n"/>
      <c r="B174" s="24" t="inlineStr">
        <is>
          <t>18050</t>
        </is>
      </c>
      <c r="C174" s="23" t="inlineStr">
        <is>
          <t>MAGISTERIUM</t>
        </is>
      </c>
      <c r="D174" s="23" t="inlineStr">
        <is>
          <t>Фицджеральд Ф.С.</t>
        </is>
      </c>
      <c r="E174" s="23" t="inlineStr">
        <is>
          <t>Лови момент, завтра умрем</t>
        </is>
      </c>
      <c r="F174" s="23" t="inlineStr">
        <is>
          <t>        </t>
        </is>
      </c>
      <c r="G174" s="23" t="n">
        <v>554</v>
      </c>
      <c r="H174" s="23" t="n">
        <v>10</v>
      </c>
      <c r="I174" s="23" t="n">
        <v>16</v>
      </c>
      <c r="J174" s="23" t="inlineStr">
        <is>
          <t>978-5-9524-5245-9</t>
        </is>
      </c>
      <c r="K174" s="23" t="inlineStr">
        <is>
          <t>70x108 1/32</t>
        </is>
      </c>
      <c r="L174" s="23" t="inlineStr">
        <is>
          <t>тв</t>
        </is>
      </c>
      <c r="M174" s="23" t="n">
        <v>224</v>
      </c>
      <c r="N174" s="23" t="n">
        <v>2018</v>
      </c>
      <c r="O174" s="23" t="n">
        <v>224</v>
      </c>
      <c r="P174" s="23" t="n"/>
      <c r="Q174" s="23" t="n"/>
      <c r="R174" s="25" t="inlineStr">
        <is>
          <t>Фрэнсис Скотт Фицджеральд — знаменитый американский писатель, написавший множество романов и рассказов, крупнейший представитель «потерянного поколения» в литературе. Его книги пользуются колоссальным успехом во всем мире. Фицджеральд умел находить тон­чайшие нюансы человеческих взаимоотношений, а его уникальный стиль полон красок, полутонов и едва уловимых оттенков воздушной легкости…</t>
        </is>
      </c>
      <c r="S174" s="26">
        <f>HYPERLINK("http://www.cnpol.ru/covers/18050.jpg","фото на сайте")</f>
        <v/>
      </c>
    </row>
    <row r="175" ht="50.1" customHeight="1" s="3">
      <c r="A175" s="23" t="n"/>
      <c r="B175" s="24" t="inlineStr">
        <is>
          <t>17716</t>
        </is>
      </c>
      <c r="C175" s="23" t="inlineStr">
        <is>
          <t>MAGISTERIUM</t>
        </is>
      </c>
      <c r="D175" s="23" t="inlineStr">
        <is>
          <t>Монро М</t>
        </is>
      </c>
      <c r="E175" s="23" t="inlineStr">
        <is>
          <t>Мой девиз - не волноваться, а волновать</t>
        </is>
      </c>
      <c r="F175" s="23" t="inlineStr">
        <is>
          <t>        </t>
        </is>
      </c>
      <c r="G175" s="23" t="n">
        <v>554</v>
      </c>
      <c r="H175" s="23" t="n">
        <v>10</v>
      </c>
      <c r="I175" s="23" t="n">
        <v>16</v>
      </c>
      <c r="J175" s="23" t="inlineStr">
        <is>
          <t>978-5-9524-5240-4</t>
        </is>
      </c>
      <c r="K175" s="23" t="inlineStr">
        <is>
          <t>70x108 1/32</t>
        </is>
      </c>
      <c r="L175" s="23" t="inlineStr">
        <is>
          <t>тв</t>
        </is>
      </c>
      <c r="M175" s="23" t="n">
        <v>192</v>
      </c>
      <c r="N175" s="23" t="n">
        <v>2017</v>
      </c>
      <c r="O175" s="23" t="n">
        <v>206</v>
      </c>
      <c r="P175" s="23" t="n"/>
      <c r="Q175" s="23" t="n"/>
      <c r="R175" s="25" t="n"/>
      <c r="S175" s="26">
        <f>HYPERLINK("http://www.cnpol.ru/covers/17716.jpg","фото на сайте")</f>
        <v/>
      </c>
    </row>
    <row r="176" ht="50.1" customHeight="1" s="3">
      <c r="A176" s="23" t="n"/>
      <c r="B176" s="24" t="inlineStr">
        <is>
          <t>17888</t>
        </is>
      </c>
      <c r="C176" s="23" t="inlineStr">
        <is>
          <t>MAGISTERIUM</t>
        </is>
      </c>
      <c r="D176" s="23" t="inlineStr">
        <is>
          <t>Бальзак О.</t>
        </is>
      </c>
      <c r="E176" s="23" t="inlineStr">
        <is>
          <t>Мысль - ключ ко всем сокровищам</t>
        </is>
      </c>
      <c r="F176" s="23" t="inlineStr">
        <is>
          <t>        </t>
        </is>
      </c>
      <c r="G176" s="23" t="n">
        <v>554</v>
      </c>
      <c r="H176" s="23" t="n">
        <v>10</v>
      </c>
      <c r="I176" s="23" t="n">
        <v>20</v>
      </c>
      <c r="J176" s="23" t="inlineStr">
        <is>
          <t>978-5-227-07954-1</t>
        </is>
      </c>
      <c r="K176" s="23" t="inlineStr">
        <is>
          <t>70x108 1/32</t>
        </is>
      </c>
      <c r="L176" s="23" t="inlineStr">
        <is>
          <t>тв</t>
        </is>
      </c>
      <c r="M176" s="23" t="n">
        <v>160</v>
      </c>
      <c r="N176" s="23" t="n">
        <v>2017</v>
      </c>
      <c r="O176" s="23" t="n">
        <v>181</v>
      </c>
      <c r="P176" s="23" t="n"/>
      <c r="Q176" s="23" t="n"/>
      <c r="R176" s="25" t="n"/>
      <c r="S176" s="26">
        <f>HYPERLINK("http://www.cnpol.ru/covers/17888.jpg","фото на сайте")</f>
        <v/>
      </c>
    </row>
    <row r="177" ht="50.1" customHeight="1" s="3">
      <c r="A177" s="23" t="n"/>
      <c r="B177" s="24" t="inlineStr">
        <is>
          <t>17825</t>
        </is>
      </c>
      <c r="C177" s="23" t="inlineStr">
        <is>
          <t>MAGISTERIUM</t>
        </is>
      </c>
      <c r="D177" s="23" t="inlineStr">
        <is>
          <t>Гёте И.В.</t>
        </is>
      </c>
      <c r="E177" s="23" t="inlineStr">
        <is>
          <t>Остановись мгновение, ты прекрасно!</t>
        </is>
      </c>
      <c r="F177" s="23" t="inlineStr">
        <is>
          <t>        </t>
        </is>
      </c>
      <c r="G177" s="23" t="n">
        <v>554</v>
      </c>
      <c r="H177" s="23" t="n">
        <v>10</v>
      </c>
      <c r="I177" s="23" t="n">
        <v>16</v>
      </c>
      <c r="J177" s="23" t="inlineStr">
        <is>
          <t>978-5-227-07943-5</t>
        </is>
      </c>
      <c r="K177" s="23" t="inlineStr">
        <is>
          <t>70x108 1/32</t>
        </is>
      </c>
      <c r="L177" s="23" t="inlineStr">
        <is>
          <t>тв</t>
        </is>
      </c>
      <c r="M177" s="23" t="n">
        <v>160</v>
      </c>
      <c r="N177" s="23" t="n">
        <v>2017</v>
      </c>
      <c r="O177" s="23" t="n">
        <v>181</v>
      </c>
      <c r="P177" s="23" t="n"/>
      <c r="Q177" s="23" t="n"/>
      <c r="R177" s="25" t="n"/>
      <c r="S177" s="26">
        <f>HYPERLINK("http://www.cnpol.ru/covers/17825.jpg","фото на сайте")</f>
        <v/>
      </c>
    </row>
    <row r="178" ht="50.1" customHeight="1" s="3">
      <c r="A178" s="23" t="n"/>
      <c r="B178" s="24" t="inlineStr">
        <is>
          <t>18813</t>
        </is>
      </c>
      <c r="C178" s="23" t="inlineStr">
        <is>
          <t>MAGISTERIUM</t>
        </is>
      </c>
      <c r="D178" s="23" t="inlineStr">
        <is>
          <t>Шопенгауэр А.</t>
        </is>
      </c>
      <c r="E178" s="23" t="inlineStr">
        <is>
          <t>Певец пессимизма</t>
        </is>
      </c>
      <c r="F178" s="23" t="inlineStr">
        <is>
          <t>        </t>
        </is>
      </c>
      <c r="G178" s="23" t="n">
        <v>554</v>
      </c>
      <c r="H178" s="23" t="n">
        <v>10</v>
      </c>
      <c r="I178" s="23" t="n">
        <v>28</v>
      </c>
      <c r="J178" s="23" t="inlineStr">
        <is>
          <t>978-5-227-08064-6</t>
        </is>
      </c>
      <c r="K178" s="23" t="inlineStr">
        <is>
          <t>70x108 1/32</t>
        </is>
      </c>
      <c r="L178" s="23" t="inlineStr">
        <is>
          <t>тв</t>
        </is>
      </c>
      <c r="M178" s="23" t="n">
        <v>160</v>
      </c>
      <c r="N178" s="23" t="n">
        <v>2019</v>
      </c>
      <c r="O178" s="23" t="n">
        <v>182</v>
      </c>
      <c r="P178" s="23" t="n"/>
      <c r="Q178" s="23" t="n"/>
      <c r="R178" s="25" t="n"/>
      <c r="S178" s="26">
        <f>HYPERLINK("http://www.cnpol.ru/covers/18813.jpg","фото на сайте")</f>
        <v/>
      </c>
    </row>
    <row r="179" ht="50.1" customHeight="1" s="3">
      <c r="A179" s="23" t="inlineStr">
        <is>
          <t>Н</t>
        </is>
      </c>
      <c r="B179" s="24" t="inlineStr">
        <is>
          <t>22236</t>
        </is>
      </c>
      <c r="C179" s="23" t="inlineStr">
        <is>
          <t>MAGISTERIUM</t>
        </is>
      </c>
      <c r="D179" s="23" t="inlineStr">
        <is>
          <t>Шебаршин Л.В</t>
        </is>
      </c>
      <c r="E179" s="23" t="inlineStr">
        <is>
          <t>Хроники безвременья. Афоризмы начальника советской разведки</t>
        </is>
      </c>
      <c r="F179" s="23" t="inlineStr">
        <is>
          <t>        </t>
        </is>
      </c>
      <c r="G179" s="23" t="n">
        <v>554</v>
      </c>
      <c r="H179" s="23" t="n">
        <v>10</v>
      </c>
      <c r="I179" s="23" t="n">
        <v>14</v>
      </c>
      <c r="J179" s="23" t="inlineStr">
        <is>
          <t>978-5-227-11014-5</t>
        </is>
      </c>
      <c r="K179" s="23" t="inlineStr">
        <is>
          <t>70x108 1/32</t>
        </is>
      </c>
      <c r="L179" s="23" t="inlineStr">
        <is>
          <t>тв</t>
        </is>
      </c>
      <c r="M179" s="23" t="n">
        <v>223</v>
      </c>
      <c r="N179" s="23" t="n">
        <v>2026</v>
      </c>
      <c r="O179" s="23" t="n">
        <v>224</v>
      </c>
      <c r="P179" s="23" t="n"/>
      <c r="Q179" s="23" t="n"/>
      <c r="R179" s="25" t="inlineStr">
        <is>
          <t>"Леонид Владимирович Шебаршин — блестящий профессионал разведки, глубокий аналитик и очень честный и порядочный человек — был последним руководителем Первого главного управления КГБ СССР. Он сохранял и оберегал агентуру, анализировал информацию в условиях, когда его руководители были либо агентами влияния, либо предателями, либо просто глупцами.
Генерал Шебаршин говорил: «Моя душа принадлежит разведке». Но у Леонида Владимировича была еще одна страсть. Он был замечательным острословом, автором многих афоризмов. В итоге их набралось на целую книгу."</t>
        </is>
      </c>
      <c r="S179" s="26">
        <f>HYPERLINK("http://www.cnpol.ru/covers/22236.jpg","фото на сайте")</f>
        <v/>
      </c>
    </row>
    <row r="180" ht="50.1" customHeight="1" s="3">
      <c r="A180" s="23" t="n"/>
      <c r="B180" s="24" t="inlineStr">
        <is>
          <t>16367</t>
        </is>
      </c>
      <c r="C180" s="23" t="inlineStr">
        <is>
          <t>MEMO</t>
        </is>
      </c>
      <c r="D180" s="23" t="inlineStr">
        <is>
          <t>Кривачек П</t>
        </is>
      </c>
      <c r="E180" s="23" t="inlineStr">
        <is>
          <t>Вавилон</t>
        </is>
      </c>
      <c r="F180" s="23" t="inlineStr">
        <is>
          <t>        </t>
        </is>
      </c>
      <c r="G180" s="23" t="n">
        <v>968</v>
      </c>
      <c r="H180" s="23" t="n">
        <v>10</v>
      </c>
      <c r="I180" s="23" t="n">
        <v>12</v>
      </c>
      <c r="J180" s="23" t="inlineStr">
        <is>
          <t>978-5-227-06261-1</t>
        </is>
      </c>
      <c r="K180" s="23" t="inlineStr">
        <is>
          <t>84x108 1/32</t>
        </is>
      </c>
      <c r="L180" s="23" t="inlineStr">
        <is>
          <t>тв</t>
        </is>
      </c>
      <c r="M180" s="23" t="n">
        <v>352</v>
      </c>
      <c r="N180" s="23" t="n">
        <v>2015</v>
      </c>
      <c r="O180" s="23" t="n">
        <v>384</v>
      </c>
      <c r="P180" s="23" t="n"/>
      <c r="Q180" s="23" t="n"/>
      <c r="R180" s="25" t="inlineStr">
        <is>
          <t>Книга Пола Кривачека представляет собой яркий эпический обзор древней Месопотамии. Автор искусно описывает различные культуры, императоров и царей, которые правили в Месопотамском регионе с 4000 по 700 г. до н. э. В книге оживает повседневная жизнь многих людей того времени, и не только правителей и представителей элиты, но и среднего сословия. Кривачек касается и различных социальных аспектов древней Месопотамии, таких как религия, экономика, образование, военное дело, и даже дает представление о развитии женоненавистничества, рассказывает о вавилонских артефактах, найденных археологами в XIX и XX вв. Автор также показывает, как изменение окружающей среды влияло на древнее общество. Исторические очерки Кривачека являются и свое­образным наблюдением того, как уроки древнего мира могут помочь современным людям.</t>
        </is>
      </c>
      <c r="S180" s="26">
        <f>HYPERLINK("http://www.cnpol.ru/covers/16367.jpg","фото на сайте")</f>
        <v/>
      </c>
    </row>
    <row r="181" ht="50.1" customHeight="1" s="3">
      <c r="A181" s="23" t="n"/>
      <c r="B181" s="24" t="inlineStr">
        <is>
          <t>18668</t>
        </is>
      </c>
      <c r="C181" s="23" t="inlineStr">
        <is>
          <t>MEMO</t>
        </is>
      </c>
      <c r="D181" s="23" t="inlineStr">
        <is>
          <t>Цзюн Ч.</t>
        </is>
      </c>
      <c r="E181" s="23" t="inlineStr">
        <is>
          <t>Императрица Цыси. Наложница, изменившая судьбу Китая. 1835—1908</t>
        </is>
      </c>
      <c r="F181" s="23" t="inlineStr">
        <is>
          <t>        </t>
        </is>
      </c>
      <c r="G181" s="27" t="n">
        <v>1075</v>
      </c>
      <c r="H181" s="23" t="n">
        <v>10</v>
      </c>
      <c r="I181" s="23" t="n">
        <v>10</v>
      </c>
      <c r="J181" s="23" t="inlineStr">
        <is>
          <t>978-5-227-08530-6</t>
        </is>
      </c>
      <c r="K181" s="23" t="inlineStr">
        <is>
          <t>84x108 1/32</t>
        </is>
      </c>
      <c r="L181" s="23" t="inlineStr">
        <is>
          <t>тв</t>
        </is>
      </c>
      <c r="M181" s="23" t="n">
        <v>576</v>
      </c>
      <c r="N181" s="23" t="n">
        <v>2019</v>
      </c>
      <c r="O181" s="23" t="n">
        <v>580</v>
      </c>
      <c r="P181" s="23" t="n"/>
      <c r="Q181" s="23" t="n"/>
      <c r="R181" s="25" t="inlineStr">
        <is>
          <t>Императрица Цыси, одна из величайших женщин-правительниц в истории, в течение 47 лет удерживала в своих руках верховную власть в качестве регента трех императоров Поднебесной. В период ее правления «из-за ширмы» было положено начало многим отраслям промышленности, появились первые железные дороги и телеграфное сообщение. Именно Цыси отменила мучительные телесные наказания, запретила бинтовать девочкам стопы, предоставила женщинам право получать образование и работать. Вдовствующая императрица пользовалась любовью своего народа, министры западных держав считали ее «равной Екатерине Великой в России, Елизавете в Англии». Однако в результате клеветнической деятельности политических противников Цыси заслужила репутацию сумасбродного тирана и противника модернизации. Книга авторитетного историка Цзюн Чан, основанная на воспоминаниях современников и неоспоримых архивных данных, — это не только самая полная биография Цыси, но и «оправдательный приговор» самой неоднозначной правительницы Китая.</t>
        </is>
      </c>
      <c r="S181" s="26">
        <f>HYPERLINK("http://www.cnpol.ru/covers/18668.jpg","фото на сайте")</f>
        <v/>
      </c>
    </row>
    <row r="182" ht="50.1" customHeight="1" s="3">
      <c r="A182" s="23" t="n"/>
      <c r="B182" s="24" t="inlineStr">
        <is>
          <t>14115</t>
        </is>
      </c>
      <c r="C182" s="23" t="inlineStr">
        <is>
          <t>NEW CPF</t>
        </is>
      </c>
      <c r="D182" s="23" t="inlineStr">
        <is>
          <t>Андерсон К.Л.</t>
        </is>
      </c>
      <c r="E182" s="23" t="inlineStr">
        <is>
          <t>Жестокие ангелы</t>
        </is>
      </c>
      <c r="F182" s="23" t="inlineStr">
        <is>
          <t>        </t>
        </is>
      </c>
      <c r="G182" s="23" t="n">
        <v>653</v>
      </c>
      <c r="H182" s="23" t="n">
        <v>10</v>
      </c>
      <c r="I182" s="23" t="n">
        <v>10</v>
      </c>
      <c r="J182" s="23" t="inlineStr">
        <is>
          <t>978-5-227-04004-6</t>
        </is>
      </c>
      <c r="K182" s="23" t="inlineStr">
        <is>
          <t>84x108 1/32</t>
        </is>
      </c>
      <c r="L182" s="23" t="inlineStr">
        <is>
          <t>тв</t>
        </is>
      </c>
      <c r="M182" s="23" t="n">
        <v>444</v>
      </c>
      <c r="N182" s="23" t="n">
        <v>2013</v>
      </c>
      <c r="O182" s="23" t="n">
        <v>410</v>
      </c>
      <c r="P182" s="23" t="n"/>
      <c r="Q182" s="23" t="n"/>
      <c r="R182" s="25" t="inlineStr">
        <is>
          <t>Экс-командора Терезу Дражески, мать троих детей, снова призывают на службу и посылают в систему Эразмус якобы для того, чтобы расследовать убийство ее коллеги и друга Бьянки Файетт. Но сам факт смерти Бьянки вызывает сомнение, так как страж службы безопасности была бессмертна. Эразмус считался «горячей точкой», миром контрабандистов, шпионажа и рабства, и Тереза погружается в водоворот предательств лишенного надежды общества, в котором кроется ужасающая тайна. И возможно, Терезе, пожертвовавшей своей семьей и рассудком ради того, чтобы предотвратить войну, потребуется принести окончательную жертву...</t>
        </is>
      </c>
      <c r="S182" s="26">
        <f>HYPERLINK("http://www.cnpol.ru/covers/14115.jpg","фото на сайте")</f>
        <v/>
      </c>
    </row>
    <row r="183" ht="50.1" customHeight="1" s="3">
      <c r="A183" s="23" t="n"/>
      <c r="B183" s="24" t="inlineStr">
        <is>
          <t>4521</t>
        </is>
      </c>
      <c r="C183" s="23" t="inlineStr">
        <is>
          <t>NEXT 2</t>
        </is>
      </c>
      <c r="D183" s="23" t="inlineStr">
        <is>
          <t>Устинов А.</t>
        </is>
      </c>
      <c r="E183" s="23" t="inlineStr">
        <is>
          <t>Отец это звучит гордо</t>
        </is>
      </c>
      <c r="F183" s="23" t="inlineStr">
        <is>
          <t>        </t>
        </is>
      </c>
      <c r="G183" s="23" t="n">
        <v>241</v>
      </c>
      <c r="H183" s="23" t="n">
        <v>10</v>
      </c>
      <c r="I183" s="23" t="n">
        <v>14</v>
      </c>
      <c r="J183" s="23" t="inlineStr">
        <is>
          <t>5-9524-0779-X</t>
        </is>
      </c>
      <c r="K183" s="23" t="inlineStr">
        <is>
          <t>84x108 1/32</t>
        </is>
      </c>
      <c r="L183" s="23" t="inlineStr">
        <is>
          <t>тв</t>
        </is>
      </c>
      <c r="M183" s="23" t="n">
        <v>364</v>
      </c>
      <c r="N183" s="23" t="n">
        <v>2004</v>
      </c>
      <c r="O183" s="23" t="inlineStr">
        <is>
          <t>     </t>
        </is>
      </c>
      <c r="P183" s="23" t="n"/>
      <c r="Q183" s="23" t="n"/>
      <c r="R183" s="25" t="n"/>
      <c r="S183" s="26">
        <f>HYPERLINK("http://www.cnpol.ru/covers/4521.jpg","фото на сайте")</f>
        <v/>
      </c>
    </row>
    <row r="184" ht="50.1" customHeight="1" s="3">
      <c r="A184" s="23" t="n"/>
      <c r="B184" s="24" t="inlineStr">
        <is>
          <t>4565</t>
        </is>
      </c>
      <c r="C184" s="23" t="inlineStr">
        <is>
          <t>NEXT 2</t>
        </is>
      </c>
      <c r="D184" s="23" t="inlineStr">
        <is>
          <t>Устинов А.</t>
        </is>
      </c>
      <c r="E184" s="23" t="inlineStr">
        <is>
          <t>Чужая война</t>
        </is>
      </c>
      <c r="F184" s="23" t="inlineStr">
        <is>
          <t>        </t>
        </is>
      </c>
      <c r="G184" s="23" t="n">
        <v>358</v>
      </c>
      <c r="H184" s="23" t="n">
        <v>10</v>
      </c>
      <c r="I184" s="23" t="n">
        <v>14</v>
      </c>
      <c r="J184" s="23" t="inlineStr">
        <is>
          <t>5-9524-0830-3</t>
        </is>
      </c>
      <c r="K184" s="23" t="inlineStr">
        <is>
          <t>84x108 1/32</t>
        </is>
      </c>
      <c r="L184" s="23" t="inlineStr">
        <is>
          <t>тв</t>
        </is>
      </c>
      <c r="M184" s="23" t="n">
        <v>317</v>
      </c>
      <c r="N184" s="23" t="n">
        <v>2004</v>
      </c>
      <c r="O184" s="23" t="n">
        <v>302</v>
      </c>
      <c r="P184" s="23" t="n"/>
      <c r="Q184" s="23" t="n"/>
      <c r="R184" s="25" t="n"/>
      <c r="S184" s="26">
        <f>HYPERLINK("http://www.cnpol.ru/covers/4565.jpg","фото на сайте")</f>
        <v/>
      </c>
    </row>
    <row r="185" ht="50.1" customHeight="1" s="3">
      <c r="A185" s="23" t="n"/>
      <c r="B185" s="24" t="inlineStr">
        <is>
          <t>12731</t>
        </is>
      </c>
      <c r="C185" s="23" t="inlineStr">
        <is>
          <t>ROMANCE</t>
        </is>
      </c>
      <c r="D185" s="23" t="inlineStr">
        <is>
          <t>Майклз К.</t>
        </is>
      </c>
      <c r="E185" s="23" t="inlineStr">
        <is>
          <t>Как укротить леди</t>
        </is>
      </c>
      <c r="F185" s="23" t="inlineStr">
        <is>
          <t>        </t>
        </is>
      </c>
      <c r="G185" s="23" t="n">
        <v>486</v>
      </c>
      <c r="H185" s="23" t="n">
        <v>10</v>
      </c>
      <c r="I185" s="23" t="n">
        <v>14</v>
      </c>
      <c r="J185" s="23" t="inlineStr">
        <is>
          <t>978-5-227-02676-7</t>
        </is>
      </c>
      <c r="K185" s="23" t="inlineStr">
        <is>
          <t>84x108 1/32</t>
        </is>
      </c>
      <c r="L185" s="23" t="inlineStr">
        <is>
          <t>тв</t>
        </is>
      </c>
      <c r="M185" s="23" t="n">
        <v>320</v>
      </c>
      <c r="N185" s="23" t="n">
        <v>2011</v>
      </c>
      <c r="O185" s="23" t="n">
        <v>262</v>
      </c>
      <c r="P185" s="23" t="n"/>
      <c r="Q185" s="23" t="n"/>
      <c r="R185" s="25" t="inlineStr">
        <is>
          <t>Дерзкая, отчаянная Николь Дотри в свои восемнадцать лет не была похожа на сверстниц. Замужество представлялось ей тяжкими оковами. Бунтующий дух требовал свободы, прогулок верхом со скоростью ветра, опасных приключений. Николь не могла позволить себе влюбиться и оказаться в чьей-либо власти. Так она думала до встречи с Лукасом Пейном, маркизом Бэсингстоком. Маркизу грозило обвинение в организации бунта, и, ухаживая за леди Дотри, он надеялся отвести внимание общества от опасной темы. Однако он был покорен свободолюбивой молодой девушкой с копной густых темных волос. Николь также невероятно привлекал Лукас, но раз за разом она отвергала его предложения руки и сердца. Удастся ли благородному маркизу укротить строптивую леди?</t>
        </is>
      </c>
      <c r="S185" s="26">
        <f>HYPERLINK("http://www.cnpol.ru/covers/12731.jpg","фото на сайте")</f>
        <v/>
      </c>
    </row>
    <row r="186" ht="50.1" customHeight="1" s="3">
      <c r="A186" s="23" t="n"/>
      <c r="B186" s="24" t="inlineStr">
        <is>
          <t>11223</t>
        </is>
      </c>
      <c r="C186" s="23" t="inlineStr">
        <is>
          <t>SMS</t>
        </is>
      </c>
      <c r="D186" s="23" t="inlineStr">
        <is>
          <t>Мухин</t>
        </is>
      </c>
      <c r="E186" s="23" t="inlineStr">
        <is>
          <t>SMS поздравлялки на все случаи жизни</t>
        </is>
      </c>
      <c r="F186" s="23" t="inlineStr">
        <is>
          <t>        </t>
        </is>
      </c>
      <c r="G186" s="23" t="n">
        <v>97</v>
      </c>
      <c r="H186" s="23" t="n">
        <v>10</v>
      </c>
      <c r="I186" s="23" t="n">
        <v>60</v>
      </c>
      <c r="J186" s="23" t="inlineStr">
        <is>
          <t>978-5-9524-4361-7</t>
        </is>
      </c>
      <c r="K186" s="23" t="inlineStr">
        <is>
          <t>70x100 1/32</t>
        </is>
      </c>
      <c r="L186" s="23" t="inlineStr">
        <is>
          <t>мяг</t>
        </is>
      </c>
      <c r="M186" s="23" t="n">
        <v>94</v>
      </c>
      <c r="N186" s="23" t="n">
        <v>2009</v>
      </c>
      <c r="O186" s="23" t="n">
        <v>50</v>
      </c>
      <c r="P186" s="23" t="n"/>
      <c r="Q186" s="23" t="n"/>
      <c r="R186" s="25" t="inlineStr">
        <is>
          <t>Автор книги — Игорь Мухин, известный современный поэт, автор множества стихов-поздравлений, песен-переделок, тостов, частушек, валентинок и т. п. В этой книге вы найдете краткие стихотворные поздравления, которые можно отправлять как SMS-сообщения родственникам, друзьям, коллегам и знакомым.</t>
        </is>
      </c>
      <c r="S186" s="26">
        <f>HYPERLINK("http://www.cnpol.ru/covers/11223.jpg","фото на сайте")</f>
        <v/>
      </c>
    </row>
    <row r="187" ht="50.1" customHeight="1" s="3">
      <c r="A187" s="23" t="n"/>
      <c r="B187" s="24" t="inlineStr">
        <is>
          <t>10318</t>
        </is>
      </c>
      <c r="C187" s="23" t="inlineStr">
        <is>
          <t>SMS</t>
        </is>
      </c>
      <c r="D187" s="23" t="inlineStr">
        <is>
          <t>Мухин</t>
        </is>
      </c>
      <c r="E187" s="23" t="inlineStr">
        <is>
          <t>SMS поздравлялки на все случаи жизни</t>
        </is>
      </c>
      <c r="F187" s="23" t="inlineStr">
        <is>
          <t>        </t>
        </is>
      </c>
      <c r="G187" s="23" t="n">
        <v>97</v>
      </c>
      <c r="H187" s="23" t="n">
        <v>10</v>
      </c>
      <c r="I187" s="23" t="n">
        <v>40</v>
      </c>
      <c r="J187" s="23" t="inlineStr">
        <is>
          <t>978-5-9524-3425-7</t>
        </is>
      </c>
      <c r="K187" s="23" t="inlineStr">
        <is>
          <t>70x100 1/32</t>
        </is>
      </c>
      <c r="L187" s="23" t="inlineStr">
        <is>
          <t>мяг</t>
        </is>
      </c>
      <c r="M187" s="23" t="n">
        <v>96</v>
      </c>
      <c r="N187" s="23" t="n">
        <v>2008</v>
      </c>
      <c r="O187" s="23" t="inlineStr">
        <is>
          <t>     </t>
        </is>
      </c>
      <c r="P187" s="23" t="n"/>
      <c r="Q187" s="23" t="n"/>
      <c r="R187" s="25" t="inlineStr">
        <is>
          <t>Автор книги — Игорь Мухин, известный современный поэт, автор множества стихов-поздравлений, песен-переделок, тостов, частушек, валентинок и т. п. В этой книге вы найдете краткие стихотворные поздравления, которые можно отправлять как SMS-сообщения родственникам, друзьям, коллегам и знакомым.</t>
        </is>
      </c>
      <c r="S187" s="26">
        <f>HYPERLINK("http://www.cnpol.ru/covers/10318.jpg","фото на сайте")</f>
        <v/>
      </c>
    </row>
    <row r="188" ht="50.1" customHeight="1" s="3">
      <c r="A188" s="23" t="n"/>
      <c r="B188" s="24" t="inlineStr">
        <is>
          <t>10874</t>
        </is>
      </c>
      <c r="C188" s="23" t="inlineStr">
        <is>
          <t>SMS</t>
        </is>
      </c>
      <c r="D188" s="23" t="inlineStr">
        <is>
          <t>Добрынин А.Ф.</t>
        </is>
      </c>
      <c r="E188" s="23" t="inlineStr">
        <is>
          <t>SMS приколы с перчиком на все случаи жизни</t>
        </is>
      </c>
      <c r="F188" s="23" t="inlineStr">
        <is>
          <t>        </t>
        </is>
      </c>
      <c r="G188" s="23" t="n">
        <v>62</v>
      </c>
      <c r="H188" s="23" t="n">
        <v>10</v>
      </c>
      <c r="I188" s="23" t="n">
        <v>40</v>
      </c>
      <c r="J188" s="23" t="inlineStr">
        <is>
          <t>978-5-9524-3985-6</t>
        </is>
      </c>
      <c r="K188" s="23" t="inlineStr">
        <is>
          <t>70x100 1/32</t>
        </is>
      </c>
      <c r="L188" s="23" t="inlineStr">
        <is>
          <t>мяг</t>
        </is>
      </c>
      <c r="M188" s="23" t="n">
        <v>92</v>
      </c>
      <c r="N188" s="23" t="n">
        <v>2008</v>
      </c>
      <c r="O188" s="23" t="n">
        <v>46</v>
      </c>
      <c r="P188" s="23" t="n"/>
      <c r="Q188" s="23" t="n"/>
      <c r="R188" s="25" t="inlineStr">
        <is>
          <t>В этой книге читатель найдет юмористические стихотворные тексты для эсэмэсок, которые можно и нужно отправлять любимым, друзьям и коллегам. Здесь есть и приколы к праздникам, и шутки на все случаи жизни. Вы сможете рассмешить всех своих знакомых, а главное - порадуете себя любимого, ведь эти маленькие стихотворения заставят расхохотаться любого, даже самого серьезного человека!</t>
        </is>
      </c>
      <c r="S188" s="26">
        <f>HYPERLINK("http://www.cnpol.ru/covers/10874.jpg","фото на сайте")</f>
        <v/>
      </c>
    </row>
    <row r="189" ht="50.1" customHeight="1" s="3">
      <c r="A189" s="23" t="n"/>
      <c r="B189" s="24" t="inlineStr">
        <is>
          <t>12129</t>
        </is>
      </c>
      <c r="C189" s="23" t="inlineStr">
        <is>
          <t>THE BEST</t>
        </is>
      </c>
      <c r="D189" s="23" t="inlineStr">
        <is>
          <t>Новак Б.</t>
        </is>
      </c>
      <c r="E189" s="23" t="inlineStr">
        <is>
          <t>Дорогая Мэгги</t>
        </is>
      </c>
      <c r="F189" s="23" t="inlineStr">
        <is>
          <t>        </t>
        </is>
      </c>
      <c r="G189" s="23" t="n">
        <v>508</v>
      </c>
      <c r="H189" s="23" t="n">
        <v>10</v>
      </c>
      <c r="I189" s="23" t="n">
        <v>12</v>
      </c>
      <c r="J189" s="23" t="inlineStr">
        <is>
          <t>978-5-227-02253-0</t>
        </is>
      </c>
      <c r="K189" s="23" t="inlineStr">
        <is>
          <t>84x108 1/32</t>
        </is>
      </c>
      <c r="L189" s="23" t="inlineStr">
        <is>
          <t>тв</t>
        </is>
      </c>
      <c r="M189" s="23" t="n">
        <v>318</v>
      </c>
      <c r="N189" s="23" t="n">
        <v>2010</v>
      </c>
      <c r="O189" s="23" t="n">
        <v>328</v>
      </c>
      <c r="P189" s="23" t="n"/>
      <c r="Q189" s="23" t="n"/>
      <c r="R189" s="25" t="inlineStr">
        <is>
          <t>Опасный маньяк открыто бросил вызов полиции Сакраменто. В городе уже убиты две женщины. Почерк преступника не оставляет полиции сомнений, что третьей жертвой выбрана Мэгги Рассел, репортер криминальной хроники. Для ее защиты в редакции появляется федеральный агент, для прикрытия назвавшийся Ником Соренсоном. Служебный долг в Нике борется с горячим чувством. И неприступный красавчик понимает, что пропал, ведь теперь эта рыжая застенчивая женщина и ее маленький сынишка для него самое дорогое на свете...</t>
        </is>
      </c>
      <c r="S189" s="26">
        <f>HYPERLINK("http://www.cnpol.ru/covers/12129.jpg","фото на сайте")</f>
        <v/>
      </c>
    </row>
    <row r="190" ht="50.1" customHeight="1" s="3">
      <c r="A190" s="23" t="n"/>
      <c r="B190" s="24" t="inlineStr">
        <is>
          <t>12524</t>
        </is>
      </c>
      <c r="C190" s="23" t="inlineStr">
        <is>
          <t>THE BEST</t>
        </is>
      </c>
      <c r="D190" s="23" t="inlineStr">
        <is>
          <t>Грэм Х.</t>
        </is>
      </c>
      <c r="E190" s="23" t="inlineStr">
        <is>
          <t>Приходит ночь</t>
        </is>
      </c>
      <c r="F190" s="23" t="inlineStr">
        <is>
          <t>        </t>
        </is>
      </c>
      <c r="G190" s="23" t="n">
        <v>508</v>
      </c>
      <c r="H190" s="23" t="n">
        <v>10</v>
      </c>
      <c r="I190" s="23" t="n">
        <v>14</v>
      </c>
      <c r="J190" s="23" t="inlineStr">
        <is>
          <t>978-5-227-02607-1</t>
        </is>
      </c>
      <c r="K190" s="23" t="inlineStr">
        <is>
          <t>84x108 1/32</t>
        </is>
      </c>
      <c r="L190" s="23" t="inlineStr">
        <is>
          <t>тв</t>
        </is>
      </c>
      <c r="M190" s="23" t="n">
        <v>314</v>
      </c>
      <c r="N190" s="23" t="n">
        <v>2011</v>
      </c>
      <c r="O190" s="23" t="n">
        <v>332</v>
      </c>
      <c r="P190" s="23" t="n"/>
      <c r="Q190" s="23" t="n"/>
      <c r="R190" s="25" t="n"/>
      <c r="S190" s="26">
        <f>HYPERLINK("http://www.cnpol.ru/covers/12524.jpg","фото на сайте")</f>
        <v/>
      </c>
    </row>
    <row r="191" ht="50.1" customHeight="1" s="3">
      <c r="A191" s="23" t="n"/>
      <c r="B191" s="24" t="inlineStr">
        <is>
          <t>12464</t>
        </is>
      </c>
      <c r="C191" s="23" t="inlineStr">
        <is>
          <t>THE BEST</t>
        </is>
      </c>
      <c r="D191" s="23" t="inlineStr">
        <is>
          <t>Шайн М.</t>
        </is>
      </c>
      <c r="E191" s="23" t="inlineStr">
        <is>
          <t>Сумеречные воспоминания</t>
        </is>
      </c>
      <c r="F191" s="23" t="inlineStr">
        <is>
          <t>        </t>
        </is>
      </c>
      <c r="G191" s="23" t="n">
        <v>468</v>
      </c>
      <c r="H191" s="23" t="n">
        <v>10</v>
      </c>
      <c r="I191" s="23" t="n">
        <v>14</v>
      </c>
      <c r="J191" s="23" t="inlineStr">
        <is>
          <t>978-5-227-02556-2</t>
        </is>
      </c>
      <c r="K191" s="23" t="inlineStr">
        <is>
          <t>82x100 1/32</t>
        </is>
      </c>
      <c r="L191" s="23" t="inlineStr">
        <is>
          <t>тв</t>
        </is>
      </c>
      <c r="M191" s="23" t="n">
        <v>315</v>
      </c>
      <c r="N191" s="23" t="n">
        <v>2011</v>
      </c>
      <c r="O191" s="23" t="n">
        <v>288</v>
      </c>
      <c r="P191" s="23" t="n"/>
      <c r="Q191" s="23" t="n"/>
      <c r="R191" s="25" t="n"/>
      <c r="S191" s="26">
        <f>HYPERLINK("http://www.cnpol.ru/covers/12464.jpg","фото на сайте")</f>
        <v/>
      </c>
    </row>
    <row r="192" ht="50.1" customHeight="1" s="3">
      <c r="A192" s="23" t="n"/>
      <c r="B192" s="24" t="inlineStr">
        <is>
          <t>12369</t>
        </is>
      </c>
      <c r="C192" s="23" t="inlineStr">
        <is>
          <t>THE BEST</t>
        </is>
      </c>
      <c r="D192" s="23" t="inlineStr">
        <is>
          <t>Шайн М.</t>
        </is>
      </c>
      <c r="E192" s="23" t="inlineStr">
        <is>
          <t>Темные фантазии</t>
        </is>
      </c>
      <c r="F192" s="23" t="inlineStr">
        <is>
          <t>        </t>
        </is>
      </c>
      <c r="G192" s="23" t="n">
        <v>468</v>
      </c>
      <c r="H192" s="23" t="n">
        <v>10</v>
      </c>
      <c r="I192" s="23" t="n">
        <v>16</v>
      </c>
      <c r="J192" s="23" t="inlineStr">
        <is>
          <t>978-5-227-02516-6</t>
        </is>
      </c>
      <c r="K192" s="23" t="inlineStr">
        <is>
          <t>82x100 1/32</t>
        </is>
      </c>
      <c r="L192" s="23" t="inlineStr">
        <is>
          <t>тв</t>
        </is>
      </c>
      <c r="M192" s="23" t="n">
        <v>285</v>
      </c>
      <c r="N192" s="23" t="n">
        <v>2010</v>
      </c>
      <c r="O192" s="23" t="n">
        <v>272</v>
      </c>
      <c r="P192" s="23" t="n"/>
      <c r="Q192" s="23" t="n"/>
      <c r="R192" s="25" t="n"/>
      <c r="S192" s="26">
        <f>HYPERLINK("http://www.cnpol.ru/covers/12369.jpg","фото на сайте")</f>
        <v/>
      </c>
    </row>
    <row r="193" ht="50.1" customHeight="1" s="3">
      <c r="A193" s="23" t="n"/>
      <c r="B193" s="24" t="inlineStr">
        <is>
          <t>12254</t>
        </is>
      </c>
      <c r="C193" s="23" t="inlineStr">
        <is>
          <t>THE BEST</t>
        </is>
      </c>
      <c r="D193" s="23" t="inlineStr">
        <is>
          <t>Стюарт Э.</t>
        </is>
      </c>
      <c r="E193" s="23" t="inlineStr">
        <is>
          <t>Черный лед</t>
        </is>
      </c>
      <c r="F193" s="23" t="inlineStr">
        <is>
          <t>        </t>
        </is>
      </c>
      <c r="G193" s="23" t="n">
        <v>508</v>
      </c>
      <c r="H193" s="23" t="n">
        <v>10</v>
      </c>
      <c r="I193" s="23" t="n">
        <v>12</v>
      </c>
      <c r="J193" s="23" t="inlineStr">
        <is>
          <t>978-5-227-02389-6</t>
        </is>
      </c>
      <c r="K193" s="23" t="inlineStr">
        <is>
          <t>82x100 1/32</t>
        </is>
      </c>
      <c r="L193" s="23" t="inlineStr">
        <is>
          <t>тв</t>
        </is>
      </c>
      <c r="M193" s="23" t="n">
        <v>383</v>
      </c>
      <c r="N193" s="23" t="n">
        <v>2010</v>
      </c>
      <c r="O193" s="23" t="n">
        <v>330</v>
      </c>
      <c r="P193" s="23" t="n"/>
      <c r="Q193" s="23" t="n"/>
      <c r="R193" s="25" t="n"/>
      <c r="S193" s="26">
        <f>HYPERLINK("http://www.cnpol.ru/covers/12254.jpg","фото на сайте")</f>
        <v/>
      </c>
    </row>
    <row r="194" ht="50.1" customHeight="1" s="3">
      <c r="A194" s="23" t="n"/>
      <c r="B194" s="24" t="inlineStr">
        <is>
          <t>20474</t>
        </is>
      </c>
      <c r="C194" s="23" t="inlineStr">
        <is>
          <t>АВ</t>
        </is>
      </c>
      <c r="D194" s="23" t="inlineStr">
        <is>
          <t>Моисеев Н.</t>
        </is>
      </c>
      <c r="E194" s="23" t="inlineStr">
        <is>
          <t>Советы выживания от сеньора Робинзона. Остаться в живых в экстремальных условиях. Добываем огонь, воду, пищу, кров…</t>
        </is>
      </c>
      <c r="F194" s="23" t="inlineStr">
        <is>
          <t>        </t>
        </is>
      </c>
      <c r="G194" s="23" t="n">
        <v>538</v>
      </c>
      <c r="H194" s="23" t="n">
        <v>10</v>
      </c>
      <c r="I194" s="23" t="n">
        <v>14</v>
      </c>
      <c r="J194" s="23" t="inlineStr">
        <is>
          <t>978-5-227-10059-7</t>
        </is>
      </c>
      <c r="K194" s="23" t="inlineStr">
        <is>
          <t>84x108 1/32</t>
        </is>
      </c>
      <c r="L194" s="23" t="inlineStr">
        <is>
          <t>тв</t>
        </is>
      </c>
      <c r="M194" s="23" t="n">
        <v>287</v>
      </c>
      <c r="N194" s="23" t="n">
        <v>2022</v>
      </c>
      <c r="O194" s="23" t="n">
        <v>272</v>
      </c>
      <c r="P194" s="23" t="n"/>
      <c r="Q194" s="23" t="n"/>
      <c r="R194" s="25" t="inlineStr">
        <is>
          <t>Если вы любитель ходить в туристические походы, за грибами, ягодами, приключениями, то обязательно приобретите эту книгу. Она расскажет вам, как остаться в живых и не погибнуть от голода и жажды в, казалось бы, безнадёжных ситуациях. Куда бы ни забросила вас судьба: в лес, в пустыню или на водоём — будьте заранее готовы позаботиться о себе и спутниках. Даже если вы заблудились, остались без крова и огня, знания, полученные из этой небольшой, но очень полезной книги, пригодятся сполна. Вооружённые информацией, вы всегда добудете пищу, воду, природные лекарства, огонь и сможете найти дорогу к дому.</t>
        </is>
      </c>
      <c r="S194" s="26">
        <f>HYPERLINK("http://www.cnpol.ru/covers/20474.jpg","фото на сайте")</f>
        <v/>
      </c>
    </row>
    <row r="195" ht="50.1" customHeight="1" s="3">
      <c r="A195" s="23" t="n"/>
      <c r="B195" s="24" t="inlineStr">
        <is>
          <t>17078</t>
        </is>
      </c>
      <c r="C195" s="23" t="inlineStr">
        <is>
          <t>Альбомы по искусству</t>
        </is>
      </c>
      <c r="D195" s="23" t="inlineStr">
        <is>
          <t>Герман М.</t>
        </is>
      </c>
      <c r="E195" s="23" t="inlineStr">
        <is>
          <t>Александр Русаков. Живопись. (Адмиралтейский проспект)</t>
        </is>
      </c>
      <c r="F195" s="23" t="inlineStr">
        <is>
          <t>        </t>
        </is>
      </c>
      <c r="G195" s="27" t="n">
        <v>3790</v>
      </c>
      <c r="H195" s="23" t="n">
        <v>10</v>
      </c>
      <c r="I195" s="23" t="n">
        <v>5</v>
      </c>
      <c r="J195" s="23" t="inlineStr">
        <is>
          <t>978-5-227-07089-0</t>
        </is>
      </c>
      <c r="K195" s="23" t="inlineStr">
        <is>
          <t>84x108 1/16</t>
        </is>
      </c>
      <c r="L195" s="23" t="inlineStr">
        <is>
          <t>тв</t>
        </is>
      </c>
      <c r="M195" s="23" t="n">
        <v>264</v>
      </c>
      <c r="N195" s="23" t="n">
        <v>2016</v>
      </c>
      <c r="O195" s="23" t="n">
        <v>1134</v>
      </c>
      <c r="P195" s="23" t="n"/>
      <c r="Q195" s="23" t="n"/>
      <c r="R195" s="25" t="inlineStr">
        <is>
          <t>Александр Русаков — один из видных представителей петербургского (ленин­градского) искусства, расцвет творчества которых пришелся на 20—30-е го­ды прошлого века. Он из плеяды тех мастеров, которых отличала высочайшая профессиональная культура, творческая свобода и тот безукоризненный вкус, суровый и изысканный, который отличал петербургскую, а позднее и ленинградскую художественную традицию. Александр Исаакович оставил наследие, которое только вступает в свою реальную жизнь и начинает занимать место в истории искусства. Ценность художника и степень его известности пока несоизмеримы. Он был настоящим художником, страстным, ищущим, с несгибаемой творческой волей. Нынешнее признание, всё более широкое и серьёзное, безусловное, растущее, лишено той случайности и зависимости от суетных обстоятельств, что бывают спутниками недолгой прижизненной известности, которая умирает вместе с художником. Уходя в историю, творчество Русакова обретает будущность, присущую проверенным временем духовным ценностям.</t>
        </is>
      </c>
      <c r="S195" s="26">
        <f>HYPERLINK("http://www.cnpol.ru/covers/17078.jpg","фото на сайте")</f>
        <v/>
      </c>
    </row>
    <row r="196" ht="50.1" customHeight="1" s="3">
      <c r="A196" s="23" t="n"/>
      <c r="B196" s="24" t="inlineStr">
        <is>
          <t>17079</t>
        </is>
      </c>
      <c r="C196" s="23" t="inlineStr">
        <is>
          <t>Альбомы по искусству</t>
        </is>
      </c>
      <c r="D196" s="23" t="inlineStr">
        <is>
          <t>Герман М.</t>
        </is>
      </c>
      <c r="E196" s="23" t="inlineStr">
        <is>
          <t>Александр Русаков. Живопись. (Нева. Вид на Зимний дворец)</t>
        </is>
      </c>
      <c r="F196" s="23" t="inlineStr">
        <is>
          <t>        </t>
        </is>
      </c>
      <c r="G196" s="27" t="n">
        <v>3790</v>
      </c>
      <c r="H196" s="23" t="n">
        <v>10</v>
      </c>
      <c r="I196" s="23" t="n">
        <v>5</v>
      </c>
      <c r="J196" s="23" t="inlineStr">
        <is>
          <t>978-5-227-07182-8</t>
        </is>
      </c>
      <c r="K196" s="23" t="inlineStr">
        <is>
          <t>84x108 1/16</t>
        </is>
      </c>
      <c r="L196" s="23" t="inlineStr">
        <is>
          <t>тв</t>
        </is>
      </c>
      <c r="M196" s="23" t="n">
        <v>264</v>
      </c>
      <c r="N196" s="23" t="n">
        <v>2016</v>
      </c>
      <c r="O196" s="23" t="n">
        <v>1134</v>
      </c>
      <c r="P196" s="23" t="n"/>
      <c r="Q196" s="23" t="n"/>
      <c r="R196" s="25" t="inlineStr">
        <is>
          <t>Александр Русаков — один из видных представителей петербургского (ленин­градского) искусства, расцвет творчества которых пришелся на 20—30-е го­ды прошлого века. Он из плеяды тех мастеров, которых отличала высочайшая профессиональная культура, творческая свобода и тот безукоризненный вкус, суровый и изысканный, который отличал петербургскую, а позднее и ленинградскую художественную традицию. Александр Исаакович оставил наследие, которое только вступает в свою реальную жизнь и начинает занимать место в истории искусства. Ценность художника и степень его известности пока несоизмеримы. Он был настоящим художником, страстным, ищущим, с несгибаемой творческой волей. Нынешнее признание, всё более широкое и серьёзное, безусловное, растущее, лишено той случайности и зависимости от суетных обстоятельств, что бывают спутниками недолгой прижизненной известности, которая умирает вместе с художником. Уходя в историю, творчество Русакова обретает будущность, присущую проверенным временем духовным ценностям.</t>
        </is>
      </c>
      <c r="S196" s="26">
        <f>HYPERLINK("http://www.cnpol.ru/covers/17079.jpg","фото на сайте")</f>
        <v/>
      </c>
    </row>
    <row r="197" ht="50.1" customHeight="1" s="3">
      <c r="A197" s="23" t="n"/>
      <c r="B197" s="24" t="inlineStr">
        <is>
          <t>16946</t>
        </is>
      </c>
      <c r="C197" s="23" t="inlineStr">
        <is>
          <t>Альбомы по искусству</t>
        </is>
      </c>
      <c r="D197" s="23" t="inlineStr">
        <is>
          <t>Остроумова-Лебедева А.П</t>
        </is>
      </c>
      <c r="E197" s="23" t="inlineStr">
        <is>
          <t>Из Санкт-Петербурга в Москву. Альбом</t>
        </is>
      </c>
      <c r="F197" s="23" t="inlineStr">
        <is>
          <t>        </t>
        </is>
      </c>
      <c r="G197" s="27" t="n">
        <v>2295</v>
      </c>
      <c r="H197" s="23" t="n">
        <v>10</v>
      </c>
      <c r="I197" s="23" t="n">
        <v>1</v>
      </c>
      <c r="J197" s="23" t="inlineStr">
        <is>
          <t>978-5-227-06874-3</t>
        </is>
      </c>
      <c r="K197" s="23" t="inlineStr">
        <is>
          <t>70x90 1/12</t>
        </is>
      </c>
      <c r="L197" s="23" t="inlineStr">
        <is>
          <t>Интегр</t>
        </is>
      </c>
      <c r="M197" s="23" t="n">
        <v>180</v>
      </c>
      <c r="N197" s="23" t="n">
        <v>2016</v>
      </c>
      <c r="O197" s="23" t="n">
        <v>622</v>
      </c>
      <c r="P197" s="23" t="n"/>
      <c r="Q197" s="23" t="n"/>
      <c r="R197" s="25" t="inlineStr">
        <is>
          <t>В июне 2016 года в Российской академии художеств прошла выставка работ двух художников: всемирно известного петербургского мастера ксилографии А.П. Остроумовой-Лебедевой и московского художника Н.В. Синицына. Выставка приурочена к 145-летию со дня рождения А.П. Остроумовой-Лебедевой, творчеству которой отведена первая часть экспозиции. Вторая часть экспозиции рассказывает о творчестве Н.В. Синицына - ученика А.П. Остроумовой-Лебедевой._x000D_
Этих двух людей связывала крепкая дружба. Длительное деловое и творческое общение сопровождалось постоянной перепиской, часть которой приведена в данном издании, так же как и фотографии из личных архивов. Статьи о творческом пути этих двух мастеров дополнят представление о личностях и таланте художников._x000D_
Экспозиция выставки уникальна тем, что ее составили произведения, большинство из которых экспонировались впервые.</t>
        </is>
      </c>
      <c r="S197" s="26">
        <f>HYPERLINK("http://www.cnpol.ru/covers/16946.jpg","фото на сайте")</f>
        <v/>
      </c>
    </row>
    <row r="198" ht="50.1" customHeight="1" s="3">
      <c r="A198" s="23" t="n"/>
      <c r="B198" s="24" t="inlineStr">
        <is>
          <t>16864</t>
        </is>
      </c>
      <c r="C198" s="23" t="inlineStr">
        <is>
          <t>Альбомы по искусству</t>
        </is>
      </c>
      <c r="D198" s="23" t="inlineStr">
        <is>
          <t>Харшак А.А.</t>
        </is>
      </c>
      <c r="E198" s="23" t="inlineStr">
        <is>
          <t>Корнилов. Личность. Время. События</t>
        </is>
      </c>
      <c r="F198" s="23" t="inlineStr">
        <is>
          <t>        </t>
        </is>
      </c>
      <c r="G198" s="27" t="n">
        <v>4005</v>
      </c>
      <c r="H198" s="23" t="n">
        <v>10</v>
      </c>
      <c r="I198" s="23" t="n">
        <v>5</v>
      </c>
      <c r="J198" s="23" t="inlineStr">
        <is>
          <t>978-5-227-06646-6</t>
        </is>
      </c>
      <c r="K198" s="23" t="inlineStr">
        <is>
          <t>84x108 1/16</t>
        </is>
      </c>
      <c r="L198" s="23" t="inlineStr">
        <is>
          <t>тв</t>
        </is>
      </c>
      <c r="M198" s="23" t="n">
        <v>312</v>
      </c>
      <c r="N198" s="23" t="n">
        <v>2016</v>
      </c>
      <c r="O198" s="23" t="n">
        <v>1272</v>
      </c>
      <c r="P198" s="23" t="n"/>
      <c r="Q198" s="23" t="n"/>
      <c r="R198" s="25" t="inlineStr">
        <is>
          <t>Книга известного художника-графика Андрея Харшака посвящена Петру Евгеньевичу Корни¬ло¬ву — историку и пропагандисту искусства, музейщику, педагогу, библиофилу, собирателю и большому знатоку графики. Его роль в истории, именно в истории, а не только в истории искусств, еще предстоит оценить. Активная деятельность Корнилова пришлась на очень трудные годы — с 1920-х по 1960-е. Он работал в Казани, Бухаре; Ленинграде. Имя Петра Корнилова навсегда связано с культурно-художественной жизнью блокадного Ленинграда, с судьбой Русского музея и личными судьбами художников, оставшихся в осажденном городе. В числе близких друзей Корнилова были П.А. Шиллинговский, А.П. Остроумова-Лебедева, К.И. Рудаков, Г.С. Верейский, В.М. Конашевич и И.Н. Павлов._x000D_
Повествование исчерпывающе документировано материалами из семейного архива. Несомненным достоинством книги является альбом, воспроизводящий произведения друзей и современников Корнилова из собрания семьи Корниловых-Харшаков, а также частных коллекций.</t>
        </is>
      </c>
      <c r="S198" s="26">
        <f>HYPERLINK("http://www.cnpol.ru/covers/16864.jpg","фото на сайте")</f>
        <v/>
      </c>
    </row>
    <row r="199" ht="50.1" customHeight="1" s="3">
      <c r="A199" s="23" t="n"/>
      <c r="B199" s="24" t="inlineStr">
        <is>
          <t>16672</t>
        </is>
      </c>
      <c r="C199" s="23" t="inlineStr">
        <is>
          <t>Альбомы по искусству</t>
        </is>
      </c>
      <c r="D199" s="23" t="inlineStr">
        <is>
          <t>Вильнер В</t>
        </is>
      </c>
      <c r="E199" s="23" t="inlineStr">
        <is>
          <t>Роман с литографским камнем (Город)</t>
        </is>
      </c>
      <c r="F199" s="23" t="inlineStr">
        <is>
          <t>        </t>
        </is>
      </c>
      <c r="G199" s="27" t="n">
        <v>4106</v>
      </c>
      <c r="H199" s="23" t="n">
        <v>10</v>
      </c>
      <c r="I199" s="23" t="n">
        <v>5</v>
      </c>
      <c r="J199" s="23" t="inlineStr">
        <is>
          <t>978-5-227-06440-0</t>
        </is>
      </c>
      <c r="K199" s="23" t="inlineStr">
        <is>
          <t>84x108 1/16</t>
        </is>
      </c>
      <c r="L199" s="23" t="inlineStr">
        <is>
          <t>тв</t>
        </is>
      </c>
      <c r="M199" s="23" t="n">
        <v>335</v>
      </c>
      <c r="N199" s="23" t="n">
        <v>2016</v>
      </c>
      <c r="O199" s="23" t="n">
        <v>1364</v>
      </c>
      <c r="P199" s="23" t="n"/>
      <c r="Q199" s="23" t="n"/>
      <c r="R199" s="25" t="n"/>
      <c r="S199" s="26">
        <f>HYPERLINK("http://www.cnpol.ru/covers/16672.jpg","фото на сайте")</f>
        <v/>
      </c>
    </row>
    <row r="200" ht="50.1" customHeight="1" s="3">
      <c r="A200" s="23" t="n"/>
      <c r="B200" s="24" t="inlineStr">
        <is>
          <t>16673</t>
        </is>
      </c>
      <c r="C200" s="23" t="inlineStr">
        <is>
          <t>Альбомы по искусству</t>
        </is>
      </c>
      <c r="D200" s="23" t="inlineStr">
        <is>
          <t>Вильнер В</t>
        </is>
      </c>
      <c r="E200" s="23" t="inlineStr">
        <is>
          <t>Роман с литографским камнем (Канал)</t>
        </is>
      </c>
      <c r="F200" s="23" t="inlineStr">
        <is>
          <t>        </t>
        </is>
      </c>
      <c r="G200" s="27" t="n">
        <v>4106</v>
      </c>
      <c r="H200" s="23" t="n">
        <v>10</v>
      </c>
      <c r="I200" s="23" t="n">
        <v>5</v>
      </c>
      <c r="J200" s="23" t="inlineStr">
        <is>
          <t>978-5-227-06692-3</t>
        </is>
      </c>
      <c r="K200" s="23" t="inlineStr">
        <is>
          <t>84x108 1/16</t>
        </is>
      </c>
      <c r="L200" s="23" t="inlineStr">
        <is>
          <t>тв</t>
        </is>
      </c>
      <c r="M200" s="23" t="n">
        <v>335</v>
      </c>
      <c r="N200" s="23" t="n">
        <v>2016</v>
      </c>
      <c r="O200" s="23" t="n">
        <v>1364</v>
      </c>
      <c r="P200" s="23" t="n"/>
      <c r="Q200" s="23" t="n"/>
      <c r="R200" s="25" t="n"/>
      <c r="S200" s="26">
        <f>HYPERLINK("http://www.cnpol.ru/covers/16673.jpg","фото на сайте")</f>
        <v/>
      </c>
    </row>
    <row r="201" ht="50.1" customHeight="1" s="3">
      <c r="A201" s="23" t="n"/>
      <c r="B201" s="24" t="inlineStr">
        <is>
          <t>16448</t>
        </is>
      </c>
      <c r="C201" s="23" t="inlineStr">
        <is>
          <t>Альбомы по искусству</t>
        </is>
      </c>
      <c r="D201" s="23" t="inlineStr">
        <is>
          <t>Гофман В.</t>
        </is>
      </c>
      <c r="E201" s="23" t="inlineStr">
        <is>
          <t>Юрий Анненков. Русский период. Французский период</t>
        </is>
      </c>
      <c r="F201" s="23" t="inlineStr">
        <is>
          <t>        </t>
        </is>
      </c>
      <c r="G201" s="27" t="n">
        <v>3585</v>
      </c>
      <c r="H201" s="23" t="n">
        <v>10</v>
      </c>
      <c r="I201" s="23" t="n">
        <v>5</v>
      </c>
      <c r="J201" s="23" t="inlineStr">
        <is>
          <t>978-5-227-06357-1</t>
        </is>
      </c>
      <c r="K201" s="23" t="inlineStr">
        <is>
          <t>84x108 1/16</t>
        </is>
      </c>
      <c r="L201" s="23" t="inlineStr">
        <is>
          <t>тв</t>
        </is>
      </c>
      <c r="M201" s="23" t="n">
        <v>288</v>
      </c>
      <c r="N201" s="23" t="n">
        <v>2016</v>
      </c>
      <c r="O201" s="23" t="n">
        <v>1208</v>
      </c>
      <c r="P201" s="23" t="n"/>
      <c r="Q201" s="23" t="n"/>
      <c r="R201" s="25" t="n"/>
      <c r="S201" s="26">
        <f>HYPERLINK("http://www.cnpol.ru/covers/16448.jpg","фото на сайте")</f>
        <v/>
      </c>
    </row>
    <row r="202" ht="50.1" customHeight="1" s="3">
      <c r="A202" s="23" t="n"/>
      <c r="B202" s="24" t="inlineStr">
        <is>
          <t>8859</t>
        </is>
      </c>
      <c r="C202" s="23" t="inlineStr">
        <is>
          <t>АНТИКАРМА</t>
        </is>
      </c>
      <c r="D202" s="23" t="inlineStr">
        <is>
          <t>Босюк</t>
        </is>
      </c>
      <c r="E202" s="23" t="inlineStr">
        <is>
          <t>Всадник без головы или кто управляет вашим телом</t>
        </is>
      </c>
      <c r="F202" s="23" t="inlineStr">
        <is>
          <t>        </t>
        </is>
      </c>
      <c r="G202" s="23" t="n">
        <v>140</v>
      </c>
      <c r="H202" s="23" t="n">
        <v>10</v>
      </c>
      <c r="I202" s="23" t="n">
        <v>20</v>
      </c>
      <c r="J202" s="23" t="inlineStr">
        <is>
          <t>978-5-9524-3119-5</t>
        </is>
      </c>
      <c r="K202" s="23" t="inlineStr">
        <is>
          <t>84x108 1/32 (обл)</t>
        </is>
      </c>
      <c r="L202" s="23" t="inlineStr">
        <is>
          <t>мяг</t>
        </is>
      </c>
      <c r="M202" s="23" t="n">
        <v>333</v>
      </c>
      <c r="N202" s="23" t="n">
        <v>2008</v>
      </c>
      <c r="O202" s="23" t="n">
        <v>204</v>
      </c>
      <c r="P202" s="23" t="n"/>
      <c r="Q202" s="23" t="n"/>
      <c r="R202" s="25" t="inlineStr">
        <is>
          <t>Роман Босюк совершил качественный скачок в изучении важной ветви психологии - психосоматики и разработал действенные методы, позволяющие самостоятельно убирать патологические структуры в сознании и теле. _x000D_
В книге подробно рассказывается, как провести самодиагностику энергетического поля и определить места психосоматических мышечных "зажимов", которые являются причиной заболеваний. Вы узнаете, что, изменив мировосприятие, можно излечиться или предотвратить появление недугов, которые неизбежно возникли бы в будущем.</t>
        </is>
      </c>
      <c r="S202" s="26">
        <f>HYPERLINK("http://www.cnpol.ru/covers/8859.jpg","фото на сайте")</f>
        <v/>
      </c>
    </row>
    <row r="203" ht="50.1" customHeight="1" s="3">
      <c r="A203" s="23" t="n"/>
      <c r="B203" s="24" t="inlineStr">
        <is>
          <t>6327</t>
        </is>
      </c>
      <c r="C203" s="23" t="inlineStr">
        <is>
          <t>АНТИСТЕРВА</t>
        </is>
      </c>
      <c r="D203" s="23" t="inlineStr">
        <is>
          <t>Графова</t>
        </is>
      </c>
      <c r="E203" s="23" t="inlineStr">
        <is>
          <t>Заповеди счастливой женщины</t>
        </is>
      </c>
      <c r="F203" s="23" t="inlineStr">
        <is>
          <t>        </t>
        </is>
      </c>
      <c r="G203" s="23" t="n">
        <v>191</v>
      </c>
      <c r="H203" s="23" t="n">
        <v>10</v>
      </c>
      <c r="I203" s="23" t="n">
        <v>20</v>
      </c>
      <c r="J203" s="23" t="inlineStr">
        <is>
          <t>5-9524-2100-8</t>
        </is>
      </c>
      <c r="K203" s="23" t="inlineStr">
        <is>
          <t>84х90 1/32</t>
        </is>
      </c>
      <c r="L203" s="23" t="inlineStr">
        <is>
          <t>тв</t>
        </is>
      </c>
      <c r="M203" s="23" t="n">
        <v>187</v>
      </c>
      <c r="N203" s="23" t="n">
        <v>2007</v>
      </c>
      <c r="O203" s="23" t="n">
        <v>186</v>
      </c>
      <c r="P203" s="23" t="n"/>
      <c r="Q203" s="23" t="n"/>
      <c r="R203" s="25" t="inlineStr">
        <is>
          <t>Книга Т. Графовой поможет стать счастливой и научиться любить жизнь во всех ее проявлениях. В ней — двадцать заповедей счастливой женщины, двадцать золотых правил обретения счастья. Ни один маг-волшебник на свете не сможет сделать человека счастливым. Эта задача по силам только нам самим...</t>
        </is>
      </c>
      <c r="S203" s="26">
        <f>HYPERLINK("http://www.cnpol.ru/covers/6327.jpg","фото на сайте")</f>
        <v/>
      </c>
    </row>
    <row r="204" ht="50.1" customHeight="1" s="3">
      <c r="A204" s="23" t="n"/>
      <c r="B204" s="24" t="inlineStr">
        <is>
          <t>5909</t>
        </is>
      </c>
      <c r="C204" s="23" t="inlineStr">
        <is>
          <t>АНТИСТЕРВА</t>
        </is>
      </c>
      <c r="D204" s="23" t="inlineStr">
        <is>
          <t>Куршакова</t>
        </is>
      </c>
      <c r="E204" s="23" t="inlineStr">
        <is>
          <t>Книга счастливой толстушки</t>
        </is>
      </c>
      <c r="F204" s="23" t="inlineStr">
        <is>
          <t>        </t>
        </is>
      </c>
      <c r="G204" s="23" t="n">
        <v>241</v>
      </c>
      <c r="H204" s="23" t="n">
        <v>10</v>
      </c>
      <c r="I204" s="23" t="n">
        <v>14</v>
      </c>
      <c r="J204" s="23" t="inlineStr">
        <is>
          <t>5-9524-1841-4</t>
        </is>
      </c>
      <c r="K204" s="23" t="inlineStr">
        <is>
          <t>84х90 1/32</t>
        </is>
      </c>
      <c r="L204" s="23" t="inlineStr">
        <is>
          <t>тв</t>
        </is>
      </c>
      <c r="M204" s="23" t="n">
        <v>285</v>
      </c>
      <c r="N204" s="23" t="n">
        <v>2005</v>
      </c>
      <c r="O204" s="23" t="n">
        <v>246</v>
      </c>
      <c r="P204" s="23" t="n"/>
      <c r="Q204" s="23" t="n"/>
      <c r="R204" s="25" t="inlineStr">
        <is>
          <t>Прочитав эту книгу, вы сможете избавиться от комплексов, связанных с полнотой, поймете, что можно быть счастливой, здоровой и ослепительно красивой независимо от веса. Полненькие женщины особенно женственны и сексуальны, а для тех, у кого полнота уже начинает превращаться в ожирение, в книге приведены самые разнообразные диеты.</t>
        </is>
      </c>
      <c r="S204" s="26">
        <f>HYPERLINK("http://www.cnpol.ru/covers/5909.jpg","фото на сайте")</f>
        <v/>
      </c>
    </row>
    <row r="205" ht="50.1" customHeight="1" s="3">
      <c r="A205" s="23" t="n"/>
      <c r="B205" s="24" t="inlineStr">
        <is>
          <t>17606</t>
        </is>
      </c>
      <c r="C205" s="23" t="inlineStr">
        <is>
          <t>АНЮГ</t>
        </is>
      </c>
      <c r="D205" s="23" t="inlineStr">
        <is>
          <t>Аменицкий Н., Сахаров И., Тромгольт С.</t>
        </is>
      </c>
      <c r="E205" s="23" t="inlineStr">
        <is>
          <t>Арифметическая разминка. Учимся решать необычные задачки</t>
        </is>
      </c>
      <c r="F205" s="23" t="inlineStr">
        <is>
          <t>        </t>
        </is>
      </c>
      <c r="G205" s="23" t="n">
        <v>486</v>
      </c>
      <c r="H205" s="23" t="n">
        <v>10</v>
      </c>
      <c r="I205" s="23" t="n">
        <v>18</v>
      </c>
      <c r="J205" s="23" t="inlineStr">
        <is>
          <t>978-5-9524-5235-0</t>
        </is>
      </c>
      <c r="K205" s="23" t="inlineStr">
        <is>
          <t>84x108 1/32</t>
        </is>
      </c>
      <c r="L205" s="23" t="inlineStr">
        <is>
          <t>тв</t>
        </is>
      </c>
      <c r="M205" s="23" t="n">
        <v>224</v>
      </c>
      <c r="N205" s="23" t="n">
        <v>2017</v>
      </c>
      <c r="O205" s="23" t="n">
        <v>214</v>
      </c>
      <c r="P205" s="23" t="n"/>
      <c r="Q205" s="23" t="n"/>
      <c r="R205" s="25" t="inlineStr">
        <is>
          <t>Вы не знаете, как привить вашему ребенку любовь к математике? На помощь вам придет эта увлекательная книга, написанная опытными педагогами-математиками!_x000D_
Магические квадраты и волшебные таблицы, задачи-шутки и задачи на разрезание, перестановки и перемещения, рассказы о старинных мерах длины и массы, любопытные древние легенды и истории, так или иначе связанные с математикой, а также игры и забавы со спичками, фокусы и конечно же конструирование! Все это поможет ребенку с удовольствием и интересом погрузиться в изучение школьной математики, развить в себе способности к неординарному и оригинальному мышлению, поможет ему научиться нестандартно мыслить!</t>
        </is>
      </c>
      <c r="S205" s="26">
        <f>HYPERLINK("http://www.cnpol.ru/covers/17606.jpg","фото на сайте")</f>
        <v/>
      </c>
    </row>
    <row r="206" ht="50.1" customHeight="1" s="3">
      <c r="A206" s="23" t="n"/>
      <c r="B206" s="24" t="inlineStr">
        <is>
          <t>17334</t>
        </is>
      </c>
      <c r="C206" s="23" t="inlineStr">
        <is>
          <t>АНЮГ</t>
        </is>
      </c>
      <c r="D206" s="23" t="inlineStr">
        <is>
          <t>Перельман Я.И.</t>
        </is>
      </c>
      <c r="E206" s="23" t="inlineStr">
        <is>
          <t>Головоломки. Фокусы. Задачи. Игры. Развлечения</t>
        </is>
      </c>
      <c r="F206" s="23" t="inlineStr">
        <is>
          <t>        </t>
        </is>
      </c>
      <c r="G206" s="23" t="n">
        <v>486</v>
      </c>
      <c r="H206" s="23" t="n">
        <v>10</v>
      </c>
      <c r="I206" s="23" t="n">
        <v>20</v>
      </c>
      <c r="J206" s="23" t="inlineStr">
        <is>
          <t>978-5-9524-5228-2</t>
        </is>
      </c>
      <c r="K206" s="23" t="inlineStr">
        <is>
          <t>84x108 1/32</t>
        </is>
      </c>
      <c r="L206" s="23" t="inlineStr">
        <is>
          <t>тв</t>
        </is>
      </c>
      <c r="M206" s="23" t="n">
        <v>192</v>
      </c>
      <c r="N206" s="23" t="n">
        <v>2017</v>
      </c>
      <c r="O206" s="23" t="n">
        <v>196</v>
      </c>
      <c r="P206" s="23" t="n"/>
      <c r="Q206" s="23" t="n"/>
      <c r="R206" s="25" t="n"/>
      <c r="S206" s="26">
        <f>HYPERLINK("http://www.cnpol.ru/covers/17334.jpg","фото на сайте")</f>
        <v/>
      </c>
    </row>
    <row r="207" ht="50.1" customHeight="1" s="3">
      <c r="A207" s="23" t="n"/>
      <c r="B207" s="24" t="inlineStr">
        <is>
          <t>17186</t>
        </is>
      </c>
      <c r="C207" s="23" t="inlineStr">
        <is>
          <t>АНЮГ</t>
        </is>
      </c>
      <c r="D207" s="23" t="inlineStr">
        <is>
          <t>Перельман Я.И.</t>
        </is>
      </c>
      <c r="E207" s="23" t="inlineStr">
        <is>
          <t>Занимательная астрономия</t>
        </is>
      </c>
      <c r="F207" s="23" t="inlineStr">
        <is>
          <t>        </t>
        </is>
      </c>
      <c r="G207" s="23" t="n">
        <v>486</v>
      </c>
      <c r="H207" s="23" t="n">
        <v>10</v>
      </c>
      <c r="I207" s="23" t="n">
        <v>14</v>
      </c>
      <c r="J207" s="23" t="inlineStr">
        <is>
          <t>978-5-9524-5227-5</t>
        </is>
      </c>
      <c r="K207" s="23" t="inlineStr">
        <is>
          <t>84x108 1/32</t>
        </is>
      </c>
      <c r="L207" s="23" t="inlineStr">
        <is>
          <t>тв</t>
        </is>
      </c>
      <c r="M207" s="23" t="n">
        <v>256</v>
      </c>
      <c r="N207" s="23" t="n">
        <v>2016</v>
      </c>
      <c r="O207" s="23" t="n">
        <v>214</v>
      </c>
      <c r="P207" s="23" t="n"/>
      <c r="Q207" s="23" t="n"/>
      <c r="R207" s="25" t="n"/>
      <c r="S207" s="26">
        <f>HYPERLINK("http://www.cnpol.ru/covers/17186.jpg","фото на сайте")</f>
        <v/>
      </c>
    </row>
    <row r="208" ht="50.1" customHeight="1" s="3">
      <c r="A208" s="23" t="n"/>
      <c r="B208" s="24" t="inlineStr">
        <is>
          <t>20635</t>
        </is>
      </c>
      <c r="C208" s="23" t="inlineStr">
        <is>
          <t>АНЮГ</t>
        </is>
      </c>
      <c r="D208" s="23" t="inlineStr">
        <is>
          <t>Аржанов С.</t>
        </is>
      </c>
      <c r="E208" s="23" t="inlineStr">
        <is>
          <t>Занимательная география</t>
        </is>
      </c>
      <c r="F208" s="23" t="inlineStr">
        <is>
          <t>        </t>
        </is>
      </c>
      <c r="G208" s="23" t="n">
        <v>486</v>
      </c>
      <c r="H208" s="23" t="n">
        <v>10</v>
      </c>
      <c r="I208" s="23" t="n">
        <v>20</v>
      </c>
      <c r="J208" s="23" t="inlineStr">
        <is>
          <t>978-5-9524-5513-9</t>
        </is>
      </c>
      <c r="K208" s="23" t="inlineStr">
        <is>
          <t>84x108 1/32</t>
        </is>
      </c>
      <c r="L208" s="23" t="inlineStr">
        <is>
          <t>тв</t>
        </is>
      </c>
      <c r="M208" s="23" t="n">
        <v>191</v>
      </c>
      <c r="N208" s="23" t="n">
        <v>2023</v>
      </c>
      <c r="O208" s="23" t="n">
        <v>198</v>
      </c>
      <c r="P208" s="23" t="n"/>
      <c r="Q208" s="23" t="n"/>
      <c r="R208" s="25" t="inlineStr">
        <is>
          <t>Сергей Аржанов рассказывает о том, как географические закономерности проявляются вокруг нас и каким законам подчиняется окружающий мир. В книге затронуты самые интересные вопросы, которые способны увлечь собой ребенка: это и количество людей на Земле, и интересные заблуждения, в которые верят практически все. Вы узнаете, в какую сторону текут реки, почему долина знаменитой реки Нил очень плодородна, как появляются и исчезают озера, как ветер влияет на климат, какой из двух полюсов нашей планеты холоднее, какие «универсальные» животные и растения могут встречаться в разных точках планеты… И хотя книга написана почти сто лет назад, она полна самых занимательных очерков, которые понравятся всем, кто интересуется естественными науками.</t>
        </is>
      </c>
      <c r="S208" s="26">
        <f>HYPERLINK("http://www.cnpol.ru/covers/20635.jpg","фото на сайте")</f>
        <v/>
      </c>
    </row>
    <row r="209" ht="50.1" customHeight="1" s="3">
      <c r="A209" s="23" t="n"/>
      <c r="B209" s="24" t="inlineStr">
        <is>
          <t>16243</t>
        </is>
      </c>
      <c r="C209" s="23" t="inlineStr">
        <is>
          <t>АНЮГ</t>
        </is>
      </c>
      <c r="D209" s="23" t="inlineStr">
        <is>
          <t>Перельман Я.И.</t>
        </is>
      </c>
      <c r="E209" s="23" t="inlineStr">
        <is>
          <t>Занимательная геометрия на вольном воздухе и дома</t>
        </is>
      </c>
      <c r="F209" s="23" t="inlineStr">
        <is>
          <t>        </t>
        </is>
      </c>
      <c r="G209" s="23" t="n">
        <v>486</v>
      </c>
      <c r="H209" s="23" t="n">
        <v>10</v>
      </c>
      <c r="I209" s="23" t="n">
        <v>20</v>
      </c>
      <c r="J209" s="23" t="inlineStr">
        <is>
          <t>978-5-9524-5179-7</t>
        </is>
      </c>
      <c r="K209" s="23" t="inlineStr">
        <is>
          <t>84x108 1/32</t>
        </is>
      </c>
      <c r="L209" s="23" t="inlineStr">
        <is>
          <t>тв</t>
        </is>
      </c>
      <c r="M209" s="23" t="n">
        <v>222</v>
      </c>
      <c r="N209" s="23" t="n">
        <v>2015</v>
      </c>
      <c r="O209" s="23" t="n">
        <v>216</v>
      </c>
      <c r="P209" s="23" t="n"/>
      <c r="Q209" s="23" t="n"/>
      <c r="R209" s="25" t="inlineStr">
        <is>
          <t>В книге Я.И. Перельмана представлены оригинальные задачи с любопытными и необычными сюжетами, решения которых порой неожиданно, увлекательные исторические экскурсы, интересные примеры из повседневной жизни. Все они направлены на развитие логики, наблюдательности и пространственного воображения. Ребенок также научится замечать геометрические законы в окружающем мире и с легкостью пользоваться приобретенными знаниями на практике.</t>
        </is>
      </c>
      <c r="S209" s="26">
        <f>HYPERLINK("http://www.cnpol.ru/covers/16243.jpg","фото на сайте")</f>
        <v/>
      </c>
    </row>
    <row r="210" ht="50.1" customHeight="1" s="3">
      <c r="A210" s="23" t="n"/>
      <c r="B210" s="24" t="inlineStr">
        <is>
          <t>17375</t>
        </is>
      </c>
      <c r="C210" s="23" t="inlineStr">
        <is>
          <t>АНЮГ</t>
        </is>
      </c>
      <c r="D210" s="23" t="inlineStr">
        <is>
          <t>Перельман Я.И.</t>
        </is>
      </c>
      <c r="E210" s="23" t="inlineStr">
        <is>
          <t>Занимательная геометрия на вольном воздухе и дома</t>
        </is>
      </c>
      <c r="F210" s="23" t="inlineStr">
        <is>
          <t>        </t>
        </is>
      </c>
      <c r="G210" s="23" t="n">
        <v>486</v>
      </c>
      <c r="H210" s="23" t="n">
        <v>10</v>
      </c>
      <c r="I210" s="23" t="n">
        <v>18</v>
      </c>
      <c r="J210" s="23" t="inlineStr">
        <is>
          <t>978-5-9524-5229-9</t>
        </is>
      </c>
      <c r="K210" s="23" t="inlineStr">
        <is>
          <t>84x108 1/32</t>
        </is>
      </c>
      <c r="L210" s="23" t="inlineStr">
        <is>
          <t>тв</t>
        </is>
      </c>
      <c r="M210" s="23" t="n">
        <v>224</v>
      </c>
      <c r="N210" s="23" t="n">
        <v>2017</v>
      </c>
      <c r="O210" s="23" t="n">
        <v>216</v>
      </c>
      <c r="P210" s="23" t="n"/>
      <c r="Q210" s="23" t="n"/>
      <c r="R210" s="25" t="inlineStr">
        <is>
          <t>В книге Я.И. Перельмана представлены оригинальные задачи с любопытными и необычными сюжетами, решения которых порой неожиданно, увлекательные исторические экскурсы, интересные примеры из повседневной жизни. Все они направлены на развитие логики, наблюдательности и пространственного воображения. Ребенок также научится замечать геометрические законы в окружающем мире и с легкостью пользоваться приобретенными знаниями на практике.</t>
        </is>
      </c>
      <c r="S210" s="26">
        <f>HYPERLINK("http://www.cnpol.ru/covers/17375.jpg","фото на сайте")</f>
        <v/>
      </c>
    </row>
    <row r="211" ht="50.1" customHeight="1" s="3">
      <c r="A211" s="23" t="n"/>
      <c r="B211" s="24" t="inlineStr">
        <is>
          <t>20684</t>
        </is>
      </c>
      <c r="C211" s="23" t="inlineStr">
        <is>
          <t>АНЮГ</t>
        </is>
      </c>
      <c r="D211" s="23" t="inlineStr">
        <is>
          <t>Никольский А.М.</t>
        </is>
      </c>
      <c r="E211" s="23" t="inlineStr">
        <is>
          <t>Занимательная зоология</t>
        </is>
      </c>
      <c r="F211" s="23" t="inlineStr">
        <is>
          <t>        </t>
        </is>
      </c>
      <c r="G211" s="23" t="n">
        <v>486</v>
      </c>
      <c r="H211" s="23" t="n">
        <v>10</v>
      </c>
      <c r="I211" s="23" t="n">
        <v>20</v>
      </c>
      <c r="J211" s="23" t="inlineStr">
        <is>
          <t>978-5-9524-5511-5</t>
        </is>
      </c>
      <c r="K211" s="23" t="inlineStr">
        <is>
          <t>84x108 1/32</t>
        </is>
      </c>
      <c r="L211" s="23" t="inlineStr">
        <is>
          <t>тв</t>
        </is>
      </c>
      <c r="M211" s="23" t="n">
        <v>191</v>
      </c>
      <c r="N211" s="23" t="n">
        <v>2023</v>
      </c>
      <c r="O211" s="23" t="n">
        <v>200</v>
      </c>
      <c r="P211" s="23" t="n"/>
      <c r="Q211" s="23" t="n"/>
      <c r="R211" s="25" t="inlineStr">
        <is>
          <t>Предлагаемая юным читателям книга имеет давнюю историю. И хотя за долгие годы после ее написания наука ушла далеко вперед, а мнения ученых относительно некоторых фактов поменялись, книга по-прежнему остается очень занимательной для пытливых умов. Текст подан в легкой, доступной форме и изобилует увлекательными фактами. Задачей автора было не написание учебника по зоологии для людей определенного возраста, не создание учебного пособия для какого-то класса обучения. Автор просто хотел дать читателям интересные знания. Он предлагает множество тем для практических занятий, призывает проверить правдивость некоторых сведений путем наблюдения за природой. Издание будет интересно очень широкому кругу читателей, как юным биологам, так и их педагогам и родителям.</t>
        </is>
      </c>
      <c r="S211" s="26">
        <f>HYPERLINK("http://www.cnpol.ru/covers/20684.jpg","фото на сайте")</f>
        <v/>
      </c>
    </row>
    <row r="212" ht="50.1" customHeight="1" s="3">
      <c r="A212" s="23" t="n"/>
      <c r="B212" s="24" t="inlineStr">
        <is>
          <t>17802</t>
        </is>
      </c>
      <c r="C212" s="23" t="inlineStr">
        <is>
          <t>АНЮГ</t>
        </is>
      </c>
      <c r="D212" s="23" t="inlineStr">
        <is>
          <t>Перельман Я.И.</t>
        </is>
      </c>
      <c r="E212" s="23" t="inlineStr">
        <is>
          <t>Занимательная механика</t>
        </is>
      </c>
      <c r="F212" s="23" t="inlineStr">
        <is>
          <t>        </t>
        </is>
      </c>
      <c r="G212" s="23" t="n">
        <v>486</v>
      </c>
      <c r="H212" s="23" t="n">
        <v>10</v>
      </c>
      <c r="I212" s="23" t="n">
        <v>16</v>
      </c>
      <c r="J212" s="23" t="inlineStr">
        <is>
          <t>978-5-9524-5241-1</t>
        </is>
      </c>
      <c r="K212" s="23" t="inlineStr">
        <is>
          <t>84x108 1/32</t>
        </is>
      </c>
      <c r="L212" s="23" t="inlineStr">
        <is>
          <t>тв</t>
        </is>
      </c>
      <c r="M212" s="23" t="n">
        <v>256</v>
      </c>
      <c r="N212" s="23" t="n">
        <v>2017</v>
      </c>
      <c r="O212" s="23" t="n">
        <v>238</v>
      </c>
      <c r="P212" s="23" t="n"/>
      <c r="Q212" s="23" t="n"/>
      <c r="R212" s="25" t="inlineStr">
        <is>
          <t>Очередная книга знаменитого популяризатора наук с помощью образных примеров и увлекательных задач заново знакомит юных читателей с уже встречавшейся им в школе механикой - одним из разделов физики, - а взрослым помогает освежить ее в памяти и, возможно, увидеть с другой стороны. Не как сухие тексты учебников, а как глубинные законы, которым подчиняется все на нашей планете и постигать которые по-настоящему интересно. С помощью науки объясняются самые невероятные и фантастические предположения; живые примеры, сравнения и факты из повседневности - все это помогает в постижении движущих сил мироздания. Наглядно поданные основы механики будут полезны любому человеку, желающему расширить свой кругозор.</t>
        </is>
      </c>
      <c r="S212" s="26">
        <f>HYPERLINK("http://www.cnpol.ru/covers/17802.jpg","фото на сайте")</f>
        <v/>
      </c>
    </row>
    <row r="213" ht="50.1" customHeight="1" s="3">
      <c r="A213" s="23" t="n"/>
      <c r="B213" s="24" t="inlineStr">
        <is>
          <t>15902</t>
        </is>
      </c>
      <c r="C213" s="23" t="inlineStr">
        <is>
          <t>АНЮГ</t>
        </is>
      </c>
      <c r="D213" s="23" t="inlineStr">
        <is>
          <t>Перельман Я.И.</t>
        </is>
      </c>
      <c r="E213" s="23" t="inlineStr">
        <is>
          <t>Занимательная физика</t>
        </is>
      </c>
      <c r="F213" s="23" t="inlineStr">
        <is>
          <t>        </t>
        </is>
      </c>
      <c r="G213" s="23" t="n">
        <v>486</v>
      </c>
      <c r="H213" s="23" t="n">
        <v>10</v>
      </c>
      <c r="I213" s="23" t="n">
        <v>20</v>
      </c>
      <c r="J213" s="23" t="inlineStr">
        <is>
          <t>978-5-9524-5125-4</t>
        </is>
      </c>
      <c r="K213" s="23" t="inlineStr">
        <is>
          <t>84x108 1/32</t>
        </is>
      </c>
      <c r="L213" s="23" t="inlineStr">
        <is>
          <t>тв</t>
        </is>
      </c>
      <c r="M213" s="23" t="n">
        <v>256</v>
      </c>
      <c r="N213" s="23" t="n">
        <v>2015</v>
      </c>
      <c r="O213" s="23" t="n">
        <v>240</v>
      </c>
      <c r="P213" s="23" t="n"/>
      <c r="Q213" s="23" t="n"/>
      <c r="R213" s="25" t="inlineStr">
        <is>
          <t>В книге Я.И. Перельмана представлены оригинальные опыты, занимательные вопросы, хитрые головоломки, любопытные факты, рассказы из области физики, относящиеся к кругу повседневных явлений или взятые из общедоступных произведений научной фантастики. Привычные вещи, знакомые явления открываются с новой, неожиданной стороны. Книга поможет любому ребенку научиться творчески мыслить и будет интересна учащимся средней школы, а также всем любознательным читателям.</t>
        </is>
      </c>
      <c r="S213" s="26">
        <f>HYPERLINK("http://www.cnpol.ru/covers/15902.jpg","фото на сайте")</f>
        <v/>
      </c>
    </row>
    <row r="214" ht="50.1" customHeight="1" s="3">
      <c r="A214" s="23" t="n"/>
      <c r="B214" s="24" t="inlineStr">
        <is>
          <t>17618</t>
        </is>
      </c>
      <c r="C214" s="23" t="inlineStr">
        <is>
          <t>АНЮГ</t>
        </is>
      </c>
      <c r="D214" s="23" t="inlineStr">
        <is>
          <t>Перельман Я.И.</t>
        </is>
      </c>
      <c r="E214" s="23" t="inlineStr">
        <is>
          <t>Занимательная физика</t>
        </is>
      </c>
      <c r="F214" s="23" t="inlineStr">
        <is>
          <t>        </t>
        </is>
      </c>
      <c r="G214" s="23" t="n">
        <v>486</v>
      </c>
      <c r="H214" s="23" t="n">
        <v>10</v>
      </c>
      <c r="I214" s="23" t="n">
        <v>14</v>
      </c>
      <c r="J214" s="23" t="inlineStr">
        <is>
          <t>978-5-9524-5237-4</t>
        </is>
      </c>
      <c r="K214" s="23" t="inlineStr">
        <is>
          <t>84x108 1/32</t>
        </is>
      </c>
      <c r="L214" s="23" t="inlineStr">
        <is>
          <t>тв</t>
        </is>
      </c>
      <c r="M214" s="23" t="n">
        <v>252</v>
      </c>
      <c r="N214" s="23" t="n">
        <v>2017</v>
      </c>
      <c r="O214" s="23" t="n">
        <v>240</v>
      </c>
      <c r="P214" s="23" t="n"/>
      <c r="Q214" s="23" t="n"/>
      <c r="R214" s="25" t="inlineStr">
        <is>
          <t>В книге Я.И. Перельмана представлены оригинальные опыты, занимательные вопросы, хитрые головоломки, любопытные факты, рассказы из области физики, относящиеся к кругу повседневных явлений или взятые из общедоступных произведений научной фантастики. Привычные вещи, знакомые явления открываются с новой, неожиданной стороны. Книга поможет любому ребенку научиться творчески мыслить и будет интересна учащимся средней школы, а также всем любознательным читателям.</t>
        </is>
      </c>
      <c r="S214" s="26">
        <f>HYPERLINK("http://www.cnpol.ru/covers/17618.jpg","фото на сайте")</f>
        <v/>
      </c>
    </row>
    <row r="215" ht="50.1" customHeight="1" s="3">
      <c r="A215" s="23" t="n"/>
      <c r="B215" s="24" t="inlineStr">
        <is>
          <t>17004</t>
        </is>
      </c>
      <c r="C215" s="23" t="inlineStr">
        <is>
          <t>АНЮГ</t>
        </is>
      </c>
      <c r="D215" s="23" t="inlineStr">
        <is>
          <t>Рюмин В.В.</t>
        </is>
      </c>
      <c r="E215" s="23" t="inlineStr">
        <is>
          <t>Занимательная электротехника на дому</t>
        </is>
      </c>
      <c r="F215" s="23" t="inlineStr">
        <is>
          <t>        </t>
        </is>
      </c>
      <c r="G215" s="23" t="n">
        <v>486</v>
      </c>
      <c r="H215" s="23" t="n">
        <v>10</v>
      </c>
      <c r="I215" s="23" t="n">
        <v>20</v>
      </c>
      <c r="J215" s="23" t="inlineStr">
        <is>
          <t>978-5-9524-5184-1</t>
        </is>
      </c>
      <c r="K215" s="23" t="inlineStr">
        <is>
          <t>84x108 1/32</t>
        </is>
      </c>
      <c r="L215" s="23" t="inlineStr">
        <is>
          <t>тв</t>
        </is>
      </c>
      <c r="M215" s="23" t="n">
        <v>160</v>
      </c>
      <c r="N215" s="23" t="n">
        <v>2016</v>
      </c>
      <c r="O215" s="23" t="n">
        <v>172</v>
      </c>
      <c r="P215" s="23" t="n"/>
      <c r="Q215" s="23" t="n"/>
      <c r="R215" s="25" t="inlineStr">
        <is>
          <t>Владимир Владимирович Рюмин получил широкую известность как популяризатор науки и техники. Будучи прогрессивным педаго­гом-новатором, разрабатывал собственные оригинальные методики преподавания, ставил необычные опыты, следил за новостями из мира техники и делился ими с учениками. Начав заниматься преподаванием, он издал много учебных пособий по химии, минералогии, технологии и электротехнике, серию брошюр по технологии производств и по прикладной технологии…_x000D_
Окончив преподавательскую деятельность, Владимир Владимирович сосредоточился на популяризации науки. Сегодня мы с удовольствием представляем книгу «Занимательная электротехника на дому». И хотя с момента ее написания прошло почти сто лет, основы электротехники с тех пор не изменились, опыты до сих пор актуальны и помогут понять принципы работы современных электроприборов, которыми мы, не задумываясь, пользуемся каждый день. В книге описано большое количество интересных, а также полезных устройств, которые можно сделать в домашних условиях своими руками. Издание рассчитано на самый широкий круг читателей.</t>
        </is>
      </c>
      <c r="S215" s="26">
        <f>HYPERLINK("http://www.cnpol.ru/covers/17004.jpg","фото на сайте")</f>
        <v/>
      </c>
    </row>
    <row r="216" ht="50.1" customHeight="1" s="3">
      <c r="A216" s="23" t="n"/>
      <c r="B216" s="24" t="inlineStr">
        <is>
          <t>18215</t>
        </is>
      </c>
      <c r="C216" s="23" t="inlineStr">
        <is>
          <t>АНЮГ</t>
        </is>
      </c>
      <c r="D216" s="23" t="inlineStr">
        <is>
          <t>Нечаев А.</t>
        </is>
      </c>
      <c r="E216" s="23" t="inlineStr">
        <is>
          <t>Занимательные опыты, или Чудеса без чудес. Увлекательная физика для маленьких учёных</t>
        </is>
      </c>
      <c r="F216" s="23" t="inlineStr">
        <is>
          <t>        </t>
        </is>
      </c>
      <c r="G216" s="23" t="n">
        <v>486</v>
      </c>
      <c r="H216" s="23" t="n">
        <v>10</v>
      </c>
      <c r="I216" s="23" t="n">
        <v>16</v>
      </c>
      <c r="J216" s="23" t="inlineStr">
        <is>
          <t>978-5-9524-5346-3</t>
        </is>
      </c>
      <c r="K216" s="23" t="inlineStr">
        <is>
          <t>84x108 1/32</t>
        </is>
      </c>
      <c r="L216" s="23" t="inlineStr">
        <is>
          <t>тв</t>
        </is>
      </c>
      <c r="M216" s="23" t="n">
        <v>224</v>
      </c>
      <c r="N216" s="23" t="n">
        <v>2018</v>
      </c>
      <c r="O216" s="23" t="n">
        <v>212</v>
      </c>
      <c r="P216" s="23" t="n"/>
      <c r="Q216" s="23" t="n"/>
      <c r="R216" s="25" t="inlineStr">
        <is>
          <t>Книга отечественного учёного А.П. Нечаева «Чудеса без чудес», третье издание которой вышло под редакцией известного популяризатора науки Я.И. Перельмана, снова выходит в свет, на этот раз — с комментарием, адаптирующим ее к современным реалиям. На ее страницах опыты и эксперименты демонстрируют различные физические законы и занимательно вовлекают в изучение науки. Веселые, интересные, нисколько не растерявшие за почти век своей актуальности, опыты просты по своей природе, их исполнение не требует мудрёных расчетов и формул, которых и вовсе нет в этой книге. Театр теней, домашний вулкан, комнатный воздушный шар, калейдоскоп, отважный игрушечный водолаз и другие увлекательные забавы, дополненные занятными и наглядно изложенными фактами из истории, абсолютно доступны только готовящимся познакомиться с физикой. Они придутся по душе как детям, так и их родителям, и хорошо подойдут для совместных занятий.</t>
        </is>
      </c>
      <c r="S216" s="26">
        <f>HYPERLINK("http://www.cnpol.ru/covers/18215.jpg","фото на сайте")</f>
        <v/>
      </c>
    </row>
    <row r="217" ht="50.1" customHeight="1" s="3">
      <c r="A217" s="23" t="n"/>
      <c r="B217" s="24" t="inlineStr">
        <is>
          <t>18117</t>
        </is>
      </c>
      <c r="C217" s="23" t="inlineStr">
        <is>
          <t>АНЮГ</t>
        </is>
      </c>
      <c r="D217" s="23" t="inlineStr">
        <is>
          <t>Аренс В.</t>
        </is>
      </c>
      <c r="E217" s="23" t="inlineStr">
        <is>
          <t>Математические игры</t>
        </is>
      </c>
      <c r="F217" s="23" t="inlineStr">
        <is>
          <t>        </t>
        </is>
      </c>
      <c r="G217" s="23" t="n">
        <v>486</v>
      </c>
      <c r="H217" s="23" t="n">
        <v>10</v>
      </c>
      <c r="I217" s="23" t="n">
        <v>22</v>
      </c>
      <c r="J217" s="23" t="inlineStr">
        <is>
          <t>978-5-9524-5246-6</t>
        </is>
      </c>
      <c r="K217" s="23" t="inlineStr">
        <is>
          <t>84x108 1/32</t>
        </is>
      </c>
      <c r="L217" s="23" t="inlineStr">
        <is>
          <t>тв</t>
        </is>
      </c>
      <c r="M217" s="23" t="n">
        <v>160</v>
      </c>
      <c r="N217" s="23" t="n">
        <v>2018</v>
      </c>
      <c r="O217" s="23" t="n">
        <v>182</v>
      </c>
      <c r="P217" s="23" t="n"/>
      <c r="Q217" s="23" t="n"/>
      <c r="R217" s="25" t="n"/>
      <c r="S217" s="26">
        <f>HYPERLINK("http://www.cnpol.ru/covers/18117.jpg","фото на сайте")</f>
        <v/>
      </c>
    </row>
    <row r="218" ht="50.1" customHeight="1" s="3">
      <c r="A218" s="23" t="n"/>
      <c r="B218" s="24" t="inlineStr">
        <is>
          <t>17705</t>
        </is>
      </c>
      <c r="C218" s="23" t="inlineStr">
        <is>
          <t>АНЮГ</t>
        </is>
      </c>
      <c r="D218" s="23" t="inlineStr">
        <is>
          <t>Шуберт Г.</t>
        </is>
      </c>
      <c r="E218" s="23" t="inlineStr">
        <is>
          <t>Математические развлечения и игры</t>
        </is>
      </c>
      <c r="F218" s="23" t="inlineStr">
        <is>
          <t>        </t>
        </is>
      </c>
      <c r="G218" s="23" t="n">
        <v>486</v>
      </c>
      <c r="H218" s="23" t="n">
        <v>10</v>
      </c>
      <c r="I218" s="23" t="n">
        <v>16</v>
      </c>
      <c r="J218" s="23" t="inlineStr">
        <is>
          <t>978-5-9524-5239-8</t>
        </is>
      </c>
      <c r="K218" s="23" t="inlineStr">
        <is>
          <t>84x108 1/32</t>
        </is>
      </c>
      <c r="L218" s="23" t="inlineStr">
        <is>
          <t>тв</t>
        </is>
      </c>
      <c r="M218" s="23" t="n">
        <v>256</v>
      </c>
      <c r="N218" s="23" t="n">
        <v>2017</v>
      </c>
      <c r="O218" s="23" t="n">
        <v>236</v>
      </c>
      <c r="P218" s="23" t="n"/>
      <c r="Q218" s="23" t="n"/>
      <c r="R218" s="25" t="n"/>
      <c r="S218" s="26">
        <f>HYPERLINK("http://www.cnpol.ru/covers/17705.jpg","фото на сайте")</f>
        <v/>
      </c>
    </row>
    <row r="219" ht="50.1" customHeight="1" s="3">
      <c r="A219" s="23" t="n"/>
      <c r="B219" s="24" t="inlineStr">
        <is>
          <t>18308</t>
        </is>
      </c>
      <c r="C219" s="23" t="inlineStr">
        <is>
          <t>АНЮГ</t>
        </is>
      </c>
      <c r="D219" s="23" t="inlineStr">
        <is>
          <t>Тит Т.</t>
        </is>
      </c>
      <c r="E219" s="23" t="inlineStr">
        <is>
          <t>Научные забавы. Физические эксперименты, геометрические задачи, фокусы, игры и самоделки</t>
        </is>
      </c>
      <c r="F219" s="23" t="inlineStr">
        <is>
          <t>        </t>
        </is>
      </c>
      <c r="G219" s="23" t="n">
        <v>486</v>
      </c>
      <c r="H219" s="23" t="n">
        <v>10</v>
      </c>
      <c r="I219" s="23" t="n">
        <v>12</v>
      </c>
      <c r="J219" s="23" t="inlineStr">
        <is>
          <t>978-5-9524-5348-7</t>
        </is>
      </c>
      <c r="K219" s="23" t="inlineStr">
        <is>
          <t>84x108 1/32</t>
        </is>
      </c>
      <c r="L219" s="23" t="inlineStr">
        <is>
          <t>тв</t>
        </is>
      </c>
      <c r="M219" s="23" t="n">
        <v>352</v>
      </c>
      <c r="N219" s="23" t="n">
        <v>2018</v>
      </c>
      <c r="O219" s="23" t="n">
        <v>296</v>
      </c>
      <c r="P219" s="23" t="n"/>
      <c r="Q219" s="23" t="n"/>
      <c r="R219" s="25" t="n"/>
      <c r="S219" s="26">
        <f>HYPERLINK("http://www.cnpol.ru/covers/18308.jpg","фото на сайте")</f>
        <v/>
      </c>
    </row>
    <row r="220" ht="50.1" customHeight="1" s="3">
      <c r="A220" s="23" t="n"/>
      <c r="B220" s="24" t="inlineStr">
        <is>
          <t>10158</t>
        </is>
      </c>
      <c r="C220" s="23" t="inlineStr">
        <is>
          <t>АП</t>
        </is>
      </c>
      <c r="D220" s="23" t="inlineStr">
        <is>
          <t>Горшков</t>
        </is>
      </c>
      <c r="E220" s="23" t="inlineStr">
        <is>
          <t>Азбука праздника</t>
        </is>
      </c>
      <c r="F220" s="23" t="inlineStr">
        <is>
          <t>        </t>
        </is>
      </c>
      <c r="G220" s="23" t="n">
        <v>389</v>
      </c>
      <c r="H220" s="23" t="n">
        <v>10</v>
      </c>
      <c r="I220" s="23" t="n">
        <v>14</v>
      </c>
      <c r="J220" s="23" t="inlineStr">
        <is>
          <t>978-5-9524-3316-8</t>
        </is>
      </c>
      <c r="K220" s="23" t="inlineStr">
        <is>
          <t>84x108 1/32</t>
        </is>
      </c>
      <c r="L220" s="23" t="inlineStr">
        <is>
          <t>тв</t>
        </is>
      </c>
      <c r="M220" s="23" t="n">
        <v>320</v>
      </c>
      <c r="N220" s="23" t="n">
        <v>2008</v>
      </c>
      <c r="O220" s="23" t="n">
        <v>286</v>
      </c>
      <c r="P220" s="23" t="n"/>
      <c r="Q220" s="23" t="n"/>
      <c r="R220" s="25" t="inlineStr">
        <is>
          <t>Супертамада Александр Горшков  раскрывает свои профессиональные секреты. Свадьбы, юбилеи, корпоративные вечеринки и выпускные вечера… как организовать их, чтобы были довольны и гости, и "виновники", вы узнаете из этой книги.</t>
        </is>
      </c>
      <c r="S220" s="26">
        <f>HYPERLINK("http://www.cnpol.ru/covers/10158.jpg","фото на сайте")</f>
        <v/>
      </c>
    </row>
    <row r="221" ht="50.1" customHeight="1" s="3">
      <c r="A221" s="23" t="n"/>
      <c r="B221" s="24" t="inlineStr">
        <is>
          <t>11534</t>
        </is>
      </c>
      <c r="C221" s="23" t="inlineStr">
        <is>
          <t>АП</t>
        </is>
      </c>
      <c r="D221" s="23" t="inlineStr">
        <is>
          <t>Зимина Н.</t>
        </is>
      </c>
      <c r="E221" s="23" t="inlineStr">
        <is>
          <t>Утренники в детском саду Лучшие сценарии праздников для малышей</t>
        </is>
      </c>
      <c r="F221" s="23" t="inlineStr">
        <is>
          <t>        </t>
        </is>
      </c>
      <c r="G221" s="23" t="n">
        <v>134</v>
      </c>
      <c r="H221" s="23" t="n">
        <v>10</v>
      </c>
      <c r="I221" s="23" t="n">
        <v>30</v>
      </c>
      <c r="J221" s="23" t="inlineStr">
        <is>
          <t>978-5-9524-4643-4</t>
        </is>
      </c>
      <c r="K221" s="23" t="inlineStr">
        <is>
          <t>84x108 1/32 (обл)</t>
        </is>
      </c>
      <c r="L221" s="23" t="inlineStr">
        <is>
          <t>мяг</t>
        </is>
      </c>
      <c r="M221" s="23" t="n">
        <v>159</v>
      </c>
      <c r="N221" s="23" t="n">
        <v>2009</v>
      </c>
      <c r="O221" s="23" t="n">
        <v>96</v>
      </c>
      <c r="P221" s="23" t="n"/>
      <c r="Q221" s="23" t="n"/>
      <c r="R221" s="25" t="n"/>
      <c r="S221" s="26">
        <f>HYPERLINK("http://www.cnpol.ru/covers/11534.jpg","фото на сайте")</f>
        <v/>
      </c>
    </row>
    <row r="222" ht="50.1" customHeight="1" s="3">
      <c r="A222" s="23" t="n"/>
      <c r="B222" s="24" t="inlineStr">
        <is>
          <t>15823</t>
        </is>
      </c>
      <c r="C222" s="23" t="inlineStr">
        <is>
          <t>АСПЕ</t>
        </is>
      </c>
      <c r="D222" s="23" t="inlineStr">
        <is>
          <t>Аспе П.</t>
        </is>
      </c>
      <c r="E222" s="23" t="inlineStr">
        <is>
          <t>Дети Хроноса</t>
        </is>
      </c>
      <c r="F222" s="23" t="inlineStr">
        <is>
          <t>        </t>
        </is>
      </c>
      <c r="G222" s="23" t="n">
        <v>488</v>
      </c>
      <c r="H222" s="23" t="n">
        <v>10</v>
      </c>
      <c r="I222" s="23" t="n">
        <v>20</v>
      </c>
      <c r="J222" s="23" t="inlineStr">
        <is>
          <t>978-5-227-05628-3</t>
        </is>
      </c>
      <c r="K222" s="23" t="inlineStr">
        <is>
          <t>84x108 1/32</t>
        </is>
      </c>
      <c r="L222" s="23" t="inlineStr">
        <is>
          <t>Интегр</t>
        </is>
      </c>
      <c r="M222" s="23" t="n">
        <v>287</v>
      </c>
      <c r="N222" s="23" t="n">
        <v>2015</v>
      </c>
      <c r="O222" s="23" t="n">
        <v>264</v>
      </c>
      <c r="P222" s="23" t="n"/>
      <c r="Q222" s="23" t="n"/>
      <c r="R222" s="25" t="n"/>
      <c r="S222" s="26">
        <f>HYPERLINK("http://www.cnpol.ru/covers/15823.jpg","фото на сайте")</f>
        <v/>
      </c>
    </row>
    <row r="223" ht="50.1" customHeight="1" s="3">
      <c r="A223" s="23" t="n"/>
      <c r="B223" s="24" t="inlineStr">
        <is>
          <t>15606</t>
        </is>
      </c>
      <c r="C223" s="23" t="inlineStr">
        <is>
          <t>АСПЕ</t>
        </is>
      </c>
      <c r="D223" s="23" t="inlineStr">
        <is>
          <t>Аспе П.</t>
        </is>
      </c>
      <c r="E223" s="23" t="inlineStr">
        <is>
          <t>Квадрат тамплиеров</t>
        </is>
      </c>
      <c r="F223" s="23" t="inlineStr">
        <is>
          <t>        </t>
        </is>
      </c>
      <c r="G223" s="23" t="n">
        <v>488</v>
      </c>
      <c r="H223" s="23" t="n">
        <v>10</v>
      </c>
      <c r="I223" s="23" t="n">
        <v>16</v>
      </c>
      <c r="J223" s="23" t="inlineStr">
        <is>
          <t>978-5-227-05491-3</t>
        </is>
      </c>
      <c r="K223" s="23" t="inlineStr">
        <is>
          <t>84x108 1/32</t>
        </is>
      </c>
      <c r="L223" s="23" t="inlineStr">
        <is>
          <t>Интегр</t>
        </is>
      </c>
      <c r="M223" s="23" t="n">
        <v>286</v>
      </c>
      <c r="N223" s="23" t="n">
        <v>2014</v>
      </c>
      <c r="O223" s="23" t="n">
        <v>250</v>
      </c>
      <c r="P223" s="23" t="n"/>
      <c r="Q223" s="23" t="n"/>
      <c r="R223" s="25" t="inlineStr">
        <is>
          <t>В прекрасном по­европейски спокойном городе Брюгге произошло более чем странное происшествие: двое неизвестных проникли в роскошный магазин «Дегроф. Бриллианты и ювелирные изделия», но, ничего не похитив, собрали драгоценности стоимостью двадцать пять миллионов евро и опустили в соляную кислоту. В записке, адресованной владельцу магазина, было написано пять таинственных слов на латыни. Комиссар полиции Ван­Ин, профессионал и детектив от Бога, убежден: непонятный поступок зло­умышленников — лишь предупреждение, готовятся новые преступления, и направлены они против Дегрофа. А причину надо искать в прошлом этого человека…</t>
        </is>
      </c>
      <c r="S223" s="26">
        <f>HYPERLINK("http://www.cnpol.ru/covers/15606.jpg","фото на сайте")</f>
        <v/>
      </c>
    </row>
    <row r="224" ht="50.1" customHeight="1" s="3">
      <c r="A224" s="23" t="n"/>
      <c r="B224" s="24" t="inlineStr">
        <is>
          <t>15949</t>
        </is>
      </c>
      <c r="C224" s="23" t="inlineStr">
        <is>
          <t>АФГАН</t>
        </is>
      </c>
      <c r="D224" s="23" t="inlineStr">
        <is>
          <t>Фролов И.А.</t>
        </is>
      </c>
      <c r="E224" s="23" t="inlineStr">
        <is>
          <t>Бортжурнал 57-22-10. Хроники вертолетной эскадрильи</t>
        </is>
      </c>
      <c r="F224" s="23" t="inlineStr">
        <is>
          <t>        </t>
        </is>
      </c>
      <c r="G224" s="23" t="n">
        <v>672</v>
      </c>
      <c r="H224" s="23" t="n">
        <v>10</v>
      </c>
      <c r="I224" s="23" t="n">
        <v>10</v>
      </c>
      <c r="J224" s="23" t="inlineStr">
        <is>
          <t>978-5-227-05571-2</t>
        </is>
      </c>
      <c r="K224" s="23" t="inlineStr">
        <is>
          <t>84x108 1/32</t>
        </is>
      </c>
      <c r="L224" s="23" t="inlineStr">
        <is>
          <t>тв</t>
        </is>
      </c>
      <c r="M224" s="23" t="n">
        <v>416</v>
      </c>
      <c r="N224" s="23" t="n">
        <v>2015</v>
      </c>
      <c r="O224" s="23" t="n">
        <v>314</v>
      </c>
      <c r="P224" s="23" t="n"/>
      <c r="Q224" s="23" t="n"/>
      <c r="R224" s="25" t="inlineStr">
        <is>
          <t>«Бортжурнал 57-22-10» — книга о военных вертолетчиках и о вой­не. Но не о войне в привычном смысле этого слова. Дальний Восток, Афганистан, конец 80-х прошлого века, вертолеты, вылеты учебные и боевые — это место, время и обстоятельства действия. Главные же герои романа в историях — веселая молодость, настоящая дружба и настоящая любовь. Как уживаются война и мир, физика и лирика, пафос и смех — об этом книга Игоря Фролова.</t>
        </is>
      </c>
      <c r="S224" s="26">
        <f>HYPERLINK("http://www.cnpol.ru/covers/15949.jpg","фото на сайте")</f>
        <v/>
      </c>
    </row>
    <row r="225" ht="50.1" customHeight="1" s="3">
      <c r="A225" s="23" t="n"/>
      <c r="B225" s="24" t="inlineStr">
        <is>
          <t>15632</t>
        </is>
      </c>
      <c r="C225" s="23" t="inlineStr">
        <is>
          <t>АФГАН</t>
        </is>
      </c>
      <c r="D225" s="23" t="inlineStr">
        <is>
          <t>Гергель А.Н.</t>
        </is>
      </c>
      <c r="E225" s="23" t="inlineStr">
        <is>
          <t>Возвращение на Арвиндж</t>
        </is>
      </c>
      <c r="F225" s="23" t="inlineStr">
        <is>
          <t>        </t>
        </is>
      </c>
      <c r="G225" s="23" t="n">
        <v>534</v>
      </c>
      <c r="H225" s="23" t="n">
        <v>10</v>
      </c>
      <c r="I225" s="23" t="n">
        <v>14</v>
      </c>
      <c r="J225" s="23" t="inlineStr">
        <is>
          <t>978-5-227-05526-2</t>
        </is>
      </c>
      <c r="K225" s="23" t="inlineStr">
        <is>
          <t>84x108 1/32</t>
        </is>
      </c>
      <c r="L225" s="23" t="inlineStr">
        <is>
          <t>тв</t>
        </is>
      </c>
      <c r="M225" s="23" t="n">
        <v>319</v>
      </c>
      <c r="N225" s="23" t="n">
        <v>2014</v>
      </c>
      <c r="O225" s="23" t="n">
        <v>262</v>
      </c>
      <c r="P225" s="23" t="n"/>
      <c r="Q225" s="23" t="n"/>
      <c r="R225" s="25" t="inlineStr">
        <is>
          <t>Книга участника боев в Афганистане Александра Гергеля продолжает серию, посвященную 25-летию вывода наших войск из этой страны. Сюжеты своих новелл автор, прослуживший два года в северо-восточной провинции Бадахшан, почерпнул из повседневной жизни своего подразделения._x000D_
Жизнь, где бы она ни проходила, полна самых различных происшествий и эмоций: здесь слезы сменяются смехом, суровые боевые сцены прерываются лирическими отступлениями, и никакая война не запретит людям любить..._x000D_
Прекрасный слог, динамичные сцены, юмор и ирония — все это присутствует в предлагаемом сборнике, делая чтение легким и в то же время сохраняя у читателя чувство сопричастности происходящему и осознание того, что истории не выдуманы.</t>
        </is>
      </c>
      <c r="S225" s="26">
        <f>HYPERLINK("http://www.cnpol.ru/covers/15632.jpg","фото на сайте")</f>
        <v/>
      </c>
    </row>
    <row r="226" ht="50.1" customHeight="1" s="3">
      <c r="A226" s="23" t="n"/>
      <c r="B226" s="24" t="inlineStr">
        <is>
          <t>15262</t>
        </is>
      </c>
      <c r="C226" s="23" t="inlineStr">
        <is>
          <t>АФГАН</t>
        </is>
      </c>
      <c r="D226" s="23" t="inlineStr">
        <is>
          <t>Осипенко В.В.</t>
        </is>
      </c>
      <c r="E226" s="23" t="inlineStr">
        <is>
          <t>Десантный прыжок</t>
        </is>
      </c>
      <c r="F226" s="23" t="inlineStr">
        <is>
          <t>        </t>
        </is>
      </c>
      <c r="G226" s="23" t="n">
        <v>554</v>
      </c>
      <c r="H226" s="23" t="n">
        <v>10</v>
      </c>
      <c r="I226" s="23" t="n">
        <v>10</v>
      </c>
      <c r="J226" s="23" t="inlineStr">
        <is>
          <t>978-5-227-05198-1</t>
        </is>
      </c>
      <c r="K226" s="23" t="inlineStr">
        <is>
          <t>84x108 1/32</t>
        </is>
      </c>
      <c r="L226" s="23" t="inlineStr">
        <is>
          <t>тв</t>
        </is>
      </c>
      <c r="M226" s="23" t="n">
        <v>383</v>
      </c>
      <c r="N226" s="23" t="n">
        <v>2014</v>
      </c>
      <c r="O226" s="23" t="n">
        <v>296</v>
      </c>
      <c r="P226" s="23" t="n"/>
      <c r="Q226" s="23" t="n"/>
      <c r="R226" s="25" t="inlineStr">
        <is>
          <t>Десантный прыжок — это не только история выбора своей судьбы, но и фрагмент истории родной страны. Служба Владимира Осипенко пришлась на последнюю четверть XX века. Поэтому она вместила в себя и Афганистан, и «горячие точки» распадающегося СССР, и проблемы 90-х…_x000D_
Чем больше звезд на погонах — тем выше ответственность. И тем труднее выбор между карьерой и совестью. С предельной откровенностью автор открывает технологию «командирской кухни» — внутренний процесс принятия решений._x000D_
Книга достойно продолжает традицию военных мемуаров. Автор талантливый рассказчик, с тонким художественным вкусом и чувством меры. Все эпизоды объединяются в книге общностью ритма и интонации, а все вместе — узнаваемый портрет человека и его времени.</t>
        </is>
      </c>
      <c r="S226" s="26">
        <f>HYPERLINK("http://www.cnpol.ru/covers/15262.jpg","фото на сайте")</f>
        <v/>
      </c>
    </row>
    <row r="227" ht="50.1" customHeight="1" s="3">
      <c r="A227" s="23" t="n"/>
      <c r="B227" s="24" t="inlineStr">
        <is>
          <t>16508</t>
        </is>
      </c>
      <c r="C227" s="23" t="inlineStr">
        <is>
          <t>АФГАН</t>
        </is>
      </c>
      <c r="D227" s="23" t="inlineStr">
        <is>
          <t>Прокудин Н.</t>
        </is>
      </c>
      <c r="E227" s="23" t="inlineStr">
        <is>
          <t>За речкой шла война...</t>
        </is>
      </c>
      <c r="F227" s="23" t="inlineStr">
        <is>
          <t>        </t>
        </is>
      </c>
      <c r="G227" s="23" t="n">
        <v>534</v>
      </c>
      <c r="H227" s="23" t="n">
        <v>10</v>
      </c>
      <c r="I227" s="23" t="n">
        <v>10</v>
      </c>
      <c r="J227" s="23" t="inlineStr">
        <is>
          <t>978-5-227-06441-7</t>
        </is>
      </c>
      <c r="K227" s="23" t="inlineStr">
        <is>
          <t>84x108 1/32</t>
        </is>
      </c>
      <c r="L227" s="23" t="inlineStr">
        <is>
          <t>тв</t>
        </is>
      </c>
      <c r="M227" s="23" t="n">
        <v>320</v>
      </c>
      <c r="N227" s="23" t="n">
        <v>2016</v>
      </c>
      <c r="O227" s="23" t="n">
        <v>268</v>
      </c>
      <c r="P227" s="23" t="n"/>
      <c r="Q227" s="23" t="n"/>
      <c r="R227" s="25" t="inlineStr">
        <is>
          <t>Действие разворачивается в канун перестройки в забытом богом пыльном и грязном провинциальном гарнизоне, затерянном в песках Туркестана в период войны в Афганистане. Городок расположен на задворках Советской империи: беспросветная тоска, множество бытовых проблем, сложные межнациональные взаимоотношения, служебный тупик для младших офицеров, полное отсутствие дальнейших перспектив… Рассказ может показаться выдумкой, насмешкой или даже глумлением над армией. Такого, мол, во времена построения социализма не могло произойти, а моральный облик со­ветских людей всегда был образцовым. Увы, хотите — верьте, хотите — нет, но всё изложенное на этих страницах — чистейшая правда._x000D_
Жизнь офицеров и их семей — это и комедия, вплоть до фарса, и драма, вплоть до настоящей трагедии с шекспировскими страстями. Всего понемножку. Но все это было... О чем повествование? О том, чего нужно стыдиться, и о том, чем можно гордиться, — как посмотреть. Суть произведения — не все золото, что блестит, а среди «разгильдяев» встречается немало надежных и порядочных ребят. Главный герой лейтенант Никита Ромашкин в этом гарнизоне служит, живет, влюбляется и веселится. В конце концов почти все участники повествования попадают на войну, которая идет рядом, за речкой, в Афганистане..._x000D_
Слог автора эмоционален и ярок, стиль отличается удивительной живостью. Советуем прочитать молодежи, чтобы знали, ветеранам-афганцам, чтобы вспомнили, и всем, всем, всем, кто любит хорошие книги.</t>
        </is>
      </c>
      <c r="S227" s="26">
        <f>HYPERLINK("http://www.cnpol.ru/covers/16508.jpg","фото на сайте")</f>
        <v/>
      </c>
    </row>
    <row r="228" ht="50.1" customHeight="1" s="3">
      <c r="A228" s="23" t="n"/>
      <c r="B228" s="24" t="inlineStr">
        <is>
          <t>15079</t>
        </is>
      </c>
      <c r="C228" s="23" t="inlineStr">
        <is>
          <t>АФГАН</t>
        </is>
      </c>
      <c r="D228" s="23" t="inlineStr">
        <is>
          <t>Карелин А.</t>
        </is>
      </c>
      <c r="E228" s="23" t="inlineStr">
        <is>
          <t>Регистан где-то рядом. Докуметальная проза. Повести и рассказы</t>
        </is>
      </c>
      <c r="F228" s="23" t="inlineStr">
        <is>
          <t>        </t>
        </is>
      </c>
      <c r="G228" s="23" t="n">
        <v>672</v>
      </c>
      <c r="H228" s="23" t="n">
        <v>10</v>
      </c>
      <c r="I228" s="23" t="n">
        <v>8</v>
      </c>
      <c r="J228" s="23" t="inlineStr">
        <is>
          <t>978-5-227-05157-8</t>
        </is>
      </c>
      <c r="K228" s="23" t="inlineStr">
        <is>
          <t>84x108 1/32</t>
        </is>
      </c>
      <c r="L228" s="23" t="inlineStr">
        <is>
          <t>тв</t>
        </is>
      </c>
      <c r="M228" s="23" t="n">
        <v>573</v>
      </c>
      <c r="N228" s="23" t="n">
        <v>2014</v>
      </c>
      <c r="O228" s="23" t="n">
        <v>410</v>
      </c>
      <c r="P228" s="23" t="n"/>
      <c r="Q228" s="23" t="n"/>
      <c r="R228" s="25" t="n"/>
      <c r="S228" s="26">
        <f>HYPERLINK("http://www.cnpol.ru/covers/15079.jpg","фото на сайте")</f>
        <v/>
      </c>
    </row>
    <row r="229" ht="50.1" customHeight="1" s="3">
      <c r="A229" s="23" t="n"/>
      <c r="B229" s="24" t="inlineStr">
        <is>
          <t>15792</t>
        </is>
      </c>
      <c r="C229" s="23" t="inlineStr">
        <is>
          <t>АФГАН</t>
        </is>
      </c>
      <c r="D229" s="23" t="inlineStr">
        <is>
          <t>Носатов В.И.</t>
        </is>
      </c>
      <c r="E229" s="23" t="inlineStr">
        <is>
          <t>Фарьябский дневник</t>
        </is>
      </c>
      <c r="F229" s="23" t="inlineStr">
        <is>
          <t>        </t>
        </is>
      </c>
      <c r="G229" s="23" t="n">
        <v>615</v>
      </c>
      <c r="H229" s="23" t="n">
        <v>10</v>
      </c>
      <c r="I229" s="23" t="n">
        <v>12</v>
      </c>
      <c r="J229" s="23" t="inlineStr">
        <is>
          <t>978-5-227-05557-6</t>
        </is>
      </c>
      <c r="K229" s="23" t="inlineStr">
        <is>
          <t>84x108 1/32</t>
        </is>
      </c>
      <c r="L229" s="23" t="inlineStr">
        <is>
          <t>тв</t>
        </is>
      </c>
      <c r="M229" s="23" t="n">
        <v>381</v>
      </c>
      <c r="N229" s="23" t="n">
        <v>2015</v>
      </c>
      <c r="O229" s="23" t="n">
        <v>292</v>
      </c>
      <c r="P229" s="23" t="n"/>
      <c r="Q229" s="23" t="n"/>
      <c r="R229" s="25" t="n"/>
      <c r="S229" s="26">
        <f>HYPERLINK("http://www.cnpol.ru/covers/15792.jpg","фото на сайте")</f>
        <v/>
      </c>
    </row>
    <row r="230" ht="50.1" customHeight="1" s="3">
      <c r="A230" s="23" t="inlineStr">
        <is>
          <t>Д</t>
        </is>
      </c>
      <c r="B230" s="24" t="inlineStr">
        <is>
          <t>21677</t>
        </is>
      </c>
      <c r="C230" s="23" t="inlineStr">
        <is>
          <t>АФОРИЗМЫ</t>
        </is>
      </c>
      <c r="D230" s="23" t="inlineStr">
        <is>
          <t>Барсов С.Б.</t>
        </is>
      </c>
      <c r="E230" s="23" t="inlineStr">
        <is>
          <t>Вечные истины на вечной латыни. De verbo in verbum: Латинские изречения</t>
        </is>
      </c>
      <c r="F230" s="23" t="inlineStr">
        <is>
          <t>        </t>
        </is>
      </c>
      <c r="G230" s="23" t="n">
        <v>733</v>
      </c>
      <c r="H230" s="23" t="n">
        <v>10</v>
      </c>
      <c r="I230" s="23" t="n">
        <v>8</v>
      </c>
      <c r="J230" s="23" t="inlineStr">
        <is>
          <t>978-5-227-11068-8</t>
        </is>
      </c>
      <c r="K230" s="23" t="inlineStr">
        <is>
          <t>70x100 1/32</t>
        </is>
      </c>
      <c r="L230" s="23" t="inlineStr">
        <is>
          <t>тв</t>
        </is>
      </c>
      <c r="M230" s="23" t="n">
        <v>448</v>
      </c>
      <c r="N230" s="23" t="n">
        <v>2025</v>
      </c>
      <c r="O230" s="23" t="n">
        <v>355</v>
      </c>
      <c r="P230" s="23" t="n"/>
      <c r="Q230" s="23" t="n"/>
      <c r="R230" s="25" t="inlineStr">
        <is>
          <t>В этой книге собрано свыше 2000 крылатых латинских выражений и служебных оборотов, часто встречающихся в современном языковом обиходе. Для удобства читателей приводится алфавитный указатель русских лингвистических эквивалентов._x000D_
Книга предназначается для широкого круга читателей.</t>
        </is>
      </c>
      <c r="S230" s="26">
        <f>HYPERLINK("http://www.cnpol.ru/covers/21677.jpg","фото на сайте")</f>
        <v/>
      </c>
    </row>
    <row r="231" ht="50.1" customHeight="1" s="3">
      <c r="A231" s="23" t="n"/>
      <c r="B231" s="24" t="inlineStr">
        <is>
          <t>11314</t>
        </is>
      </c>
      <c r="C231" s="23" t="inlineStr">
        <is>
          <t>АФОРИЗМЫ</t>
        </is>
      </c>
      <c r="D231" s="23" t="inlineStr">
        <is>
          <t>Сост.Д.Л.Буркхардт</t>
        </is>
      </c>
      <c r="E231" s="23" t="inlineStr">
        <is>
          <t>Жемчужины арабской мудрости</t>
        </is>
      </c>
      <c r="F231" s="23" t="inlineStr">
        <is>
          <t>        </t>
        </is>
      </c>
      <c r="G231" s="23" t="n">
        <v>428</v>
      </c>
      <c r="H231" s="23" t="n">
        <v>10</v>
      </c>
      <c r="I231" s="23" t="n">
        <v>14</v>
      </c>
      <c r="J231" s="23" t="inlineStr">
        <is>
          <t>978-5-9524-4414-0</t>
        </is>
      </c>
      <c r="K231" s="23" t="inlineStr">
        <is>
          <t>70x100 1/32</t>
        </is>
      </c>
      <c r="L231" s="23" t="inlineStr">
        <is>
          <t>тв</t>
        </is>
      </c>
      <c r="M231" s="23" t="n">
        <v>379</v>
      </c>
      <c r="N231" s="23" t="n">
        <v>2009</v>
      </c>
      <c r="O231" s="23" t="n">
        <v>268</v>
      </c>
      <c r="P231" s="23" t="n"/>
      <c r="Q231" s="23" t="n"/>
      <c r="R231" s="25" t="inlineStr">
        <is>
          <t>За многие века египтяне, увлеченные игрой аллюзий и красочностью метафор, отточили кристаллы мысли в компактные формы народных афоризмов. В этот сборник вошли те из них, которые прошли проверку временем. Реалии традиционного общества, особенности поведения и привычек нашли отражение в языке в виде устойчивых выражений. Они были подслушаны и записаны на городской площади, в гуще толпы, на базаре. Из них можно узнать о том, как на самом деле арабы судят о вещах и людях. Эта книга заинтересует не только любителей афоризмов, но и тех, кто серьезно решил изучать этот язык, так как русский текст сопровождается подлинным написанием этих выражений на диалекте арабов Каира.</t>
        </is>
      </c>
      <c r="S231" s="26">
        <f>HYPERLINK("http://www.cnpol.ru/covers/11314.jpg","фото на сайте")</f>
        <v/>
      </c>
    </row>
    <row r="232" ht="50.1" customHeight="1" s="3">
      <c r="A232" s="23" t="n"/>
      <c r="B232" s="24" t="inlineStr">
        <is>
          <t>20918</t>
        </is>
      </c>
      <c r="C232" s="23" t="inlineStr">
        <is>
          <t>АФОРИЗМЫ</t>
        </is>
      </c>
      <c r="D232" s="23" t="inlineStr">
        <is>
          <t>Вдовин В.Н.</t>
        </is>
      </c>
      <c r="E232" s="23" t="inlineStr">
        <is>
          <t>Поток сознания. Афоризмы с харизмой</t>
        </is>
      </c>
      <c r="F232" s="23" t="inlineStr">
        <is>
          <t>        </t>
        </is>
      </c>
      <c r="G232" s="23" t="n">
        <v>567</v>
      </c>
      <c r="H232" s="23" t="n">
        <v>10</v>
      </c>
      <c r="I232" s="23" t="n">
        <v>8</v>
      </c>
      <c r="J232" s="23" t="inlineStr">
        <is>
          <t>978-5-227-10551-6</t>
        </is>
      </c>
      <c r="K232" s="23" t="inlineStr">
        <is>
          <t>70x108 1/32</t>
        </is>
      </c>
      <c r="L232" s="23" t="inlineStr">
        <is>
          <t>тв</t>
        </is>
      </c>
      <c r="M232" s="23" t="n">
        <v>191</v>
      </c>
      <c r="N232" s="23" t="n">
        <v>2023</v>
      </c>
      <c r="O232" s="23" t="n">
        <v>230</v>
      </c>
      <c r="P232" s="23" t="n"/>
      <c r="Q232" s="23" t="n"/>
      <c r="R232" s="25" t="inlineStr">
        <is>
          <t>Валерий Вдовин — оптимистичный, жизнелюбивый человек с большим чувством юмора. Уже много лет подряд он собирает и сочиняет лаконичные, остроумные изречения. Все афоризмы, приведённые в этом сборнике, так или иначе прозвучали в его жизни: многое он изрёк сам, что-то подслушал, додумал и изменил. Бывает, что на авторство одного афоризма претендует несколько человек, но ведь даже знаменитые законы физики приходили одновременно в несколько светлых умов! Так что не исключено, что что-то вам покажется уже знакомым, но всё равно улыбнитесь, смех продлевает жизнь и улучшает самочувствие!_x000D__x000D_
Талантливые, искромётные стихи, навеянные афоризмами Вдовина, специально для этой книги написала подруга автора — Алина Серёгина.</t>
        </is>
      </c>
      <c r="S232" s="26">
        <f>HYPERLINK("http://www.cnpol.ru/covers/20918.jpg","фото на сайте")</f>
        <v/>
      </c>
    </row>
    <row r="233" ht="50.1" customHeight="1" s="3">
      <c r="A233" s="23" t="n"/>
      <c r="B233" s="24" t="inlineStr">
        <is>
          <t>3505</t>
        </is>
      </c>
      <c r="C233" s="23" t="inlineStr">
        <is>
          <t>АЭ</t>
        </is>
      </c>
      <c r="D233" s="23" t="inlineStr">
        <is>
          <t>Берджесс Э.</t>
        </is>
      </c>
      <c r="E233" s="23" t="inlineStr">
        <is>
          <t>Враг под покрывалом</t>
        </is>
      </c>
      <c r="F233" s="23" t="inlineStr">
        <is>
          <t>        </t>
        </is>
      </c>
      <c r="G233" s="23" t="n">
        <v>269</v>
      </c>
      <c r="H233" s="23" t="n">
        <v>10</v>
      </c>
      <c r="I233" s="23" t="n">
        <v>16</v>
      </c>
      <c r="J233" s="23" t="inlineStr">
        <is>
          <t>5-9524-0057-4</t>
        </is>
      </c>
      <c r="K233" s="23" t="inlineStr">
        <is>
          <t>76x90 1/32</t>
        </is>
      </c>
      <c r="L233" s="23" t="inlineStr">
        <is>
          <t>тв</t>
        </is>
      </c>
      <c r="M233" s="23" t="n">
        <v>237</v>
      </c>
      <c r="N233" s="23" t="n">
        <v>2002</v>
      </c>
      <c r="O233" s="23" t="n">
        <v>164</v>
      </c>
      <c r="P233" s="23" t="n"/>
      <c r="Q233" s="23" t="n"/>
      <c r="R233" s="25" t="inlineStr">
        <is>
          <t>Крушение британского колониального режима в Maнули меняет судьбы четырех белых мужчин, которые не в силах изменить неумолимый ход событий. Крупный чиновник Толбот утешается неумеренной страстью к еде. Виктор Краббе поглощен чувством вины перед погибшей первой женой и не замечает, как теряет вторую. Юрист Хардман вынужден принять ислам и жениться на богатой вдове-малайке. А священник Лафорг мечтает обратить китайцев в католическую веру. О предыстории судеб англичан Виктора и Фенеллы Kpaфбе рассказано в романе "Время Тигра".</t>
        </is>
      </c>
      <c r="S233" s="26">
        <f>HYPERLINK("http://www.cnpol.ru/covers/3505.jpg","фото на сайте")</f>
        <v/>
      </c>
    </row>
    <row r="234" ht="50.1" customHeight="1" s="3">
      <c r="A234" s="23" t="n"/>
      <c r="B234" s="24" t="inlineStr">
        <is>
          <t>3597</t>
        </is>
      </c>
      <c r="C234" s="23" t="inlineStr">
        <is>
          <t>АЭ</t>
        </is>
      </c>
      <c r="D234" s="23" t="inlineStr">
        <is>
          <t>Берджесс Э.</t>
        </is>
      </c>
      <c r="E234" s="23" t="inlineStr">
        <is>
          <t>Мистер Эндерби изнутри</t>
        </is>
      </c>
      <c r="F234" s="23" t="inlineStr">
        <is>
          <t>        </t>
        </is>
      </c>
      <c r="G234" s="23" t="n">
        <v>389</v>
      </c>
      <c r="H234" s="23" t="n">
        <v>10</v>
      </c>
      <c r="I234" s="23" t="n">
        <v>14</v>
      </c>
      <c r="J234" s="23" t="inlineStr">
        <is>
          <t>5-9524-0162-7</t>
        </is>
      </c>
      <c r="K234" s="23" t="inlineStr">
        <is>
          <t>76x90 1/32</t>
        </is>
      </c>
      <c r="L234" s="23" t="inlineStr">
        <is>
          <t>тв</t>
        </is>
      </c>
      <c r="M234" s="23" t="n">
        <v>269</v>
      </c>
      <c r="N234" s="23" t="n">
        <v>2002</v>
      </c>
      <c r="O234" s="23" t="n">
        <v>182</v>
      </c>
      <c r="P234" s="23" t="n"/>
      <c r="Q234" s="23" t="n"/>
      <c r="R234" s="25" t="n"/>
      <c r="S234" s="26">
        <f>HYPERLINK("http://www.cnpol.ru/covers/3597.jpg","фото на сайте")</f>
        <v/>
      </c>
    </row>
    <row r="235" ht="50.1" customHeight="1" s="3">
      <c r="A235" s="23" t="n"/>
      <c r="B235" s="24" t="inlineStr">
        <is>
          <t>20373</t>
        </is>
      </c>
      <c r="C235" s="23" t="inlineStr">
        <is>
          <t>АЮРВЕДА</t>
        </is>
      </c>
      <c r="D235" s="23" t="inlineStr">
        <is>
          <t>Раздобурдин Я.Н</t>
        </is>
      </c>
      <c r="E235" s="23" t="inlineStr">
        <is>
          <t>Аюрведа. Пособие по женскому здоровью</t>
        </is>
      </c>
      <c r="F235" s="23" t="inlineStr">
        <is>
          <t>        </t>
        </is>
      </c>
      <c r="G235" s="23" t="n">
        <v>301</v>
      </c>
      <c r="H235" s="23" t="n">
        <v>10</v>
      </c>
      <c r="I235" s="23" t="n">
        <v>12</v>
      </c>
      <c r="J235" s="23" t="inlineStr">
        <is>
          <t>978-5-227-09902-0</t>
        </is>
      </c>
      <c r="K235" s="23" t="inlineStr">
        <is>
          <t>84x108 1/32 (обл)</t>
        </is>
      </c>
      <c r="L235" s="23" t="inlineStr">
        <is>
          <t>мяг</t>
        </is>
      </c>
      <c r="M235" s="23" t="n">
        <v>352</v>
      </c>
      <c r="N235" s="23" t="n">
        <v>2022</v>
      </c>
      <c r="O235" s="23" t="n">
        <v>208</v>
      </c>
      <c r="P235" s="23" t="n"/>
      <c r="Q235" s="23" t="n"/>
      <c r="R235" s="25" t="inlineStr">
        <is>
          <t>Четвертая книга из серии «Инструкция по использованию жизни» рассказывает об аюрведических методах лечения женских болезней, ­затрагивает вопросы счастья, духовности, красоты внешней и внутренней. Описано применение индийских травяных составов и растений наших широт для лечения мастопатий, миом, поликистоза, бесплодия и прочих женских проблем. Книга написана максимально просто и легко, она будет интересна не только специалистам Аюрведы, но и самому широкому кругу читателей, неравнодушных к своему здоровью.</t>
        </is>
      </c>
      <c r="S235" s="26">
        <f>HYPERLINK("http://www.cnpol.ru/covers/20373.jpg","фото на сайте")</f>
        <v/>
      </c>
    </row>
    <row r="236" ht="50.1" customHeight="1" s="3">
      <c r="A236" s="23" t="inlineStr">
        <is>
          <t>Д</t>
        </is>
      </c>
      <c r="B236" s="24" t="inlineStr">
        <is>
          <t>21349</t>
        </is>
      </c>
      <c r="C236" s="23" t="inlineStr">
        <is>
          <t>АЮРВЕДА</t>
        </is>
      </c>
      <c r="D236" s="23" t="inlineStr">
        <is>
          <t>Раздобурдин Я.Н</t>
        </is>
      </c>
      <c r="E236" s="23" t="inlineStr">
        <is>
          <t>Аюрведа. Пособие по мужскому здоровью</t>
        </is>
      </c>
      <c r="F236" s="23" t="inlineStr">
        <is>
          <t>        </t>
        </is>
      </c>
      <c r="G236" s="23" t="n">
        <v>301</v>
      </c>
      <c r="H236" s="23" t="n">
        <v>10</v>
      </c>
      <c r="I236" s="23" t="n">
        <v>9</v>
      </c>
      <c r="J236" s="23" t="inlineStr">
        <is>
          <t>978-5-227-10120-4</t>
        </is>
      </c>
      <c r="K236" s="23" t="inlineStr">
        <is>
          <t>84x108 1/32 (обл)</t>
        </is>
      </c>
      <c r="L236" s="23" t="inlineStr">
        <is>
          <t>мяг</t>
        </is>
      </c>
      <c r="M236" s="23" t="n">
        <v>319</v>
      </c>
      <c r="N236" s="23" t="n">
        <v>2024</v>
      </c>
      <c r="O236" s="23" t="n">
        <v>381</v>
      </c>
      <c r="P236" s="23" t="n"/>
      <c r="Q236" s="23" t="n"/>
      <c r="R236" s="25" t="inlineStr">
        <is>
          <t>Шестая книга серии рассказывает об аюрведических методах лечения мужских болезней, затрагивает вопросы счастья, духовности, достижения материальных благ. Описано применение индийских, китайских травяных составов и растений наших широт. Книги доктора Яна Раздобурдина — это блестящий синтез Аюрведы, славянской фитотерапии и современных медицинских исследований. _x000D_
Аюрведа целостна и универсальна, применение этой древней медицинской системы может дать фантастические результаты.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Книга написана максимально просто и легко, она будет интересна не только специалистам Аюрведы, но и широкому кругу читателей.</t>
        </is>
      </c>
      <c r="S236" s="26">
        <f>HYPERLINK("http://www.cnpol.ru/covers/21349.jpg","фото на сайте")</f>
        <v/>
      </c>
    </row>
    <row r="237" ht="50.1" customHeight="1" s="3">
      <c r="A237" s="23" t="n"/>
      <c r="B237" s="24" t="inlineStr">
        <is>
          <t>18702</t>
        </is>
      </c>
      <c r="C237" s="23" t="inlineStr">
        <is>
          <t>АЮРВЕДА</t>
        </is>
      </c>
      <c r="D237" s="23" t="inlineStr">
        <is>
          <t>Раздобурдин Я.Н</t>
        </is>
      </c>
      <c r="E237" s="23" t="inlineStr">
        <is>
          <t>Аюрведа. Пособие по мужскому и женскому здоровью</t>
        </is>
      </c>
      <c r="F237" s="23" t="inlineStr">
        <is>
          <t>        </t>
        </is>
      </c>
      <c r="G237" s="23" t="n">
        <v>743</v>
      </c>
      <c r="H237" s="23" t="n">
        <v>10</v>
      </c>
      <c r="I237" s="23" t="n">
        <v>8</v>
      </c>
      <c r="J237" s="23" t="inlineStr">
        <is>
          <t>978-5-227-08621-1</t>
        </is>
      </c>
      <c r="K237" s="23" t="inlineStr">
        <is>
          <t>84x108 1/32</t>
        </is>
      </c>
      <c r="L237" s="23" t="inlineStr">
        <is>
          <t>тв</t>
        </is>
      </c>
      <c r="M237" s="23" t="n">
        <v>512</v>
      </c>
      <c r="N237" s="23" t="n">
        <v>2019</v>
      </c>
      <c r="O237" s="23" t="n">
        <v>380</v>
      </c>
      <c r="P237" s="23" t="n"/>
      <c r="Q237" s="23" t="n"/>
      <c r="R237" s="25" t="n"/>
      <c r="S237" s="26">
        <f>HYPERLINK("http://www.cnpol.ru/covers/18702.jpg","фото на сайте")</f>
        <v/>
      </c>
    </row>
    <row r="238" ht="50.1" customHeight="1" s="3">
      <c r="A238" s="23" t="inlineStr">
        <is>
          <t>Д</t>
        </is>
      </c>
      <c r="B238" s="24" t="inlineStr">
        <is>
          <t>21722</t>
        </is>
      </c>
      <c r="C238" s="23" t="inlineStr">
        <is>
          <t>АЮРВЕДА</t>
        </is>
      </c>
      <c r="D238" s="23" t="inlineStr">
        <is>
          <t>Раздобурдин Я.Н</t>
        </is>
      </c>
      <c r="E238" s="23" t="inlineStr">
        <is>
          <t>Аюрведа. Простые рецепты вечной молодости</t>
        </is>
      </c>
      <c r="F238" s="23" t="inlineStr">
        <is>
          <t>        </t>
        </is>
      </c>
      <c r="G238" s="23" t="n">
        <v>301</v>
      </c>
      <c r="H238" s="23" t="n">
        <v>10</v>
      </c>
      <c r="I238" s="23" t="n">
        <v>8</v>
      </c>
      <c r="J238" s="23" t="inlineStr">
        <is>
          <t>978-5-227-11080-0</t>
        </is>
      </c>
      <c r="K238" s="23" t="inlineStr">
        <is>
          <t>84x108 1/32</t>
        </is>
      </c>
      <c r="L238" s="23" t="inlineStr">
        <is>
          <t>мяг</t>
        </is>
      </c>
      <c r="M238" s="23" t="n">
        <v>383</v>
      </c>
      <c r="N238" s="23" t="n">
        <v>2025</v>
      </c>
      <c r="O238" s="23" t="n">
        <v>157</v>
      </c>
      <c r="P238" s="23" t="n"/>
      <c r="Q238" s="23" t="n"/>
      <c r="R238" s="25" t="inlineStr">
        <is>
          <t>"Восьмая книга серии повествует о том, как продлить молодость во всех её смыслах: врач и путешественник Ян Раздобурдин рассказывает об укреплении иммунитета, правильной еде, омолаживающих практиках и травах, очищении, любви, счастье и вечной весне. Описано применение индийских, китайских травяных составов и растений наших широт. В этом труде даны конкретные советы, рецепты и способы, как быть счастливым, как повысить жизненные силы, продлить своё полноценное пребывание на этой планете и улучшить качество этого пребывания, и всё это с помощью Аюрведы. Применение этой древней медицинской системы может дать фантастические результаты. Аюрведа целостна, универсальна, всегда ищет духовные причины болезни, использует индивидуальный подход и делает акцент на образе жизни и питания.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Книга написана максимально просто и легко, она будет интересна не только врачам и специалистам Аюрведы, но и широкому кругу читателей."</t>
        </is>
      </c>
      <c r="S238" s="26">
        <f>HYPERLINK("http://www.cnpol.ru/covers/21722.jpg","фото на сайте")</f>
        <v/>
      </c>
    </row>
    <row r="239" ht="50.1" customHeight="1" s="3">
      <c r="A239" s="23" t="n"/>
      <c r="B239" s="24" t="inlineStr">
        <is>
          <t>18250</t>
        </is>
      </c>
      <c r="C239" s="23" t="inlineStr">
        <is>
          <t>АЮРВЕДА</t>
        </is>
      </c>
      <c r="D239" s="23" t="inlineStr">
        <is>
          <t>Раздобурдин Я.Н</t>
        </is>
      </c>
      <c r="E239" s="23" t="inlineStr">
        <is>
          <t>Аюрведа. Секреты здоровой кожи</t>
        </is>
      </c>
      <c r="F239" s="23" t="inlineStr">
        <is>
          <t>        </t>
        </is>
      </c>
      <c r="G239" s="23" t="n">
        <v>266</v>
      </c>
      <c r="H239" s="23" t="n">
        <v>10</v>
      </c>
      <c r="I239" s="23" t="n">
        <v>10</v>
      </c>
      <c r="J239" s="23" t="inlineStr">
        <is>
          <t>978-5-227-08269-5</t>
        </is>
      </c>
      <c r="K239" s="23" t="inlineStr">
        <is>
          <t>84x108 1/32 (обл)</t>
        </is>
      </c>
      <c r="L239" s="23" t="inlineStr">
        <is>
          <t>мяг</t>
        </is>
      </c>
      <c r="M239" s="23" t="n">
        <v>256</v>
      </c>
      <c r="N239" s="23" t="n">
        <v>2018</v>
      </c>
      <c r="O239" s="23" t="n">
        <v>154</v>
      </c>
      <c r="P239" s="23" t="n"/>
      <c r="Q239" s="23" t="n"/>
      <c r="R239" s="25" t="n"/>
      <c r="S239" s="26">
        <f>HYPERLINK("http://www.cnpol.ru/covers/18250.jpg","фото на сайте")</f>
        <v/>
      </c>
    </row>
    <row r="240" ht="50.1" customHeight="1" s="3">
      <c r="A240" s="23" t="inlineStr">
        <is>
          <t>Д</t>
        </is>
      </c>
      <c r="B240" s="24" t="inlineStr">
        <is>
          <t>21919</t>
        </is>
      </c>
      <c r="C240" s="23" t="inlineStr">
        <is>
          <t>АЮРВЕДА</t>
        </is>
      </c>
      <c r="D240" s="23" t="inlineStr">
        <is>
          <t>Раздобурдин Я.Н</t>
        </is>
      </c>
      <c r="E240" s="23" t="inlineStr">
        <is>
          <t>Аюрведа. Секреты хорошего пищеварения и вечной молодости</t>
        </is>
      </c>
      <c r="F240" s="23" t="inlineStr">
        <is>
          <t>        </t>
        </is>
      </c>
      <c r="G240" s="23" t="n">
        <v>880</v>
      </c>
      <c r="H240" s="23" t="n">
        <v>10</v>
      </c>
      <c r="I240" s="23" t="n">
        <v>6</v>
      </c>
      <c r="J240" s="23" t="inlineStr">
        <is>
          <t>978-5-227-11162-3</t>
        </is>
      </c>
      <c r="K240" s="23" t="inlineStr">
        <is>
          <t>84x108 1/32</t>
        </is>
      </c>
      <c r="L240" s="23" t="inlineStr">
        <is>
          <t>тв</t>
        </is>
      </c>
      <c r="M240" s="23" t="n">
        <v>671</v>
      </c>
      <c r="N240" s="23" t="n">
        <v>2026</v>
      </c>
      <c r="O240" s="23" t="n">
        <v>474</v>
      </c>
      <c r="P240" s="23" t="n"/>
      <c r="Q240" s="23" t="n"/>
      <c r="R240" s="25" t="inlineStr">
        <is>
          <t>"Аюрведа целостна, универсальна, всегда ищет духовные причины болезни, использует индивидуальный подход и делает акцент на образе жизни и питания. Применение этой древней медицинской системы может дать фантастические результаты.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Автор этого труда — Ян Раздобурдин, врач и путешественник, и он невероятно увлекательно знакомит читателей с Аюрведой. В книге даны конкретные советы, рецепты и способы, как быть счастливым, как повысить жизненные силы, как правильно питаться и заботиться о своей коже, как лечить кожные болезни и проблемы желудочно­кишечного тракта и продлить своё полноценное пребывание на этой планете. Изложено применение индийских, китайских травяных составов и растений наших широт.
Книга написана максимально просто и легко, она будет интересна не только врачам и специалистам Аюрведы, но и широкому кругу читателей, неравнодушных к своему здоровью."</t>
        </is>
      </c>
      <c r="S240" s="26">
        <f>HYPERLINK("http://www.cnpol.ru/covers/21919.jpg","фото на сайте")</f>
        <v/>
      </c>
    </row>
    <row r="241" ht="50.1" customHeight="1" s="3">
      <c r="A241" s="23" t="n"/>
      <c r="B241" s="24" t="inlineStr">
        <is>
          <t>20165</t>
        </is>
      </c>
      <c r="C241" s="23" t="inlineStr">
        <is>
          <t>АЮРВЕДА</t>
        </is>
      </c>
      <c r="D241" s="23" t="inlineStr">
        <is>
          <t>Раздобурдин Я.Н</t>
        </is>
      </c>
      <c r="E241" s="23" t="inlineStr">
        <is>
          <t>Аюрведа. Траволечение и ароматерапия</t>
        </is>
      </c>
      <c r="F241" s="23" t="inlineStr">
        <is>
          <t>        </t>
        </is>
      </c>
      <c r="G241" s="23" t="n">
        <v>301</v>
      </c>
      <c r="H241" s="23" t="n">
        <v>10</v>
      </c>
      <c r="I241" s="23" t="n">
        <v>12</v>
      </c>
      <c r="J241" s="23" t="inlineStr">
        <is>
          <t>978-5-227-09658-6</t>
        </is>
      </c>
      <c r="K241" s="23" t="inlineStr">
        <is>
          <t>84x108 1/32 (обл)</t>
        </is>
      </c>
      <c r="L241" s="23" t="inlineStr">
        <is>
          <t>мяг</t>
        </is>
      </c>
      <c r="M241" s="23" t="n">
        <v>352</v>
      </c>
      <c r="N241" s="23" t="n">
        <v>2022</v>
      </c>
      <c r="O241" s="23" t="n">
        <v>202</v>
      </c>
      <c r="P241" s="23" t="n"/>
      <c r="Q241" s="23" t="n"/>
      <c r="R241" s="25" t="n"/>
      <c r="S241" s="26">
        <f>HYPERLINK("http://www.cnpol.ru/covers/20165.jpg","фото на сайте")</f>
        <v/>
      </c>
    </row>
    <row r="242" ht="50.1" customHeight="1" s="3">
      <c r="A242" s="23" t="inlineStr">
        <is>
          <t>Д</t>
        </is>
      </c>
      <c r="B242" s="24" t="inlineStr">
        <is>
          <t>21171</t>
        </is>
      </c>
      <c r="C242" s="23" t="inlineStr">
        <is>
          <t>АЮРВЕДА</t>
        </is>
      </c>
      <c r="D242" s="23" t="inlineStr">
        <is>
          <t>Раздобурдин Я.Н</t>
        </is>
      </c>
      <c r="E242" s="23" t="inlineStr">
        <is>
          <t>Аюрведа. Философия и травы</t>
        </is>
      </c>
      <c r="F242" s="23" t="inlineStr">
        <is>
          <t>        </t>
        </is>
      </c>
      <c r="G242" s="23" t="n">
        <v>301</v>
      </c>
      <c r="H242" s="23" t="n">
        <v>10</v>
      </c>
      <c r="I242" s="23" t="n">
        <v>22</v>
      </c>
      <c r="J242" s="23" t="inlineStr">
        <is>
          <t>978-5-227-10716-9</t>
        </is>
      </c>
      <c r="K242" s="23" t="inlineStr">
        <is>
          <t>84x108 1/32 (обл)</t>
        </is>
      </c>
      <c r="L242" s="23" t="inlineStr">
        <is>
          <t>мяг</t>
        </is>
      </c>
      <c r="M242" s="23" t="n">
        <v>255</v>
      </c>
      <c r="N242" s="23" t="n">
        <v>2024</v>
      </c>
      <c r="O242" s="23" t="n">
        <v>157</v>
      </c>
      <c r="P242" s="23" t="n"/>
      <c r="Q242" s="23" t="n"/>
      <c r="R242" s="25" t="inlineStr">
        <is>
          <t>Если ты ищешь альтернативу западной медицине, обратись к Аюрведе: это наука не о болезнях — это наука о Жизни. Применение этой древней медицинской системы даёт фантастические результаты. Она не обходит вниманием повседневную жизнь, питание, психологические отношения, карьеру, состояние духа и, наконец, применение целебных растений. Очень важно то, что с точки зрения Аюрведы в книге описаны не только индийские растения, но и лекарственные травы средних широт, так что любой россиянин без «зелёного лекарства» не останется!_x000D_
Автор увлекательно, с юмором преподнёс своё видение древних текстов и добавил в них современности. Удивительно просто и ёмко даны самые сложнейшие для понимания истины. Эта книга — действительно инструкция для долгой и здоровой жизни. Читайте, ибо кто познал Тайну, тот обретёт Мудрость!</t>
        </is>
      </c>
      <c r="S242" s="26">
        <f>HYPERLINK("http://www.cnpol.ru/covers/21171.jpg","фото на сайте")</f>
        <v/>
      </c>
    </row>
    <row r="243" ht="50.1" customHeight="1" s="3">
      <c r="A243" s="23" t="n"/>
      <c r="B243" s="24" t="inlineStr">
        <is>
          <t>20724</t>
        </is>
      </c>
      <c r="C243" s="23" t="inlineStr">
        <is>
          <t>АЮРВЕДА</t>
        </is>
      </c>
      <c r="D243" s="23" t="inlineStr">
        <is>
          <t>Раздобурдин Я.Н</t>
        </is>
      </c>
      <c r="E243" s="23" t="inlineStr">
        <is>
          <t>Аюрведа. Философия, диагностика, астрология и лечение</t>
        </is>
      </c>
      <c r="F243" s="23" t="inlineStr">
        <is>
          <t>        </t>
        </is>
      </c>
      <c r="G243" s="23" t="n">
        <v>743</v>
      </c>
      <c r="H243" s="23" t="n">
        <v>10</v>
      </c>
      <c r="I243" s="23" t="n">
        <v>8</v>
      </c>
      <c r="J243" s="23" t="inlineStr">
        <is>
          <t>978-5-227-10228-7</t>
        </is>
      </c>
      <c r="K243" s="23" t="inlineStr">
        <is>
          <t>84x108 1/32</t>
        </is>
      </c>
      <c r="L243" s="23" t="inlineStr">
        <is>
          <t>тв</t>
        </is>
      </c>
      <c r="M243" s="23" t="n">
        <v>608</v>
      </c>
      <c r="N243" s="23" t="n">
        <v>2023</v>
      </c>
      <c r="O243" s="23" t="n">
        <v>460</v>
      </c>
      <c r="P243" s="23" t="n"/>
      <c r="Q243" s="23" t="n"/>
      <c r="R243" s="25" t="inlineStr">
        <is>
          <t>Если ты ищешь альтернативу западной медицине, обратись к Аюрведе: это наука не о болезнях — это наука о Жизни. Применение этой древней медицинской системы даёт фантастические результаты. Она не обходит вниманием повседневную жизнь, питание, психологию, карьеру, состояние духа и применение целебных растений. Важно то, что в книге описаны не только индийские растения, но и лекарственные травы средних широт, так что любой россиянин без «зелёного лекарства» не останется! Мы рассмотрим траволечение и ароматерапию с точки зрения Аюрведы, ознакомимся с индивидуальными талантами растений. Автор предлагает всмотреться в растения глубже, пристальнее, с более открытым сознанием, чем мы делали это прежде. Также мы затронем философские основы Аюрведы и займёмся диагностикой болезней, познаем основы Ведической астрологии, научимся слушать мелодию болезни по пульсу, выявлять недуги по знакам тела, а также по другим признакам, которые могут быть применимы для самодиагностики. Автор увлекательно, с юмором преподнёс своё видение древних текстов и добавил в них современности. Удивительно просто и ёмко даны самые сложнейшие для понимания истины. Эта книга — действительно инструкция для долгой и здоровой жизни. Читайте, ибо кто познал Тайну, тот обретёт Мудрость!</t>
        </is>
      </c>
      <c r="S243" s="26">
        <f>HYPERLINK("http://www.cnpol.ru/covers/20724.jpg","фото на сайте")</f>
        <v/>
      </c>
    </row>
    <row r="244" ht="50.1" customHeight="1" s="3">
      <c r="A244" s="23" t="n"/>
      <c r="B244" s="24" t="inlineStr">
        <is>
          <t>20291</t>
        </is>
      </c>
      <c r="C244" s="23" t="inlineStr">
        <is>
          <t>АЮРВЕДА</t>
        </is>
      </c>
      <c r="D244" s="23" t="inlineStr">
        <is>
          <t>Раздобурдин Я.Н</t>
        </is>
      </c>
      <c r="E244" s="23" t="inlineStr">
        <is>
          <t>Аюрведа. Философия, диагностика, Ведическая астрология</t>
        </is>
      </c>
      <c r="F244" s="23" t="inlineStr">
        <is>
          <t>        </t>
        </is>
      </c>
      <c r="G244" s="23" t="n">
        <v>301</v>
      </c>
      <c r="H244" s="23" t="n">
        <v>10</v>
      </c>
      <c r="I244" s="23" t="n">
        <v>11</v>
      </c>
      <c r="J244" s="23" t="inlineStr">
        <is>
          <t>978-5-227-10052-8</t>
        </is>
      </c>
      <c r="K244" s="23" t="inlineStr">
        <is>
          <t>84x108 1/32 (обл)</t>
        </is>
      </c>
      <c r="L244" s="23" t="inlineStr">
        <is>
          <t>мяг</t>
        </is>
      </c>
      <c r="M244" s="23" t="n">
        <v>288</v>
      </c>
      <c r="N244" s="23" t="n">
        <v>2022</v>
      </c>
      <c r="O244" s="23" t="n">
        <v>170</v>
      </c>
      <c r="P244" s="23" t="n"/>
      <c r="Q244" s="23" t="n"/>
      <c r="R244" s="25" t="n"/>
      <c r="S244" s="26">
        <f>HYPERLINK("http://www.cnpol.ru/covers/20291.jpg","фото на сайте")</f>
        <v/>
      </c>
    </row>
    <row r="245" ht="50.1" customHeight="1" s="3">
      <c r="A245" s="23" t="inlineStr">
        <is>
          <t>Д</t>
        </is>
      </c>
      <c r="B245" s="24" t="inlineStr">
        <is>
          <t>22171</t>
        </is>
      </c>
      <c r="C245" s="23" t="inlineStr">
        <is>
          <t>АЮРВЕДА</t>
        </is>
      </c>
      <c r="D245" s="23" t="inlineStr">
        <is>
          <t>Раздобурдин Я.Н</t>
        </is>
      </c>
      <c r="E245" s="23" t="inlineStr">
        <is>
          <t>Натуропатия аутоиммунных заболеваний. Аутоиммунный тиреоидит, ревматоидный артрит, псориаз</t>
        </is>
      </c>
      <c r="F245" s="23" t="inlineStr">
        <is>
          <t>        </t>
        </is>
      </c>
      <c r="G245" s="27" t="n">
        <v>1009</v>
      </c>
      <c r="H245" s="23" t="n">
        <v>10</v>
      </c>
      <c r="I245" s="23" t="n">
        <v>10</v>
      </c>
      <c r="J245" s="23" t="inlineStr">
        <is>
          <t>978-5-227-11311-5</t>
        </is>
      </c>
      <c r="K245" s="23" t="inlineStr">
        <is>
          <t>84x108 1/32</t>
        </is>
      </c>
      <c r="L245" s="23" t="inlineStr">
        <is>
          <t>тв</t>
        </is>
      </c>
      <c r="M245" s="23" t="n">
        <v>319</v>
      </c>
      <c r="N245" s="23" t="n">
        <v>2026</v>
      </c>
      <c r="O245" s="23" t="n">
        <v>374</v>
      </c>
      <c r="P245" s="23" t="n"/>
      <c r="Q245" s="23" t="n"/>
      <c r="R245" s="25" t="inlineStr">
        <is>
          <t>До сих пор не найдена причина возникновения аутоиммунных заболеваний, когда организм человека, как змей Уроборос, пожирает сам себя. Когда-нибудь медицина узнает, почему возникают эти процессы, а до тех пор людям, страдающим от этой группы недугов, необходимо лечение, лучше всего то, которое выведет их в долгую ремиссию. Здесь и приходит на помощь метод Яна Раздобурдина, сочетающий в себе подходы Аюрведы, Традиционной китайской медицины и Современной нутрициологии. Индийская Аюрведа целостна, универсальна, использует конституциональный подход, делает акцент на образе жизни и питании. Сильные стороны Аюрведы — это очистительные программы, омоложение организма, лечение аутоиммунных болезней, проблем желудочно-кишечного тракта, суставов и кожи. Китайская медицина сильна в симптоматическом лечении и работе с энергетикой. Современная нутрициология прекрасно и доказательно восполняет недостаток полезных веществ в теле, что даёт базу для более полного воздействия фитопрепаратов. За интеграцией древней восточной медицины и современной нутрициологии — светлое будущее.</t>
        </is>
      </c>
      <c r="S245" s="26">
        <f>HYPERLINK("http://www.cnpol.ru/covers/22171.jpg","фото на сайте")</f>
        <v/>
      </c>
    </row>
    <row r="246" ht="50.1" customHeight="1" s="3">
      <c r="A246" s="23" t="inlineStr">
        <is>
          <t>Н</t>
        </is>
      </c>
      <c r="B246" s="24" t="inlineStr">
        <is>
          <t>21334</t>
        </is>
      </c>
      <c r="C246" s="23" t="inlineStr">
        <is>
          <t>АЮРВЕДА</t>
        </is>
      </c>
      <c r="D246" s="23" t="inlineStr">
        <is>
          <t>Раздобурдин Я.Н</t>
        </is>
      </c>
      <c r="E246" s="23" t="inlineStr">
        <is>
          <t>Натуропатия избыточного веса, диабета и атеросклероза. Аюрведа, китайская медицина, нутрициология</t>
        </is>
      </c>
      <c r="F246" s="23" t="inlineStr">
        <is>
          <t>        </t>
        </is>
      </c>
      <c r="G246" s="23" t="n">
        <v>538</v>
      </c>
      <c r="H246" s="23" t="n">
        <v>10</v>
      </c>
      <c r="I246" s="23" t="n">
        <v>12</v>
      </c>
      <c r="J246" s="23" t="inlineStr">
        <is>
          <t>978-5-227-10762-6</t>
        </is>
      </c>
      <c r="K246" s="23" t="inlineStr">
        <is>
          <t>84x108 1/32</t>
        </is>
      </c>
      <c r="L246" s="23" t="inlineStr">
        <is>
          <t>тв</t>
        </is>
      </c>
      <c r="M246" s="23" t="n">
        <v>351</v>
      </c>
      <c r="N246" s="23" t="n">
        <v>2024</v>
      </c>
      <c r="O246" s="23" t="n">
        <v>290</v>
      </c>
      <c r="P246" s="23" t="n"/>
      <c r="Q246" s="23" t="n"/>
      <c r="R246" s="25" t="inlineStr">
        <is>
          <t>Лишний вес, повышенный сахар в крови, давление и другие сосудистые проблемы — это наиболее распространённые жалобы пациентов старше 40 лет. Что делать, если постоянно преследуют слабость и усталость? Как надолго снизить лишний вес? Как предотвратить переход преддиабета в диабет? Как укрепить сосуды и стабилизировать давление? Методика, разработанная доктором-специалистом традиционной и нетрадиционной медицины Яном Раздобурдиным, охватывает широкий круг вопросов по оздоровлению последствий метаболического синдрома: ожирения, диабета, жирового гепатоза и атеросклероза. Всемирная организация здравоохранения считает эти заболевания главными врагами человечества за последнюю сотню лет. Взяв лучшее от трёх медицинских подходов, автор увлекательно и доступно рассказывает о том, что вызывает эти состояния, как их предупредить и как минимизировать последствия для здоровья с помощью Аюрведы, традиционной китайской медицины и современной нутрициологии._x000D_
Эта книга будет полезна как ищущему врачу, так и обычному человеку, который хочет разобраться в причинах своего недомогания. Автор предлагает невероятно действенную смесь натуральных средств древней и современной медицины, а также рекомендации по питанию и образу жизни, которые легко понять и применить на практике.</t>
        </is>
      </c>
      <c r="S246" s="26">
        <f>HYPERLINK("http://www.cnpol.ru/covers/21334.jpg","фото на сайте")</f>
        <v/>
      </c>
    </row>
    <row r="247" ht="50.1" customHeight="1" s="3">
      <c r="A247" s="23" t="n"/>
      <c r="B247" s="24" t="inlineStr">
        <is>
          <t>19281</t>
        </is>
      </c>
      <c r="C247" s="23" t="inlineStr">
        <is>
          <t>АЮРВЕДА</t>
        </is>
      </c>
      <c r="D247" s="23" t="inlineStr">
        <is>
          <t>Раздобурдин Я.Н</t>
        </is>
      </c>
      <c r="E247" s="23" t="inlineStr">
        <is>
          <t>Традиционная китайская медицина и Аюрведа против простуды и COVID-19</t>
        </is>
      </c>
      <c r="F247" s="23" t="inlineStr">
        <is>
          <t>        </t>
        </is>
      </c>
      <c r="G247" s="23" t="n">
        <v>301</v>
      </c>
      <c r="H247" s="23" t="n">
        <v>10</v>
      </c>
      <c r="I247" s="23" t="n">
        <v>24</v>
      </c>
      <c r="J247" s="23" t="inlineStr">
        <is>
          <t>978-5-227-09246-5</t>
        </is>
      </c>
      <c r="K247" s="23" t="inlineStr">
        <is>
          <t>84x108 1/32 (обл)</t>
        </is>
      </c>
      <c r="L247" s="23" t="inlineStr">
        <is>
          <t>мяг</t>
        </is>
      </c>
      <c r="M247" s="23" t="n">
        <v>192</v>
      </c>
      <c r="N247" s="23" t="n">
        <v>2020</v>
      </c>
      <c r="O247" s="23" t="n">
        <v>120</v>
      </c>
      <c r="P247" s="23" t="n"/>
      <c r="Q247" s="23" t="n"/>
      <c r="R247" s="25" t="n"/>
      <c r="S247" s="26">
        <f>HYPERLINK("http://www.cnpol.ru/covers/19281.jpg","фото на сайте")</f>
        <v/>
      </c>
    </row>
    <row r="248" ht="50.1" customHeight="1" s="3">
      <c r="A248" s="23" t="n"/>
      <c r="B248" s="24" t="inlineStr">
        <is>
          <t>1885</t>
        </is>
      </c>
      <c r="C248" s="23" t="inlineStr">
        <is>
          <t>БАКС</t>
        </is>
      </c>
      <c r="D248" s="23" t="inlineStr">
        <is>
          <t>Кэтрин Бри</t>
        </is>
      </c>
      <c r="E248" s="23" t="inlineStr">
        <is>
          <t>Бладхаунд</t>
        </is>
      </c>
      <c r="F248" s="23" t="inlineStr">
        <is>
          <t>        </t>
        </is>
      </c>
      <c r="G248" s="23" t="n">
        <v>300</v>
      </c>
      <c r="H248" s="23" t="n">
        <v>10</v>
      </c>
      <c r="I248" s="23" t="n">
        <v>16</v>
      </c>
      <c r="J248" s="23" t="inlineStr">
        <is>
          <t>5-227-00685-7</t>
        </is>
      </c>
      <c r="K248" s="23" t="inlineStr">
        <is>
          <t>60x90 1/16</t>
        </is>
      </c>
      <c r="L248" s="23" t="inlineStr">
        <is>
          <t>тв</t>
        </is>
      </c>
      <c r="M248" s="23" t="n">
        <v>335</v>
      </c>
      <c r="N248" s="23" t="n">
        <v>2000</v>
      </c>
      <c r="O248" s="23" t="n">
        <v>362</v>
      </c>
      <c r="P248" s="23" t="n"/>
      <c r="Q248" s="23" t="n"/>
      <c r="R248" s="25" t="inlineStr">
        <is>
          <t>Эта книга посвящена бладхаунду - гончей с удивительно тонким чутьем, работающей как вдобор, так и на верхнем чутье. Из этой книги читатель узнает об истории происхождения, становлении и реставрации породы, о ведущих питомниках, о натаске и дрессировке бладхаундов, а также об их участии в выставках, розыскной и поисково-спасательных работах, в испытаниях по послушанию и проработке следа и о многом другом, не менее интересном и познавательном.</t>
        </is>
      </c>
      <c r="S248" s="26">
        <f>HYPERLINK("http://www.cnpol.ru/covers/1885.jpg","фото на сайте")</f>
        <v/>
      </c>
    </row>
    <row r="249" ht="50.1" customHeight="1" s="3">
      <c r="A249" s="23" t="n"/>
      <c r="B249" s="24" t="inlineStr">
        <is>
          <t>1629</t>
        </is>
      </c>
      <c r="C249" s="23" t="inlineStr">
        <is>
          <t>БАКС</t>
        </is>
      </c>
      <c r="D249" s="23" t="inlineStr">
        <is>
          <t>О Нил</t>
        </is>
      </c>
      <c r="E249" s="23" t="inlineStr">
        <is>
          <t>Все об аджилити</t>
        </is>
      </c>
      <c r="F249" s="23" t="inlineStr">
        <is>
          <t>        </t>
        </is>
      </c>
      <c r="G249" s="23" t="n">
        <v>300</v>
      </c>
      <c r="H249" s="23" t="n">
        <v>10</v>
      </c>
      <c r="I249" s="23" t="n">
        <v>20</v>
      </c>
      <c r="J249" s="23" t="inlineStr">
        <is>
          <t>5-227-00447-1</t>
        </is>
      </c>
      <c r="K249" s="23" t="inlineStr">
        <is>
          <t>60x90 1/16</t>
        </is>
      </c>
      <c r="L249" s="23" t="inlineStr">
        <is>
          <t>тв</t>
        </is>
      </c>
      <c r="M249" s="23" t="n">
        <v>217</v>
      </c>
      <c r="N249" s="23" t="n">
        <v>1999</v>
      </c>
      <c r="O249" s="23" t="n">
        <v>338</v>
      </c>
      <c r="P249" s="23" t="n"/>
      <c r="Q249" s="23" t="n"/>
      <c r="R249" s="25" t="inlineStr">
        <is>
          <t>Эта книга посвящена увлекательному ринговому виду спорта - Аджилити. Из нее читатель узнает, как готовить свою собаку к соревнованиям, что для этого нужно и какие виды Аджилити имеются на сегодняшний день. Прочитав ее, вы получите ответы на свои вопросы,узнаете о наиболее часто допускаемых ошибках спортсменами и их собаками, о том, как избежать их на трассе или на будущих соревнованиях, и о многом другом.</t>
        </is>
      </c>
      <c r="S249" s="26">
        <f>HYPERLINK("http://www.cnpol.ru/covers/1629.jpg","фото на сайте")</f>
        <v/>
      </c>
    </row>
    <row r="250" ht="50.1" customHeight="1" s="3">
      <c r="A250" s="23" t="n"/>
      <c r="B250" s="24" t="inlineStr">
        <is>
          <t>1955</t>
        </is>
      </c>
      <c r="C250" s="23" t="inlineStr">
        <is>
          <t>БАКС</t>
        </is>
      </c>
      <c r="D250" s="23" t="inlineStr">
        <is>
          <t>Бендьюр</t>
        </is>
      </c>
      <c r="E250" s="23" t="inlineStr">
        <is>
          <t>Ньюфаундленд</t>
        </is>
      </c>
      <c r="F250" s="23" t="inlineStr">
        <is>
          <t>        </t>
        </is>
      </c>
      <c r="G250" s="23" t="n">
        <v>179</v>
      </c>
      <c r="H250" s="23" t="n">
        <v>10</v>
      </c>
      <c r="I250" s="23" t="n">
        <v>18</v>
      </c>
      <c r="J250" s="23" t="inlineStr">
        <is>
          <t>5-227-00592-3</t>
        </is>
      </c>
      <c r="K250" s="23" t="inlineStr">
        <is>
          <t>84x108 1/32</t>
        </is>
      </c>
      <c r="L250" s="23" t="inlineStr">
        <is>
          <t>тв</t>
        </is>
      </c>
      <c r="M250" s="23" t="inlineStr">
        <is>
          <t>    </t>
        </is>
      </c>
      <c r="N250" s="23" t="inlineStr">
        <is>
          <t>    </t>
        </is>
      </c>
      <c r="O250" s="23" t="inlineStr">
        <is>
          <t>     </t>
        </is>
      </c>
      <c r="P250" s="23" t="n"/>
      <c r="Q250" s="23" t="n"/>
      <c r="R250" s="25" t="n"/>
      <c r="S250" s="26">
        <f>HYPERLINK("http://www.cnpol.ru/covers/1955.jpg","фото на сайте")</f>
        <v/>
      </c>
    </row>
    <row r="251" ht="50.1" customHeight="1" s="3">
      <c r="A251" s="23" t="n"/>
      <c r="B251" s="24" t="inlineStr">
        <is>
          <t>20732</t>
        </is>
      </c>
      <c r="C251" s="23" t="inlineStr">
        <is>
          <t>БД НОВ</t>
        </is>
      </c>
      <c r="D251" s="23" t="inlineStr">
        <is>
          <t>Волков С.В.</t>
        </is>
      </c>
      <c r="E251" s="23" t="inlineStr">
        <is>
          <t>1918 год на Украине</t>
        </is>
      </c>
      <c r="F251" s="23" t="inlineStr">
        <is>
          <t>        </t>
        </is>
      </c>
      <c r="G251" s="27" t="n">
        <v>1493</v>
      </c>
      <c r="H251" s="23" t="n">
        <v>10</v>
      </c>
      <c r="I251" s="23" t="n">
        <v>5</v>
      </c>
      <c r="J251" s="23" t="inlineStr">
        <is>
          <t>978-5-227-10006-1</t>
        </is>
      </c>
      <c r="K251" s="23" t="inlineStr">
        <is>
          <t>60x90 1/16</t>
        </is>
      </c>
      <c r="L251" s="23" t="inlineStr">
        <is>
          <t>тв</t>
        </is>
      </c>
      <c r="M251" s="23" t="n">
        <v>415</v>
      </c>
      <c r="N251" s="23" t="n">
        <v>2023</v>
      </c>
      <c r="O251" s="23" t="n">
        <v>527</v>
      </c>
      <c r="P251" s="23" t="n"/>
      <c r="Q251" s="23" t="n"/>
      <c r="R251" s="25" t="inlineStr">
        <is>
          <t>Книга «1918 год на Украине» представляет собой пятый том из серии, посвященной Белому движению в России, и знакомит читателя с воспоминаниями участников событий и боев на Украине в период конец 1917—1918 гг. Гражданская война велась здесь в сложном идеологическом и националистическом противостоянии._x000D_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редкость._x000D_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is>
      </c>
      <c r="S251" s="26">
        <f>HYPERLINK("http://www.cnpol.ru/covers/20732.jpg","фото на сайте")</f>
        <v/>
      </c>
    </row>
    <row r="252" ht="50.1" customHeight="1" s="3">
      <c r="A252" s="23" t="n"/>
      <c r="B252" s="24" t="inlineStr">
        <is>
          <t>20924</t>
        </is>
      </c>
      <c r="C252" s="23" t="inlineStr">
        <is>
          <t>БД НОВ</t>
        </is>
      </c>
      <c r="D252" s="23" t="inlineStr">
        <is>
          <t>Волков С.В.</t>
        </is>
      </c>
      <c r="E252" s="23" t="inlineStr">
        <is>
          <t>1918­й год на Востоке России</t>
        </is>
      </c>
      <c r="F252" s="23" t="inlineStr">
        <is>
          <t>        </t>
        </is>
      </c>
      <c r="G252" s="27" t="n">
        <v>1513</v>
      </c>
      <c r="H252" s="23" t="n">
        <v>10</v>
      </c>
      <c r="I252" s="23" t="n">
        <v>6</v>
      </c>
      <c r="J252" s="23" t="inlineStr">
        <is>
          <t>978-5-227-10077-1</t>
        </is>
      </c>
      <c r="K252" s="23" t="inlineStr">
        <is>
          <t>60x90 1/16</t>
        </is>
      </c>
      <c r="L252" s="23" t="inlineStr">
        <is>
          <t>тв</t>
        </is>
      </c>
      <c r="M252" s="23" t="n">
        <v>463</v>
      </c>
      <c r="N252" s="23" t="n">
        <v>2023</v>
      </c>
      <c r="O252" s="23" t="n">
        <v>575</v>
      </c>
      <c r="P252" s="23" t="n"/>
      <c r="Q252" s="23" t="n"/>
      <c r="R252" s="25" t="inlineStr">
        <is>
          <t>Книга представляет собой шестнадцатый том серии, посвященной Белому движению в России, и рассказывает о начальном этапе Белой борьбы на Востоке России, понимая под востоком в данном случае Волгу, Урал, Западную Сибирь. Этот период характеризовался выступлением офицерских организаций крупных городов этих регионов и Чехословацкого корпуса. Именно в это время заявляли о себе и прославились такие деятели Белого движения как В.О. Каппель, П.П. Иванов-Ринов, А.Н. Гришин-Алмазов, Н.Н. Казагранди, А.Н. Пепеляев и др. Особое внимание уделено Ижевско-Воткинскому антибольшевистскому восстанию и последующим боям ижевцев и воткинцев._x000D__x000D_
Боевые действия описываются на фоне политических акций Комуча, Уфимской Директории, Временного Сибирского правительства вплоть до вступления в верховное командование адмирала Колчака, то есть с мая по ноябрь 1918 г._x000D__x000D_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52" s="26">
        <f>HYPERLINK("http://www.cnpol.ru/covers/20924.jpg","фото на сайте")</f>
        <v/>
      </c>
    </row>
    <row r="253" ht="50.1" customHeight="1" s="3">
      <c r="A253" s="23" t="n"/>
      <c r="B253" s="24" t="inlineStr">
        <is>
          <t>20808</t>
        </is>
      </c>
      <c r="C253" s="23" t="inlineStr">
        <is>
          <t>БД НОВ</t>
        </is>
      </c>
      <c r="D253" s="23" t="inlineStr">
        <is>
          <t>Волков С.В.</t>
        </is>
      </c>
      <c r="E253" s="23" t="inlineStr">
        <is>
          <t>Белая борьба на Северо-Западе России</t>
        </is>
      </c>
      <c r="F253" s="23" t="inlineStr">
        <is>
          <t>        </t>
        </is>
      </c>
      <c r="G253" s="27" t="n">
        <v>1950</v>
      </c>
      <c r="H253" s="23" t="n">
        <v>10</v>
      </c>
      <c r="I253" s="23" t="n">
        <v>5</v>
      </c>
      <c r="J253" s="23" t="inlineStr">
        <is>
          <t>978-5-227-10016-0</t>
        </is>
      </c>
      <c r="K253" s="23" t="inlineStr">
        <is>
          <t>60x90 1/16</t>
        </is>
      </c>
      <c r="L253" s="23" t="inlineStr">
        <is>
          <t>тв</t>
        </is>
      </c>
      <c r="M253" s="23" t="n">
        <v>687</v>
      </c>
      <c r="N253" s="23" t="n">
        <v>2023</v>
      </c>
      <c r="O253" s="23" t="n">
        <v>795</v>
      </c>
      <c r="P253" s="23" t="n"/>
      <c r="Q253" s="23" t="n"/>
      <c r="R253" s="25" t="inlineStr">
        <is>
          <t>Книга представляет собой десятый том серии, посвященной истории Белого движения в России и событиям на Северо-Западном фронте с осени 1918-го по начало 1920 года по воспоминаниям ее участников. Подробно освещается боевая деятельность таких известных в свое время военачальников, как Н.Н. Юденич, светлейший князь А.П. Ливен, А.П. Родзянко, А.Е. Вандам, граф А.П. Пален, П.В. Глазенап, К.И. Дыдоров, Б.С. Пермикин, С.Н. Булак-Булахович, П.Р. Бермондт-Авалов и др. Большое внимание уделено сложным военно-политическим аспектам взаимоотношений белых армий с бывшими союзниками (англичанами и французами) и бывшими противниками (немцами), а также со стремившимися к самостоятельности странами Балтии. Показан трагизм положения русских армий в Эстонии, вынужденных после неудачного похода на Петроград расформироваться, превратиться в массу беженцев и угодить в эстонские лагеря принудительных лесных работ для «лиц без определенных занятий»._x000D_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53" s="26">
        <f>HYPERLINK("http://www.cnpol.ru/covers/20808.jpg","фото на сайте")</f>
        <v/>
      </c>
    </row>
    <row r="254" ht="50.1" customHeight="1" s="3">
      <c r="A254" s="23" t="inlineStr">
        <is>
          <t>Н</t>
        </is>
      </c>
      <c r="B254" s="24" t="inlineStr">
        <is>
          <t>21199</t>
        </is>
      </c>
      <c r="C254" s="23" t="inlineStr">
        <is>
          <t>БД НОВ</t>
        </is>
      </c>
      <c r="D254" s="23" t="inlineStr">
        <is>
          <t>Волков С.В.</t>
        </is>
      </c>
      <c r="E254" s="23" t="inlineStr">
        <is>
          <t>Белая эмиграция в Китае и Монголии</t>
        </is>
      </c>
      <c r="F254" s="23" t="inlineStr">
        <is>
          <t>        </t>
        </is>
      </c>
      <c r="G254" s="27" t="n">
        <v>1572</v>
      </c>
      <c r="H254" s="23" t="n">
        <v>10</v>
      </c>
      <c r="I254" s="23" t="n">
        <v>6</v>
      </c>
      <c r="J254" s="23" t="inlineStr">
        <is>
          <t>978-5-227-10137-2</t>
        </is>
      </c>
      <c r="K254" s="23" t="inlineStr">
        <is>
          <t>60x90 1/16</t>
        </is>
      </c>
      <c r="L254" s="23" t="inlineStr">
        <is>
          <t>тв</t>
        </is>
      </c>
      <c r="M254" s="23" t="n">
        <v>431</v>
      </c>
      <c r="N254" s="23" t="n">
        <v>2024</v>
      </c>
      <c r="O254" s="23" t="n">
        <v>549</v>
      </c>
      <c r="P254" s="23" t="n"/>
      <c r="Q254" s="23" t="n"/>
      <c r="R254" s="25" t="inlineStr">
        <is>
          <t>Книга представляет собой 25-й том из серии, посвященной Белому движению в России, и описывает белые воинские части, которые после завершения боевых действий на территории исторической России были вынуждены отступить в Монголию и Китай. Большое внимание уделено трагическим судьбам таких героев Белого движения, как генералы А.С. Бакич, А.И. Дутов, Р.Ф. Унгерн-Штернберг и Б.В. Анненков. Подробно описана почти 20-летняя история Шанхайского русского полка и его офицерского состава._x000D_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54" s="26">
        <f>HYPERLINK("http://www.cnpol.ru/covers/21199.jpg","фото на сайте")</f>
        <v/>
      </c>
    </row>
    <row r="255" ht="50.1" customHeight="1" s="3">
      <c r="A255" s="23" t="inlineStr">
        <is>
          <t>Н</t>
        </is>
      </c>
      <c r="B255" s="24" t="inlineStr">
        <is>
          <t>21133</t>
        </is>
      </c>
      <c r="C255" s="23" t="inlineStr">
        <is>
          <t>БД НОВ</t>
        </is>
      </c>
      <c r="D255" s="23" t="inlineStr">
        <is>
          <t>Волков С.В.</t>
        </is>
      </c>
      <c r="E255" s="23" t="inlineStr">
        <is>
          <t>Великий Сибирский Ледяной поход</t>
        </is>
      </c>
      <c r="F255" s="23" t="inlineStr">
        <is>
          <t>        </t>
        </is>
      </c>
      <c r="G255" s="27" t="n">
        <v>2124</v>
      </c>
      <c r="H255" s="23" t="n">
        <v>10</v>
      </c>
      <c r="I255" s="23" t="n">
        <v>4</v>
      </c>
      <c r="J255" s="23" t="inlineStr">
        <is>
          <t>978-5-227-10134-1</t>
        </is>
      </c>
      <c r="K255" s="23" t="inlineStr">
        <is>
          <t>60x90 1/16</t>
        </is>
      </c>
      <c r="L255" s="23" t="inlineStr">
        <is>
          <t>тв</t>
        </is>
      </c>
      <c r="M255" s="23" t="n">
        <v>719</v>
      </c>
      <c r="N255" s="23" t="n">
        <v>2024</v>
      </c>
      <c r="O255" s="23" t="n">
        <v>823</v>
      </c>
      <c r="P255" s="23" t="n"/>
      <c r="Q255" s="23" t="n"/>
      <c r="R255" s="25" t="inlineStr">
        <is>
          <t>Книга представляет собой 22-й том из серии, посвященной Белому движению в России, и рассматривает боевые действия белых войск во время Великого Сибирского Ледяного похода, являющегося одной из наиболее трагических страниц истории Гражданской войны в Сибири. Хронологически поход охватывает период с середины ноября 1919 г. (оставление Омска) до середины февраля 1920 г. (расстрел А.В. Колчака и прибытие белых в район Читы). Затронуты также более поздние события: вытеснение белых из Забайкалья к осени 1920 г., судьбы Оренбургского, Уральского и Алтайского казачества, события во Владивостоке. Среди авторов тома известные мемуаристы — Петров, Сахаров, Мейбом, Ефимов. Большое внимание в книге уделено истории гибели генерала В.О. Каппеля._x000D_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55" s="26">
        <f>HYPERLINK("http://www.cnpol.ru/covers/21133.jpg","фото на сайте")</f>
        <v/>
      </c>
    </row>
    <row r="256" ht="50.1" customHeight="1" s="3">
      <c r="A256" s="23" t="n"/>
      <c r="B256" s="24" t="inlineStr">
        <is>
          <t>20766</t>
        </is>
      </c>
      <c r="C256" s="23" t="inlineStr">
        <is>
          <t>БД НОВ</t>
        </is>
      </c>
      <c r="D256" s="23" t="inlineStr">
        <is>
          <t>Волков С.В.</t>
        </is>
      </c>
      <c r="E256" s="23" t="inlineStr">
        <is>
          <t>Возрожденные полки Русской армии в Белой борьбе на Юге России</t>
        </is>
      </c>
      <c r="F256" s="23" t="inlineStr">
        <is>
          <t>        </t>
        </is>
      </c>
      <c r="G256" s="27" t="n">
        <v>1747</v>
      </c>
      <c r="H256" s="23" t="n">
        <v>10</v>
      </c>
      <c r="I256" s="23" t="n">
        <v>5</v>
      </c>
      <c r="J256" s="23" t="inlineStr">
        <is>
          <t>978-5-227-10013-9</t>
        </is>
      </c>
      <c r="K256" s="23" t="inlineStr">
        <is>
          <t>60x90 1/16</t>
        </is>
      </c>
      <c r="L256" s="23" t="inlineStr">
        <is>
          <t>тв</t>
        </is>
      </c>
      <c r="M256" s="23" t="n">
        <v>575</v>
      </c>
      <c r="N256" s="23" t="n">
        <v>2023</v>
      </c>
      <c r="O256" s="23" t="n">
        <v>680</v>
      </c>
      <c r="P256" s="23" t="n"/>
      <c r="Q256" s="23" t="n"/>
      <c r="R256" s="25" t="inlineStr">
        <is>
          <t>Книга «Возрожденные полки Русской армии в Белой борьбе на Юге России» представляет собой седьмой том серии, посвященной истории Белого движения в России по воспоминаниям его участников._x000D_
За небольшим исключением помещенные в томе материалы никогда в России не издавались, а опубликованные за рубежом представляют собой библиографическую редкость._x000D_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is>
      </c>
      <c r="S256" s="26">
        <f>HYPERLINK("http://www.cnpol.ru/covers/20766.jpg","фото на сайте")</f>
        <v/>
      </c>
    </row>
    <row r="257" ht="50.1" customHeight="1" s="3">
      <c r="A257" s="23" t="n"/>
      <c r="B257" s="24" t="inlineStr">
        <is>
          <t>20949</t>
        </is>
      </c>
      <c r="C257" s="23" t="inlineStr">
        <is>
          <t>БД НОВ</t>
        </is>
      </c>
      <c r="D257" s="23" t="inlineStr">
        <is>
          <t>Волков С.В.</t>
        </is>
      </c>
      <c r="E257" s="23" t="inlineStr">
        <is>
          <t>Вооруженные силы на Юге России</t>
        </is>
      </c>
      <c r="F257" s="23" t="inlineStr">
        <is>
          <t>        </t>
        </is>
      </c>
      <c r="G257" s="27" t="n">
        <v>1950</v>
      </c>
      <c r="H257" s="23" t="n">
        <v>10</v>
      </c>
      <c r="I257" s="23" t="n">
        <v>4</v>
      </c>
      <c r="J257" s="23" t="inlineStr">
        <is>
          <t>978-5-227-10078-8</t>
        </is>
      </c>
      <c r="K257" s="23" t="inlineStr">
        <is>
          <t>60x90 1/16</t>
        </is>
      </c>
      <c r="L257" s="23" t="inlineStr">
        <is>
          <t>тв</t>
        </is>
      </c>
      <c r="M257" s="23" t="n">
        <v>671</v>
      </c>
      <c r="N257" s="23" t="n">
        <v>2023</v>
      </c>
      <c r="O257" s="23" t="n">
        <v>761</v>
      </c>
      <c r="P257" s="23" t="n"/>
      <c r="Q257" s="23" t="n"/>
      <c r="R257" s="25" t="inlineStr">
        <is>
          <t>Книга представляет собой семнадцатый том серии, посвященной Белому движению в России, и охватывает боевые действия вооруженных сил на Юге России в первой половине 1919 года, то есть со времени их создания до издания А.И. Деникиным так называемой «Московской директивы»._x000D__x000D_
Это было время, когда белые завершили освобождение от большевиков Северного Кавказа, очистили от них Крым, начали движение на Царицын и Астрахань, удержали Донбасс. Весной белые перешли в наступление на всех фронтах, в результате чего создалась стратегическая обстановка, позволившая ВСЮР начать поход на Москву._x000D__x000D_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57" s="26">
        <f>HYPERLINK("http://www.cnpol.ru/covers/20949.jpg","фото на сайте")</f>
        <v/>
      </c>
    </row>
    <row r="258" ht="50.1" customHeight="1" s="3">
      <c r="A258" s="23" t="inlineStr">
        <is>
          <t>Н</t>
        </is>
      </c>
      <c r="B258" s="24" t="inlineStr">
        <is>
          <t>21087</t>
        </is>
      </c>
      <c r="C258" s="23" t="inlineStr">
        <is>
          <t>БД НОВ</t>
        </is>
      </c>
      <c r="D258" s="23" t="inlineStr">
        <is>
          <t>Волков С.В.</t>
        </is>
      </c>
      <c r="E258" s="23" t="inlineStr">
        <is>
          <t>Восточный фронт адмирала Колчака</t>
        </is>
      </c>
      <c r="F258" s="23" t="inlineStr">
        <is>
          <t>        </t>
        </is>
      </c>
      <c r="G258" s="27" t="n">
        <v>1929</v>
      </c>
      <c r="H258" s="23" t="n">
        <v>10</v>
      </c>
      <c r="I258" s="23" t="n">
        <v>5</v>
      </c>
      <c r="J258" s="23" t="inlineStr">
        <is>
          <t>978-5-227-10080-1</t>
        </is>
      </c>
      <c r="K258" s="23" t="inlineStr">
        <is>
          <t>60x90 1/16</t>
        </is>
      </c>
      <c r="L258" s="23" t="inlineStr">
        <is>
          <t>тв</t>
        </is>
      </c>
      <c r="M258" s="23" t="n">
        <v>655</v>
      </c>
      <c r="N258" s="23" t="n">
        <v>2024</v>
      </c>
      <c r="O258" s="23" t="n">
        <v>755</v>
      </c>
      <c r="P258" s="23" t="n"/>
      <c r="Q258" s="23" t="n"/>
      <c r="R258" s="25" t="inlineStr">
        <is>
          <t>Книга представляет собой девятнадцатый том серии, посвященной Белому движению в России, и описывает боевые действия армий Верховного правителя России адмирала А.В. Колчака на Востоке России с осени 1918-го по ноябрь 1919 года, то есть от вступления Колчака в должность Верховного правителя России до начала Великого Сибирского Ледяного похода._x000D_
Среди авторов этого тома — генералы П.П. Петров и К.В. Сахаров, в воспоминаниях которых наряду с описанием боевых операций дается анализ политических и революционных ситуаций того времени и анализ причин поражения Белого Дела._x000D_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58" s="26">
        <f>HYPERLINK("http://www.cnpol.ru/covers/21087.jpg","фото на сайте")</f>
        <v/>
      </c>
    </row>
    <row r="259" ht="50.1" customHeight="1" s="3">
      <c r="A259" s="23" t="n"/>
      <c r="B259" s="24" t="inlineStr">
        <is>
          <t>20733</t>
        </is>
      </c>
      <c r="C259" s="23" t="inlineStr">
        <is>
          <t>БД НОВ</t>
        </is>
      </c>
      <c r="D259" s="23" t="inlineStr">
        <is>
          <t>Волков С.В.</t>
        </is>
      </c>
      <c r="E259" s="23" t="inlineStr">
        <is>
          <t>Второй кубанский поход и освобождение Северного Кавказа</t>
        </is>
      </c>
      <c r="F259" s="23" t="inlineStr">
        <is>
          <t>        </t>
        </is>
      </c>
      <c r="G259" s="27" t="n">
        <v>1896</v>
      </c>
      <c r="H259" s="23" t="n">
        <v>10</v>
      </c>
      <c r="I259" s="23" t="n">
        <v>5</v>
      </c>
      <c r="J259" s="23" t="inlineStr">
        <is>
          <t>978-5-227-10002-3</t>
        </is>
      </c>
      <c r="K259" s="23" t="inlineStr">
        <is>
          <t>60x90 1/16</t>
        </is>
      </c>
      <c r="L259" s="23" t="inlineStr">
        <is>
          <t>тв</t>
        </is>
      </c>
      <c r="M259" s="23" t="n">
        <v>639</v>
      </c>
      <c r="N259" s="23" t="n">
        <v>2023</v>
      </c>
      <c r="O259" s="23" t="n">
        <v>751</v>
      </c>
      <c r="P259" s="23" t="n"/>
      <c r="Q259" s="23" t="n"/>
      <c r="R259" s="25" t="inlineStr">
        <is>
          <t>Книга «Второй кубанский поход и освобождение Северного Кавказа» представляет собой шестой том из серии, посвященной Белому движению в России, и знакомит читателя с боями Добровольческой армии во второй половине 1918 года по воспоминаниям участников этих боев._x000D_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редкость._x000D_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is>
      </c>
      <c r="S259" s="26">
        <f>HYPERLINK("http://www.cnpol.ru/covers/20733.jpg","фото на сайте")</f>
        <v/>
      </c>
    </row>
    <row r="260" ht="50.1" customHeight="1" s="3">
      <c r="A260" s="23" t="inlineStr">
        <is>
          <t>Н</t>
        </is>
      </c>
      <c r="B260" s="24" t="inlineStr">
        <is>
          <t>21156</t>
        </is>
      </c>
      <c r="C260" s="23" t="inlineStr">
        <is>
          <t>БД НОВ</t>
        </is>
      </c>
      <c r="D260" s="23" t="inlineStr">
        <is>
          <t>Волков С.В.</t>
        </is>
      </c>
      <c r="E260" s="23" t="inlineStr">
        <is>
          <t>Донская армия в борьбе с большевиками</t>
        </is>
      </c>
      <c r="F260" s="23" t="inlineStr">
        <is>
          <t>        </t>
        </is>
      </c>
      <c r="G260" s="27" t="n">
        <v>1950</v>
      </c>
      <c r="H260" s="23" t="n">
        <v>10</v>
      </c>
      <c r="I260" s="23" t="n">
        <v>5</v>
      </c>
      <c r="J260" s="23" t="inlineStr">
        <is>
          <t>978-5-227-10135-8</t>
        </is>
      </c>
      <c r="K260" s="23" t="inlineStr">
        <is>
          <t>60x90 1/16</t>
        </is>
      </c>
      <c r="L260" s="23" t="inlineStr">
        <is>
          <t>тв</t>
        </is>
      </c>
      <c r="M260" s="23" t="n">
        <v>655</v>
      </c>
      <c r="N260" s="23" t="n">
        <v>2024</v>
      </c>
      <c r="O260" s="23" t="n">
        <v>775</v>
      </c>
      <c r="P260" s="23" t="n"/>
      <c r="Q260" s="23" t="n"/>
      <c r="R260" s="25" t="inlineStr">
        <is>
          <t>Книга представляет собой 23-й том из серии, посвященной Белому движению в России, и рассматривает борьбу донского казачества против большевизма. В ней собраны материалы о собственно донских формированиях и их боевых действиях от знаменитого Степного похода под руководством генерала П.Х. Попова до конца существования Донской армии в составе ВСЮР. Большое внимание уделено воспоминаниям о рейде по тылам большевиков генерала К.К. Мамонтова, запискам генералов П.Н. Краснова и А.В. Голубинцева._x000D_
Недаром Область Всевеликого Войска Донского называли Русской Вандеей._x000D_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60" s="26">
        <f>HYPERLINK("http://www.cnpol.ru/covers/21156.jpg","фото на сайте")</f>
        <v/>
      </c>
    </row>
    <row r="261" ht="50.1" customHeight="1" s="3">
      <c r="A261" s="23" t="n"/>
      <c r="B261" s="24" t="inlineStr">
        <is>
          <t>20647</t>
        </is>
      </c>
      <c r="C261" s="23" t="inlineStr">
        <is>
          <t>БД НОВ</t>
        </is>
      </c>
      <c r="D261" s="23" t="inlineStr">
        <is>
          <t>Волков С.В.</t>
        </is>
      </c>
      <c r="E261" s="23" t="inlineStr">
        <is>
          <t>Зарождение добровольческой армии</t>
        </is>
      </c>
      <c r="F261" s="23" t="inlineStr">
        <is>
          <t>        </t>
        </is>
      </c>
      <c r="G261" s="27" t="n">
        <v>1747</v>
      </c>
      <c r="H261" s="23" t="n">
        <v>10</v>
      </c>
      <c r="I261" s="23" t="n">
        <v>5</v>
      </c>
      <c r="J261" s="23" t="inlineStr">
        <is>
          <t>978-5-227-09959-4</t>
        </is>
      </c>
      <c r="K261" s="23" t="inlineStr">
        <is>
          <t>60x90 1/16</t>
        </is>
      </c>
      <c r="L261" s="23" t="inlineStr">
        <is>
          <t>тв</t>
        </is>
      </c>
      <c r="M261" s="23" t="n">
        <v>639</v>
      </c>
      <c r="N261" s="23" t="n">
        <v>2023</v>
      </c>
      <c r="O261" s="23" t="n">
        <v>676</v>
      </c>
      <c r="P261" s="23" t="n"/>
      <c r="Q261" s="23" t="n"/>
      <c r="R261" s="25" t="inlineStr">
        <is>
          <t>Книга «Зарождение добровольческой армии» представляет собой первый том из серии, посвященной Белому движению в России, и знакомит читателя с воспоминаниями участников событий на Дону и Кубани в конце 1917 — начале 1918 г._x000D_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редкость._x000D_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is>
      </c>
      <c r="S261" s="26">
        <f>HYPERLINK("http://www.cnpol.ru/covers/20647.jpg","фото на сайте")</f>
        <v/>
      </c>
    </row>
    <row r="262" ht="50.1" customHeight="1" s="3">
      <c r="A262" s="23" t="n"/>
      <c r="B262" s="24" t="inlineStr">
        <is>
          <t>20923</t>
        </is>
      </c>
      <c r="C262" s="23" t="inlineStr">
        <is>
          <t>БД НОВ</t>
        </is>
      </c>
      <c r="D262" s="23" t="inlineStr">
        <is>
          <t>Волков С.В.</t>
        </is>
      </c>
      <c r="E262" s="23" t="inlineStr">
        <is>
          <t>Исход Русской Армии генерала Врангеля из Крыма</t>
        </is>
      </c>
      <c r="F262" s="23" t="inlineStr">
        <is>
          <t>        </t>
        </is>
      </c>
      <c r="G262" s="27" t="n">
        <v>2031</v>
      </c>
      <c r="H262" s="23" t="n">
        <v>10</v>
      </c>
      <c r="I262" s="23" t="n">
        <v>4</v>
      </c>
      <c r="J262" s="23" t="inlineStr">
        <is>
          <t>978-5-227-10076-4</t>
        </is>
      </c>
      <c r="K262" s="23" t="inlineStr">
        <is>
          <t>60x90 1/16</t>
        </is>
      </c>
      <c r="L262" s="23" t="inlineStr">
        <is>
          <t>тв</t>
        </is>
      </c>
      <c r="M262" s="23" t="n">
        <v>703</v>
      </c>
      <c r="N262" s="23" t="n">
        <v>2023</v>
      </c>
      <c r="O262" s="23" t="n">
        <v>804</v>
      </c>
      <c r="P262" s="23" t="n"/>
      <c r="Q262" s="23" t="n"/>
      <c r="R262" s="25" t="inlineStr">
        <is>
          <t>Книга представляет собой пятнадцатый том из серии, посвященной Белому движению в России, и повествует о последних боях Русской Армии генерала П.Н. Врангеля и ее эвакуации из Крыма и охватывает период с начала сентября по начало ноября 1920 года. Успешные наступательные действия белых захлебнулись, когда большевики, заключившие перемирие с поляками, создали против Русской Армии почти 5-кратный перевес в живой силе, прежде всего в кавалерии. Белые армии были вынуждены отойти сначала за перешеек в Крым, а затем к портам. Эвакуация Русской Армии была проведена Врангелем  безукоризненно, и ныне рассматривается во всех военных учебниках как образцово-классическая. Это были последние рыцари Российской империи, уходившие в изгнание с гордо поднятой головой. «Слава побежденным!» — так говорили им и о них те, кто отдавал себе отчет в драматизме происшедших в России событий._x000D__x000D_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62" s="26">
        <f>HYPERLINK("http://www.cnpol.ru/covers/20923.jpg","фото на сайте")</f>
        <v/>
      </c>
    </row>
    <row r="263" ht="50.1" customHeight="1" s="3">
      <c r="A263" s="23" t="n"/>
      <c r="B263" s="24" t="inlineStr">
        <is>
          <t>20838</t>
        </is>
      </c>
      <c r="C263" s="23" t="inlineStr">
        <is>
          <t>БД НОВ</t>
        </is>
      </c>
      <c r="D263" s="23" t="inlineStr">
        <is>
          <t>Волков С.В.</t>
        </is>
      </c>
      <c r="E263" s="23" t="inlineStr">
        <is>
          <t>Кадеты и юнкера в Белой борьбе и на чужбине</t>
        </is>
      </c>
      <c r="F263" s="23" t="inlineStr">
        <is>
          <t>        </t>
        </is>
      </c>
      <c r="G263" s="27" t="n">
        <v>2460</v>
      </c>
      <c r="H263" s="23" t="n">
        <v>10</v>
      </c>
      <c r="I263" s="23" t="n">
        <v>3</v>
      </c>
      <c r="J263" s="23" t="inlineStr">
        <is>
          <t>978-5-227-10017-7</t>
        </is>
      </c>
      <c r="K263" s="23" t="inlineStr">
        <is>
          <t>60x90 1/16</t>
        </is>
      </c>
      <c r="L263" s="23" t="inlineStr">
        <is>
          <t>тв</t>
        </is>
      </c>
      <c r="M263" s="23" t="n">
        <v>927</v>
      </c>
      <c r="N263" s="23" t="n">
        <v>2023</v>
      </c>
      <c r="O263" s="23" t="n">
        <v>1035</v>
      </c>
      <c r="P263" s="23" t="n"/>
      <c r="Q263" s="23" t="n"/>
      <c r="R263" s="25" t="inlineStr">
        <is>
          <t>Книга представляет собой одиннадцатый том серии, посвященной истории Белого движения в России по воспоминаниям его участников. Посвящен он кадетам и юнкерам — самым юным участникам Белой борьбы. Тесно связанная с традициями своих семей и учебных заведений, военная молодежь отличалась высокой степенью патриотизма и непримиримым отношением к большевикам, разрушителям российской государственности. Юнкера и кадеты внесли весомый вклад в Белое дело и сохранение русского воинского духа на чужбине._x000D_
Материалы тома практически неизвестны широкому читателю. Они снабжены уникальным справочным аппаратом, биографическими справками об авторах и героях очерков.</t>
        </is>
      </c>
      <c r="S263" s="26">
        <f>HYPERLINK("http://www.cnpol.ru/covers/20838.jpg","фото на сайте")</f>
        <v/>
      </c>
    </row>
    <row r="264" ht="50.1" customHeight="1" s="3">
      <c r="A264" s="23" t="inlineStr">
        <is>
          <t>Н</t>
        </is>
      </c>
      <c r="B264" s="24" t="inlineStr">
        <is>
          <t>21088</t>
        </is>
      </c>
      <c r="C264" s="23" t="inlineStr">
        <is>
          <t>БД НОВ</t>
        </is>
      </c>
      <c r="D264" s="23" t="inlineStr">
        <is>
          <t>Волков С.В.</t>
        </is>
      </c>
      <c r="E264" s="23" t="inlineStr">
        <is>
          <t>От Орла до Новороссийска</t>
        </is>
      </c>
      <c r="F264" s="23" t="inlineStr">
        <is>
          <t>        </t>
        </is>
      </c>
      <c r="G264" s="27" t="n">
        <v>1814</v>
      </c>
      <c r="H264" s="23" t="n">
        <v>10</v>
      </c>
      <c r="I264" s="23" t="n">
        <v>5</v>
      </c>
      <c r="J264" s="23" t="inlineStr">
        <is>
          <t>978-5-227-10132-7</t>
        </is>
      </c>
      <c r="K264" s="23" t="inlineStr">
        <is>
          <t>60x90 1/16</t>
        </is>
      </c>
      <c r="L264" s="23" t="inlineStr">
        <is>
          <t>тв</t>
        </is>
      </c>
      <c r="M264" s="23" t="n">
        <v>623</v>
      </c>
      <c r="N264" s="23" t="n">
        <v>2024</v>
      </c>
      <c r="O264" s="23" t="n">
        <v>725</v>
      </c>
      <c r="P264" s="23" t="n"/>
      <c r="Q264" s="23" t="n"/>
      <c r="R264" s="25" t="inlineStr">
        <is>
          <t>Книга представляет собой двадцатый том из серии, посвященной Белому движению в России, и описывает боевые действия Вооруженных Сил Юга России с начала октября 1919 года до марта 1920 года, то есть от начала их отхода осенью 1919-го до эвакуации из Одессы и Новороссийска._x000D_
Вооруженные силы белых оказались расчлененными, они стали нести значительные потери и быстро таяли. В ходе отступления потери белых убитыми, умершими и попавшими в плен составили более 200 тыс. человек._x000D_
Большинство публикуемых воспоминаний в России никогда не издавались._x000D_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64" s="26">
        <f>HYPERLINK("http://www.cnpol.ru/covers/21088.jpg","фото на сайте")</f>
        <v/>
      </c>
    </row>
    <row r="265" ht="50.1" customHeight="1" s="3">
      <c r="A265" s="23" t="n"/>
      <c r="B265" s="24" t="inlineStr">
        <is>
          <t>20767</t>
        </is>
      </c>
      <c r="C265" s="23" t="inlineStr">
        <is>
          <t>БД НОВ</t>
        </is>
      </c>
      <c r="D265" s="23" t="inlineStr">
        <is>
          <t>Волков С.В.</t>
        </is>
      </c>
      <c r="E265" s="23" t="inlineStr">
        <is>
          <t>Офицеры российской гвардии в Белой борьбе</t>
        </is>
      </c>
      <c r="F265" s="23" t="inlineStr">
        <is>
          <t>        </t>
        </is>
      </c>
      <c r="G265" s="27" t="n">
        <v>2149</v>
      </c>
      <c r="H265" s="23" t="n">
        <v>10</v>
      </c>
      <c r="I265" s="23" t="n">
        <v>4</v>
      </c>
      <c r="J265" s="23" t="inlineStr">
        <is>
          <t>978-5-227-10014-6</t>
        </is>
      </c>
      <c r="K265" s="23" t="inlineStr">
        <is>
          <t>60x90 1/16</t>
        </is>
      </c>
      <c r="L265" s="23" t="inlineStr">
        <is>
          <t>тв</t>
        </is>
      </c>
      <c r="M265" s="23" t="n">
        <v>815</v>
      </c>
      <c r="N265" s="23" t="n">
        <v>2023</v>
      </c>
      <c r="O265" s="23" t="n">
        <v>910</v>
      </c>
      <c r="P265" s="23" t="n"/>
      <c r="Q265" s="23" t="n"/>
      <c r="R265" s="25" t="inlineStr">
        <is>
          <t>Книга «Офицеры российской гвардии в Белой борьбе» представляет собой восьмой том серии, посвященной истории Белого движения в России по воспоминаниям его участников._x000D_
За небольшим исключением помещенные в томе материалы никогда не издавались, а опубликованные за рубежом представляют собой библиографическую редкость._x000D_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is>
      </c>
      <c r="S265" s="26">
        <f>HYPERLINK("http://www.cnpol.ru/covers/20767.jpg","фото на сайте")</f>
        <v/>
      </c>
    </row>
    <row r="266" ht="50.1" customHeight="1" s="3">
      <c r="A266" s="23" t="n"/>
      <c r="B266" s="24" t="inlineStr">
        <is>
          <t>20648</t>
        </is>
      </c>
      <c r="C266" s="23" t="inlineStr">
        <is>
          <t>БД НОВ</t>
        </is>
      </c>
      <c r="D266" s="23" t="inlineStr">
        <is>
          <t>Волков С.В.</t>
        </is>
      </c>
      <c r="E266" s="23" t="inlineStr">
        <is>
          <t>Первые бои добровольческой армии</t>
        </is>
      </c>
      <c r="F266" s="23" t="inlineStr">
        <is>
          <t>        </t>
        </is>
      </c>
      <c r="G266" s="27" t="n">
        <v>1747</v>
      </c>
      <c r="H266" s="23" t="n">
        <v>10</v>
      </c>
      <c r="I266" s="23" t="n">
        <v>5</v>
      </c>
      <c r="J266" s="23" t="inlineStr">
        <is>
          <t>978-5-227-09960-0</t>
        </is>
      </c>
      <c r="K266" s="23" t="inlineStr">
        <is>
          <t>60x90 1/16</t>
        </is>
      </c>
      <c r="L266" s="23" t="inlineStr">
        <is>
          <t>тв</t>
        </is>
      </c>
      <c r="M266" s="23" t="n">
        <v>543</v>
      </c>
      <c r="N266" s="23" t="n">
        <v>2023</v>
      </c>
      <c r="O266" s="23" t="n">
        <v>545</v>
      </c>
      <c r="P266" s="23" t="n"/>
      <c r="Q266" s="23" t="n"/>
      <c r="R266" s="25" t="inlineStr">
        <is>
          <t>Книга «Первые бои добровольческой армии» представляет собой второй том из серии, посвященной Белому движению в России, и знакомит читателя с воспоминаниями участников событий на Дону и Кубани в конце 1917 — начале 1918 г._x000D_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редкость._x000D_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is>
      </c>
      <c r="S266" s="26">
        <f>HYPERLINK("http://www.cnpol.ru/covers/20648.jpg","фото на сайте")</f>
        <v/>
      </c>
    </row>
    <row r="267" ht="50.1" customHeight="1" s="3">
      <c r="A267" s="23" t="n"/>
      <c r="B267" s="24" t="inlineStr">
        <is>
          <t>20689</t>
        </is>
      </c>
      <c r="C267" s="23" t="inlineStr">
        <is>
          <t>БД НОВ</t>
        </is>
      </c>
      <c r="D267" s="23" t="inlineStr">
        <is>
          <t>Волков С.В.</t>
        </is>
      </c>
      <c r="E267" s="23" t="inlineStr">
        <is>
          <t>Первый кубанский («Ледяной») поход</t>
        </is>
      </c>
      <c r="F267" s="23" t="inlineStr">
        <is>
          <t>        </t>
        </is>
      </c>
      <c r="G267" s="27" t="n">
        <v>2460</v>
      </c>
      <c r="H267" s="23" t="n">
        <v>10</v>
      </c>
      <c r="I267" s="23" t="n">
        <v>3</v>
      </c>
      <c r="J267" s="23" t="inlineStr">
        <is>
          <t>978-5-227-10001-6</t>
        </is>
      </c>
      <c r="K267" s="23" t="inlineStr">
        <is>
          <t>60x90 1/16</t>
        </is>
      </c>
      <c r="L267" s="23" t="inlineStr">
        <is>
          <t>тв</t>
        </is>
      </c>
      <c r="M267" s="23" t="n">
        <v>943</v>
      </c>
      <c r="N267" s="23" t="n">
        <v>2023</v>
      </c>
      <c r="O267" s="23" t="n">
        <v>1100</v>
      </c>
      <c r="P267" s="23" t="n"/>
      <c r="Q267" s="23" t="n"/>
      <c r="R267" s="25" t="inlineStr">
        <is>
          <t>Книга «Первый кубанский («Ледяной») поход» представляет собой третий том из серии, посвященной Белому движению в России, и знакомит читателя с воспоминаниями участников событий на Дону и Кубани зимой и весной 1918 г._x000D_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редкость._x000D_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is>
      </c>
      <c r="S267" s="26">
        <f>HYPERLINK("http://www.cnpol.ru/covers/20689.jpg","фото на сайте")</f>
        <v/>
      </c>
    </row>
    <row r="268" ht="50.1" customHeight="1" s="3">
      <c r="A268" s="23" t="inlineStr">
        <is>
          <t>Н</t>
        </is>
      </c>
      <c r="B268" s="24" t="inlineStr">
        <is>
          <t>21132</t>
        </is>
      </c>
      <c r="C268" s="23" t="inlineStr">
        <is>
          <t>БД НОВ</t>
        </is>
      </c>
      <c r="D268" s="23" t="inlineStr">
        <is>
          <t>Волков С.В.</t>
        </is>
      </c>
      <c r="E268" s="23" t="inlineStr">
        <is>
          <t>Последние бои Вооруженных Сил Юга России</t>
        </is>
      </c>
      <c r="F268" s="23" t="inlineStr">
        <is>
          <t>        </t>
        </is>
      </c>
      <c r="G268" s="27" t="n">
        <v>1493</v>
      </c>
      <c r="H268" s="23" t="n">
        <v>10</v>
      </c>
      <c r="I268" s="23" t="n">
        <v>6</v>
      </c>
      <c r="J268" s="23" t="inlineStr">
        <is>
          <t>978-5-227-10133-4</t>
        </is>
      </c>
      <c r="K268" s="23" t="inlineStr">
        <is>
          <t>60x90 1/16</t>
        </is>
      </c>
      <c r="L268" s="23" t="inlineStr">
        <is>
          <t>тв</t>
        </is>
      </c>
      <c r="M268" s="23" t="n">
        <v>447</v>
      </c>
      <c r="N268" s="23" t="n">
        <v>2024</v>
      </c>
      <c r="O268" s="23" t="n">
        <v>560</v>
      </c>
      <c r="P268" s="23" t="n"/>
      <c r="Q268" s="23" t="n"/>
      <c r="R268" s="25" t="inlineStr">
        <is>
          <t>Книга представляет собой 21-й том, посвященный Белому движению в России, и охватывает действия белых в составе Вооруженных Сил на Юге России зимой—весной 1920 года, то есть последний период тяжелого отступления белых от Орла в направлениях Донской области, Одессы и Крыма, в преддверии Крымской эпопеи Русской Армии генерала П.Н. Врангеля._x000D_
В настоящем издании собраны воспоминания участников о борьбе в рядах ВСЮР в это время. За небольшими исключениями, в России они никогда не публиковались._x000D_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68" s="26">
        <f>HYPERLINK("http://www.cnpol.ru/covers/21132.jpg","фото на сайте")</f>
        <v/>
      </c>
    </row>
    <row r="269" ht="50.1" customHeight="1" s="3">
      <c r="A269" s="23" t="inlineStr">
        <is>
          <t>Н</t>
        </is>
      </c>
      <c r="B269" s="24" t="inlineStr">
        <is>
          <t>21157</t>
        </is>
      </c>
      <c r="C269" s="23" t="inlineStr">
        <is>
          <t>БД НОВ</t>
        </is>
      </c>
      <c r="D269" s="23" t="inlineStr">
        <is>
          <t>Волков С.В.</t>
        </is>
      </c>
      <c r="E269" s="23" t="inlineStr">
        <is>
          <t>Последние бои на Дальнем Востоке</t>
        </is>
      </c>
      <c r="F269" s="23" t="inlineStr">
        <is>
          <t>        </t>
        </is>
      </c>
      <c r="G269" s="27" t="n">
        <v>2305</v>
      </c>
      <c r="H269" s="23" t="n">
        <v>10</v>
      </c>
      <c r="I269" s="23" t="n">
        <v>4</v>
      </c>
      <c r="J269" s="23" t="inlineStr">
        <is>
          <t>978-5-227-10136-5</t>
        </is>
      </c>
      <c r="K269" s="23" t="inlineStr">
        <is>
          <t>60x90 1/16</t>
        </is>
      </c>
      <c r="L269" s="23" t="inlineStr">
        <is>
          <t>тв</t>
        </is>
      </c>
      <c r="M269" s="23" t="n">
        <v>815</v>
      </c>
      <c r="N269" s="23" t="n">
        <v>2024</v>
      </c>
      <c r="O269" s="23" t="n">
        <v>920</v>
      </c>
      <c r="P269" s="23" t="n"/>
      <c r="Q269" s="23" t="n"/>
      <c r="R269" s="25" t="inlineStr">
        <is>
          <t>Книга представляет собой 24-й том из серии, посвященной Белому движению в России, и знакомит с заключительным этапом Гражданской войны на территории исторической России — боям и политической обстановке в 1921—1922 гг. в Приморье. Подробно описан так называемый Хабаровский поход, взятие Хабаровска и отступление. Несомненный интерес представляют воспоминания участников тех событий, связанных с созывом Приамурского Земского собора, деятельностью генерала М.К. Дитерихса, эвакуацией армии в Китай._x000D_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69" s="26">
        <f>HYPERLINK("http://www.cnpol.ru/covers/21157.jpg","фото на сайте")</f>
        <v/>
      </c>
    </row>
    <row r="270" ht="50.1" customHeight="1" s="3">
      <c r="A270" s="23" t="n"/>
      <c r="B270" s="24" t="inlineStr">
        <is>
          <t>20950</t>
        </is>
      </c>
      <c r="C270" s="23" t="inlineStr">
        <is>
          <t>БД НОВ</t>
        </is>
      </c>
      <c r="D270" s="23" t="inlineStr">
        <is>
          <t>Волков С.В.</t>
        </is>
      </c>
      <c r="E270" s="23" t="inlineStr">
        <is>
          <t>Поход на Москву</t>
        </is>
      </c>
      <c r="F270" s="23" t="inlineStr">
        <is>
          <t>        </t>
        </is>
      </c>
      <c r="G270" s="27" t="n">
        <v>2124</v>
      </c>
      <c r="H270" s="23" t="n">
        <v>10</v>
      </c>
      <c r="I270" s="23" t="n">
        <v>4</v>
      </c>
      <c r="J270" s="23" t="inlineStr">
        <is>
          <t>978-5-227-10079-5</t>
        </is>
      </c>
      <c r="K270" s="23" t="inlineStr">
        <is>
          <t>60x90 1/16</t>
        </is>
      </c>
      <c r="L270" s="23" t="inlineStr">
        <is>
          <t>тв</t>
        </is>
      </c>
      <c r="M270" s="23" t="n">
        <v>735</v>
      </c>
      <c r="N270" s="23" t="n">
        <v>2023</v>
      </c>
      <c r="O270" s="23" t="n">
        <v>838</v>
      </c>
      <c r="P270" s="23" t="n"/>
      <c r="Q270" s="23" t="n"/>
      <c r="R270" s="25" t="inlineStr">
        <is>
          <t>Книга представляет собой восемнадцатый том серии, посвященной Белому движению в России, и охватывает действия Вооруженных сил на Юге России (ВСЮР) летом и ранней осенью 1919 года, когда белые войска, взяв Харьков, Белгород, Царицын, устремились на север и имели непосредственной целью занятие Москвы. К этому времени численность ВСЮР составляла около 250 тыс. человек._x000D__x000D_
В ходе наступления были взяты Киев, Курск, Воронеж, Орел. На направлениях главных ударов действовали знаменитые именные полки белых — Корниловский, Марковский, Дроздовский, Алексеевский. Однако растянутость линии фронта, а главное — высвобождение большевиками резервов с Западного (против поляков) и Восточного (против Колчака) фронтов привели сначала к приостановке наступления, а затем и к началу отката на юг._x000D__x000D_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70" s="26">
        <f>HYPERLINK("http://www.cnpol.ru/covers/20950.jpg","фото на сайте")</f>
        <v/>
      </c>
    </row>
    <row r="271" ht="50.1" customHeight="1" s="3">
      <c r="A271" s="23" t="n"/>
      <c r="B271" s="24" t="inlineStr">
        <is>
          <t>20890</t>
        </is>
      </c>
      <c r="C271" s="23" t="inlineStr">
        <is>
          <t>БД НОВ</t>
        </is>
      </c>
      <c r="D271" s="23" t="inlineStr">
        <is>
          <t>Волков С.В.</t>
        </is>
      </c>
      <c r="E271" s="23" t="inlineStr">
        <is>
          <t>Русская Армия в изгнании</t>
        </is>
      </c>
      <c r="F271" s="23" t="inlineStr">
        <is>
          <t>        </t>
        </is>
      </c>
      <c r="G271" s="27" t="n">
        <v>1612</v>
      </c>
      <c r="H271" s="23" t="n">
        <v>10</v>
      </c>
      <c r="I271" s="23" t="n">
        <v>5</v>
      </c>
      <c r="J271" s="23" t="inlineStr">
        <is>
          <t>978-5-227-10019-1</t>
        </is>
      </c>
      <c r="K271" s="23" t="inlineStr">
        <is>
          <t>60x90 1/16</t>
        </is>
      </c>
      <c r="L271" s="23" t="inlineStr">
        <is>
          <t>тв</t>
        </is>
      </c>
      <c r="M271" s="23" t="n">
        <v>511</v>
      </c>
      <c r="N271" s="23" t="n">
        <v>2023</v>
      </c>
      <c r="O271" s="23" t="n">
        <v>630</v>
      </c>
      <c r="P271" s="23" t="n"/>
      <c r="Q271" s="23" t="n"/>
      <c r="R271" s="25" t="inlineStr">
        <is>
          <t>Книга представляет собой тринадцатый том серии, посвященной Белому движению в России и истории Русской Армии генерала П.Н. Врангеля после 1921 года, когда было принято решение о ее перебазировании в Болгарию и Югославию. Показано, как постепенно чины армии стали рассеиваться по всей Европе и другим континентам, как в 1924 году был создан Русский общевоинский союз (РОВС), крупнейшая военная организация русской эмиграции. В нескольких мемуарах рассказывается об участии, в ряде случаев выдающемся, русских воинских подразделений в событиях внутренней жизни в Албании, Болгарии, Иране, Парагвае. _x000D__x000D_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71" s="26">
        <f>HYPERLINK("http://www.cnpol.ru/covers/20890.jpg","фото на сайте")</f>
        <v/>
      </c>
    </row>
    <row r="272" ht="50.1" customHeight="1" s="3">
      <c r="A272" s="23" t="n"/>
      <c r="B272" s="24" t="inlineStr">
        <is>
          <t>20891</t>
        </is>
      </c>
      <c r="C272" s="23" t="inlineStr">
        <is>
          <t>БД НОВ</t>
        </is>
      </c>
      <c r="D272" s="23" t="inlineStr">
        <is>
          <t>Волков С.В.</t>
        </is>
      </c>
      <c r="E272" s="23" t="inlineStr">
        <is>
          <t>Русская Армия генерала Врангеля. Бои на Кубани и в Северной Таврии</t>
        </is>
      </c>
      <c r="F272" s="23" t="inlineStr">
        <is>
          <t>        </t>
        </is>
      </c>
      <c r="G272" s="27" t="n">
        <v>2514</v>
      </c>
      <c r="H272" s="23" t="n">
        <v>10</v>
      </c>
      <c r="I272" s="23" t="n">
        <v>3</v>
      </c>
      <c r="J272" s="23" t="inlineStr">
        <is>
          <t>978-5-227-10075-7</t>
        </is>
      </c>
      <c r="K272" s="23" t="inlineStr">
        <is>
          <t>60x90 1/16</t>
        </is>
      </c>
      <c r="L272" s="23" t="inlineStr">
        <is>
          <t>тв</t>
        </is>
      </c>
      <c r="M272" s="23" t="n">
        <v>943</v>
      </c>
      <c r="N272" s="23" t="n">
        <v>2023</v>
      </c>
      <c r="O272" s="23" t="n">
        <v>1016</v>
      </c>
      <c r="P272" s="23" t="n"/>
      <c r="Q272" s="23" t="n"/>
      <c r="R272" s="25" t="inlineStr">
        <is>
          <t>Книга представляет собой четырнадцатый том серии, посвященной Белому движению в России, и охватывает события первых месяцев истории Русской Армии после эвакуации из Новороссийска и Одессы в Крым части Вооруженных сил на Юге России (март — август 1920 г.)._x000D__x000D_
В книге детально представлен сложный процесс передачи командования ВСЮР от генерала А.И. Деникина к генералу П.Н. Врангелю. Подробно описаны действия нового командования по воссозданию боеспособной армии и ее духа, переходу в контрнаступление и проведению военных операций в Северной Таврии и на Кубани. Эти и последующие акции позволили белому воинству достойно завершить 3-летнюю Гражданскую войну и уйти в изгнание с гордо поднятой головой. «Слава побежденным!» — такими словами заканчивается один из фрагментов этой книги._x000D__x000D_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72" s="26">
        <f>HYPERLINK("http://www.cnpol.ru/covers/20891.jpg","фото на сайте")</f>
        <v/>
      </c>
    </row>
    <row r="273" ht="50.1" customHeight="1" s="3">
      <c r="A273" s="23" t="n"/>
      <c r="B273" s="24" t="inlineStr">
        <is>
          <t>20839</t>
        </is>
      </c>
      <c r="C273" s="23" t="inlineStr">
        <is>
          <t>БД НОВ</t>
        </is>
      </c>
      <c r="D273" s="23" t="inlineStr">
        <is>
          <t>Волков С.В.</t>
        </is>
      </c>
      <c r="E273" s="23" t="inlineStr">
        <is>
          <t>Русская армия на чужбине. Галлиполийская эпопея</t>
        </is>
      </c>
      <c r="F273" s="23" t="inlineStr">
        <is>
          <t>        </t>
        </is>
      </c>
      <c r="G273" s="27" t="n">
        <v>1547</v>
      </c>
      <c r="H273" s="23" t="n">
        <v>10</v>
      </c>
      <c r="I273" s="23" t="n">
        <v>5</v>
      </c>
      <c r="J273" s="23" t="inlineStr">
        <is>
          <t>978-5-227-10018-4</t>
        </is>
      </c>
      <c r="K273" s="23" t="inlineStr">
        <is>
          <t>60x90 1/16</t>
        </is>
      </c>
      <c r="L273" s="23" t="inlineStr">
        <is>
          <t>тв</t>
        </is>
      </c>
      <c r="M273" s="23" t="n">
        <v>463</v>
      </c>
      <c r="N273" s="23" t="n">
        <v>2023</v>
      </c>
      <c r="O273" s="23" t="n">
        <v>596</v>
      </c>
      <c r="P273" s="23" t="n"/>
      <c r="Q273" s="23" t="n"/>
      <c r="R273" s="25" t="inlineStr">
        <is>
          <t>Книга представляет собой двенадцатый том серии, посвященной истории Белого движения в России и пребыванию Русской Армии генерала П.Н. Врангеля в лагерях в Галлиполи и других местах в течение первого года после ее эвакуации из Крыма в конце 1920 г._x000D_
Показан трагизм положения русских воинов, когда приходилось бороться с голодом, холодом, жарой, болезнями, недоброжелательством бывших союзников. Тем не менее, Врангель и его окружение (в первую очередь, Кутепов, Кусонский, Шатилов), прилагая неимоверные усилия, сумели сохранить наиболее надежные и подготовленные кадры своей армии и подготовили ее к перебазированию в Болгарию и Югославию._x000D_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73" s="26">
        <f>HYPERLINK("http://www.cnpol.ru/covers/20839.jpg","фото на сайте")</f>
        <v/>
      </c>
    </row>
    <row r="274" ht="50.1" customHeight="1" s="3">
      <c r="A274" s="23" t="inlineStr">
        <is>
          <t>Н</t>
        </is>
      </c>
      <c r="B274" s="24" t="inlineStr">
        <is>
          <t>21200</t>
        </is>
      </c>
      <c r="C274" s="23" t="inlineStr">
        <is>
          <t>БД НОВ</t>
        </is>
      </c>
      <c r="D274" s="23" t="inlineStr">
        <is>
          <t>Волков С.В.</t>
        </is>
      </c>
      <c r="E274" s="23" t="inlineStr">
        <is>
          <t>Русская эмиграция в борьбе с большевизмом</t>
        </is>
      </c>
      <c r="F274" s="23" t="inlineStr">
        <is>
          <t>        </t>
        </is>
      </c>
      <c r="G274" s="27" t="n">
        <v>1673</v>
      </c>
      <c r="H274" s="23" t="n">
        <v>10</v>
      </c>
      <c r="I274" s="23" t="n">
        <v>6</v>
      </c>
      <c r="J274" s="23" t="inlineStr">
        <is>
          <t>978-5-227-10138-9</t>
        </is>
      </c>
      <c r="K274" s="23" t="inlineStr">
        <is>
          <t>60x90 1/16</t>
        </is>
      </c>
      <c r="L274" s="23" t="inlineStr">
        <is>
          <t>тв</t>
        </is>
      </c>
      <c r="M274" s="23" t="n">
        <v>479</v>
      </c>
      <c r="N274" s="23" t="n">
        <v>2024</v>
      </c>
      <c r="O274" s="23" t="n">
        <v>588</v>
      </c>
      <c r="P274" s="23" t="n"/>
      <c r="Q274" s="23" t="n"/>
      <c r="R274" s="25" t="inlineStr">
        <is>
          <t>Книга представляет собой 26-й том из серии, посвященной Белому движению в России, и знакомит с борьбой русской военной эмиграции против советского режима в 20—30-х годах, то есть после завершения боевых действий на территории исторической России._x000D_
В 1924 г. Русская армия на чужбине была преобразована в Русский Обще-Воинский Союз (РОВС), и в практике антисоветской борьбы на первое место выдвинулась засылка в?СССР небольших боевых групп. До 2-й мировой войны лозунг «Кубанский поход продолжается!» владел умами большинства офицеров-эмигрантов, и большевистская разведка считала борьбу с русской военной эмиграцией главным направлением своей деятельности._x000D_
Значительное место в книге уделено описанию известной операции «Трест», но со стороны белых, и истории Боевой Организации генерала А.П. Кутепова. Особый интерес представляет и описание дела Б. Коверды, убившего на перроне Варшавского вокзала советского дипломата Войкова. Войков был убит не как посланник, а как «член коминтерна и за Россию», — говорил на процессе Коверда._x000D_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is>
      </c>
      <c r="S274" s="26">
        <f>HYPERLINK("http://www.cnpol.ru/covers/21200.jpg","фото на сайте")</f>
        <v/>
      </c>
    </row>
    <row r="275" ht="50.1" customHeight="1" s="3">
      <c r="A275" s="23" t="n"/>
      <c r="B275" s="24" t="inlineStr">
        <is>
          <t>20690</t>
        </is>
      </c>
      <c r="C275" s="23" t="inlineStr">
        <is>
          <t>БД НОВ</t>
        </is>
      </c>
      <c r="D275" s="23" t="inlineStr">
        <is>
          <t>Волков С.В.</t>
        </is>
      </c>
      <c r="E275" s="23" t="inlineStr">
        <is>
          <t>Сопротивление большевизму. 1917—1918 гг.</t>
        </is>
      </c>
      <c r="F275" s="23" t="inlineStr">
        <is>
          <t>        </t>
        </is>
      </c>
      <c r="G275" s="27" t="n">
        <v>1747</v>
      </c>
      <c r="H275" s="23" t="n">
        <v>10</v>
      </c>
      <c r="I275" s="23" t="n">
        <v>5</v>
      </c>
      <c r="J275" s="23" t="inlineStr">
        <is>
          <t>978-5-227-10005-4</t>
        </is>
      </c>
      <c r="K275" s="23" t="inlineStr">
        <is>
          <t>60x90 1/16</t>
        </is>
      </c>
      <c r="L275" s="23" t="inlineStr">
        <is>
          <t>тв</t>
        </is>
      </c>
      <c r="M275" s="23" t="n">
        <v>607</v>
      </c>
      <c r="N275" s="23" t="n">
        <v>2023</v>
      </c>
      <c r="O275" s="23" t="n">
        <v>610</v>
      </c>
      <c r="P275" s="23" t="n"/>
      <c r="Q275" s="23" t="n"/>
      <c r="R275" s="25" t="inlineStr">
        <is>
          <t>Книга «Сопротивление большевизму. 1917—1918 гг.» представляет собой четвертый том из серии, посвященной Белому движению в России, и знакомит читателя с воспоминаниями участников событий и боев в Петрограде, Москве, Оренбурге, Ярославле, Крыму, Северном Кавказе, Урале, Средней Азии._x000D_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редкость._x000D_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is>
      </c>
      <c r="S275" s="26">
        <f>HYPERLINK("http://www.cnpol.ru/covers/20690.jpg","фото на сайте")</f>
        <v/>
      </c>
    </row>
    <row r="276" ht="50.1" customHeight="1" s="3">
      <c r="A276" s="23" t="n"/>
      <c r="B276" s="24" t="inlineStr">
        <is>
          <t>20807</t>
        </is>
      </c>
      <c r="C276" s="23" t="inlineStr">
        <is>
          <t>БД НОВ</t>
        </is>
      </c>
      <c r="D276" s="23" t="inlineStr">
        <is>
          <t>Волков С.В.</t>
        </is>
      </c>
      <c r="E276" s="23" t="inlineStr">
        <is>
          <t>Флот в Белой борьбе</t>
        </is>
      </c>
      <c r="F276" s="23" t="inlineStr">
        <is>
          <t>        </t>
        </is>
      </c>
      <c r="G276" s="27" t="n">
        <v>1747</v>
      </c>
      <c r="H276" s="23" t="n">
        <v>10</v>
      </c>
      <c r="I276" s="23" t="n">
        <v>5</v>
      </c>
      <c r="J276" s="23" t="inlineStr">
        <is>
          <t>978-5-227-10015-3</t>
        </is>
      </c>
      <c r="K276" s="23" t="inlineStr">
        <is>
          <t>60x90 1/16</t>
        </is>
      </c>
      <c r="L276" s="23" t="inlineStr">
        <is>
          <t>тв</t>
        </is>
      </c>
      <c r="M276" s="23" t="n">
        <v>607</v>
      </c>
      <c r="N276" s="23" t="n">
        <v>2023</v>
      </c>
      <c r="O276" s="23" t="n">
        <v>722</v>
      </c>
      <c r="P276" s="23" t="n"/>
      <c r="Q276" s="23" t="n"/>
      <c r="R276" s="25" t="inlineStr">
        <is>
          <t>Книга «Флот в Белой борьбе» представляет собой девятый том серии, посвященной истории Белого движения в России, и описывает участие в Гражданской войне русских военных моряков. В книге приведены воспоминания участников Белой борьбы на морях, крупных озерах и реках России. Рассмотрены судьбы русских эскадр, которые вынуждены были интернироваться и разоружиться за рубежом, а также эмигрантские организации моряков._x000D_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редкость._x000D_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is>
      </c>
      <c r="S276" s="26">
        <f>HYPERLINK("http://www.cnpol.ru/covers/20807.jpg","фото на сайте")</f>
        <v/>
      </c>
    </row>
    <row r="277" ht="50.1" customHeight="1" s="3">
      <c r="A277" s="23" t="n"/>
      <c r="B277" s="24" t="inlineStr">
        <is>
          <t>7676</t>
        </is>
      </c>
      <c r="C277" s="23" t="inlineStr">
        <is>
          <t>БЕССОННИЦА</t>
        </is>
      </c>
      <c r="D277" s="23" t="inlineStr">
        <is>
          <t>Соломенко Е.</t>
        </is>
      </c>
      <c r="E277" s="23" t="inlineStr">
        <is>
          <t>Ваш номер - тринадцатый</t>
        </is>
      </c>
      <c r="F277" s="23" t="inlineStr">
        <is>
          <t>        </t>
        </is>
      </c>
      <c r="G277" s="23" t="n">
        <v>428</v>
      </c>
      <c r="H277" s="23" t="n">
        <v>10</v>
      </c>
      <c r="I277" s="23" t="n">
        <v>14</v>
      </c>
      <c r="J277" s="23" t="inlineStr">
        <is>
          <t>978-5-9524-2556-9</t>
        </is>
      </c>
      <c r="K277" s="23" t="inlineStr">
        <is>
          <t>82x108 1/32</t>
        </is>
      </c>
      <c r="L277" s="23" t="inlineStr">
        <is>
          <t>тв</t>
        </is>
      </c>
      <c r="M277" s="23" t="n">
        <v>283</v>
      </c>
      <c r="N277" s="23" t="n">
        <v>2008</v>
      </c>
      <c r="O277" s="23" t="n">
        <v>310</v>
      </c>
      <c r="P277" s="23" t="n"/>
      <c r="Q277" s="23" t="n"/>
      <c r="R277" s="25" t="inlineStr">
        <is>
          <t>Можно ли поменять судьбу, как старый плащ? И чем придется за это заплатить?_x000D_
Однажды, когда жизнь кандидата технических наук Зорина стала совершенно невыносима, по почте на его адрес пришел элегантный конверт с золотым тиснением от крутой фирмы "Утренняя заря" с приглашением на спектакль._x000D_
В театре Зорину выдали номерок под сакральным номером 13. И закрутился вокруг нашего героя целый калейдоскоп разных персонажей: мексиканская колдунья, вдова команданте Че Гевары, ветеран НКВД, а также непутевый отпрыск одной из августейших фамилий Европы...</t>
        </is>
      </c>
      <c r="S277" s="26">
        <f>HYPERLINK("http://www.cnpol.ru/covers/7676.jpg","фото на сайте")</f>
        <v/>
      </c>
    </row>
    <row r="278" ht="50.1" customHeight="1" s="3">
      <c r="A278" s="23" t="n"/>
      <c r="B278" s="24" t="inlineStr">
        <is>
          <t>7937</t>
        </is>
      </c>
      <c r="C278" s="23" t="inlineStr">
        <is>
          <t>БЕССОННИЦА</t>
        </is>
      </c>
      <c r="D278" s="23" t="inlineStr">
        <is>
          <t>Полякова С.</t>
        </is>
      </c>
      <c r="E278" s="23" t="inlineStr">
        <is>
          <t>Похищение душ</t>
        </is>
      </c>
      <c r="F278" s="23" t="inlineStr">
        <is>
          <t>        </t>
        </is>
      </c>
      <c r="G278" s="23" t="n">
        <v>428</v>
      </c>
      <c r="H278" s="23" t="n">
        <v>10</v>
      </c>
      <c r="I278" s="23" t="n">
        <v>16</v>
      </c>
      <c r="J278" s="23" t="inlineStr">
        <is>
          <t>978-5-9524-2863-8</t>
        </is>
      </c>
      <c r="K278" s="23" t="inlineStr">
        <is>
          <t>84x108 1/32</t>
        </is>
      </c>
      <c r="L278" s="23" t="inlineStr">
        <is>
          <t>тв</t>
        </is>
      </c>
      <c r="M278" s="23" t="n">
        <v>287</v>
      </c>
      <c r="N278" s="23" t="n">
        <v>2008</v>
      </c>
      <c r="O278" s="23" t="n">
        <v>264</v>
      </c>
      <c r="P278" s="23" t="n"/>
      <c r="Q278" s="23" t="n"/>
      <c r="R278" s="25" t="n"/>
      <c r="S278" s="26">
        <f>HYPERLINK("http://www.cnpol.ru/covers/7937.jpg","фото на сайте")</f>
        <v/>
      </c>
    </row>
    <row r="279" ht="50.1" customHeight="1" s="3">
      <c r="A279" s="23" t="n"/>
      <c r="B279" s="24" t="inlineStr">
        <is>
          <t>4778</t>
        </is>
      </c>
      <c r="C279" s="23" t="inlineStr">
        <is>
          <t>БПС М</t>
        </is>
      </c>
      <c r="D279" s="23" t="inlineStr">
        <is>
          <t>Малышева А.</t>
        </is>
      </c>
      <c r="E279" s="23" t="inlineStr">
        <is>
          <t>Православный брак</t>
        </is>
      </c>
      <c r="F279" s="23" t="inlineStr">
        <is>
          <t>        </t>
        </is>
      </c>
      <c r="G279" s="23" t="n">
        <v>150</v>
      </c>
      <c r="H279" s="23" t="n">
        <v>10</v>
      </c>
      <c r="I279" s="23" t="n">
        <v>40</v>
      </c>
      <c r="J279" s="23" t="inlineStr">
        <is>
          <t>5-9524-0961-X</t>
        </is>
      </c>
      <c r="K279" s="23" t="inlineStr">
        <is>
          <t>70x90 1/32</t>
        </is>
      </c>
      <c r="L279" s="23" t="inlineStr">
        <is>
          <t>мяг</t>
        </is>
      </c>
      <c r="M279" s="23" t="n">
        <v>141</v>
      </c>
      <c r="N279" s="23" t="n">
        <v>2004</v>
      </c>
      <c r="O279" s="23" t="n">
        <v>60</v>
      </c>
      <c r="P279" s="23" t="n"/>
      <c r="Q279" s="23" t="n"/>
      <c r="R279" s="25" t="n"/>
      <c r="S279" s="26">
        <f>HYPERLINK("http://www.cnpol.ru/covers/4778.jpg","фото на сайте")</f>
        <v/>
      </c>
    </row>
    <row r="280" ht="50.1" customHeight="1" s="3">
      <c r="A280" s="23" t="n"/>
      <c r="B280" s="24" t="inlineStr">
        <is>
          <t>16638</t>
        </is>
      </c>
      <c r="C280" s="23" t="inlineStr">
        <is>
          <t>БПС Т</t>
        </is>
      </c>
      <c r="D280" s="23" t="inlineStr">
        <is>
          <t>Пигулевская И.С.</t>
        </is>
      </c>
      <c r="E280" s="23" t="inlineStr">
        <is>
          <t>Николай Чудотворец. Архиепископ Мир Ликийских</t>
        </is>
      </c>
      <c r="F280" s="23" t="inlineStr">
        <is>
          <t>        </t>
        </is>
      </c>
      <c r="G280" s="23" t="n">
        <v>534</v>
      </c>
      <c r="H280" s="23" t="n">
        <v>10</v>
      </c>
      <c r="I280" s="23" t="n">
        <v>14</v>
      </c>
      <c r="J280" s="23" t="inlineStr">
        <is>
          <t>978-5-227-06473-8</t>
        </is>
      </c>
      <c r="K280" s="23" t="inlineStr">
        <is>
          <t>84x108 1/32</t>
        </is>
      </c>
      <c r="L280" s="23" t="inlineStr">
        <is>
          <t>тв</t>
        </is>
      </c>
      <c r="M280" s="23" t="n">
        <v>288</v>
      </c>
      <c r="N280" s="23" t="n">
        <v>2016</v>
      </c>
      <c r="O280" s="23" t="n">
        <v>264</v>
      </c>
      <c r="P280" s="23" t="n"/>
      <c r="Q280" s="23" t="n"/>
      <c r="R280" s="25" t="n"/>
      <c r="S280" s="26">
        <f>HYPERLINK("http://www.cnpol.ru/covers/16638.jpg","фото на сайте")</f>
        <v/>
      </c>
    </row>
    <row r="281" ht="50.1" customHeight="1" s="3">
      <c r="A281" s="23" t="n"/>
      <c r="B281" s="24" t="inlineStr">
        <is>
          <t>13067</t>
        </is>
      </c>
      <c r="C281" s="23" t="inlineStr">
        <is>
          <t>БПС Т</t>
        </is>
      </c>
      <c r="D281" s="23" t="inlineStr">
        <is>
          <t>Мудрова А.Ю.</t>
        </is>
      </c>
      <c r="E281" s="23" t="inlineStr">
        <is>
          <t>Православный календарь. Праздники, посты, именины. Календарь почитания икон Богородицы. Православные  основы и молитвы</t>
        </is>
      </c>
      <c r="F281" s="23" t="inlineStr">
        <is>
          <t>        </t>
        </is>
      </c>
      <c r="G281" s="23" t="n">
        <v>468</v>
      </c>
      <c r="H281" s="23" t="n">
        <v>10</v>
      </c>
      <c r="I281" s="23" t="n">
        <v>8</v>
      </c>
      <c r="J281" s="23" t="inlineStr">
        <is>
          <t>978-5-227-03044-3</t>
        </is>
      </c>
      <c r="K281" s="23" t="inlineStr">
        <is>
          <t>84x108 1/32</t>
        </is>
      </c>
      <c r="L281" s="23" t="inlineStr">
        <is>
          <t>тв</t>
        </is>
      </c>
      <c r="M281" s="23" t="n">
        <v>574</v>
      </c>
      <c r="N281" s="23" t="n">
        <v>2011</v>
      </c>
      <c r="O281" s="23" t="n">
        <v>424</v>
      </c>
      <c r="P281" s="23" t="n"/>
      <c r="Q281" s="23" t="n"/>
      <c r="R281" s="25" t="n"/>
      <c r="S281" s="26">
        <f>HYPERLINK("http://www.cnpol.ru/covers/13067.jpg","фото на сайте")</f>
        <v/>
      </c>
    </row>
    <row r="282" ht="50.1" customHeight="1" s="3">
      <c r="A282" s="23" t="n"/>
      <c r="B282" s="24" t="inlineStr">
        <is>
          <t>16608</t>
        </is>
      </c>
      <c r="C282" s="23" t="inlineStr">
        <is>
          <t>БПС Т</t>
        </is>
      </c>
      <c r="D282" s="23" t="inlineStr">
        <is>
          <t>Мудрова А.Ю.</t>
        </is>
      </c>
      <c r="E282" s="23" t="inlineStr">
        <is>
          <t>Православный календарь. Церковные праздники, именины. Православные тропари и кондаки</t>
        </is>
      </c>
      <c r="F282" s="23" t="inlineStr">
        <is>
          <t>        </t>
        </is>
      </c>
      <c r="G282" s="23" t="n">
        <v>534</v>
      </c>
      <c r="H282" s="23" t="n">
        <v>10</v>
      </c>
      <c r="I282" s="23" t="n">
        <v>14</v>
      </c>
      <c r="J282" s="23" t="inlineStr">
        <is>
          <t>978-5-227-06453-0</t>
        </is>
      </c>
      <c r="K282" s="23" t="inlineStr">
        <is>
          <t>84x108 1/32</t>
        </is>
      </c>
      <c r="L282" s="23" t="inlineStr">
        <is>
          <t>тв</t>
        </is>
      </c>
      <c r="M282" s="23" t="n">
        <v>320</v>
      </c>
      <c r="N282" s="23" t="n">
        <v>2016</v>
      </c>
      <c r="O282" s="23" t="n">
        <v>268</v>
      </c>
      <c r="P282" s="23" t="n"/>
      <c r="Q282" s="23" t="n"/>
      <c r="R282" s="25" t="n"/>
      <c r="S282" s="26">
        <f>HYPERLINK("http://www.cnpol.ru/covers/16608.jpg","фото на сайте")</f>
        <v/>
      </c>
    </row>
    <row r="283" ht="50.1" customHeight="1" s="3">
      <c r="A283" s="23" t="n"/>
      <c r="B283" s="24" t="inlineStr">
        <is>
          <t>17002</t>
        </is>
      </c>
      <c r="C283" s="23" t="inlineStr">
        <is>
          <t>БПС Т</t>
        </is>
      </c>
      <c r="D283" s="23" t="inlineStr">
        <is>
          <t>Мудрова А.Ю.</t>
        </is>
      </c>
      <c r="E283" s="23" t="inlineStr">
        <is>
          <t>Святой преподобный Сергий Радонежский</t>
        </is>
      </c>
      <c r="F283" s="23" t="inlineStr">
        <is>
          <t>        </t>
        </is>
      </c>
      <c r="G283" s="23" t="n">
        <v>534</v>
      </c>
      <c r="H283" s="23" t="n">
        <v>10</v>
      </c>
      <c r="I283" s="23" t="n">
        <v>12</v>
      </c>
      <c r="J283" s="23" t="inlineStr">
        <is>
          <t>978-5-227-06882-8</t>
        </is>
      </c>
      <c r="K283" s="23" t="inlineStr">
        <is>
          <t>84x108 1/32</t>
        </is>
      </c>
      <c r="L283" s="23" t="inlineStr">
        <is>
          <t>тв</t>
        </is>
      </c>
      <c r="M283" s="23" t="n">
        <v>320</v>
      </c>
      <c r="N283" s="23" t="n">
        <v>2016</v>
      </c>
      <c r="O283" s="23" t="n">
        <v>260</v>
      </c>
      <c r="P283" s="23" t="n"/>
      <c r="Q283" s="23" t="n"/>
      <c r="R283" s="25" t="n"/>
      <c r="S283" s="26">
        <f>HYPERLINK("http://www.cnpol.ru/covers/17002.jpg","фото на сайте")</f>
        <v/>
      </c>
    </row>
    <row r="284" ht="50.1" customHeight="1" s="3">
      <c r="A284" s="23" t="n"/>
      <c r="B284" s="24" t="inlineStr">
        <is>
          <t>20889</t>
        </is>
      </c>
      <c r="C284" s="23" t="inlineStr">
        <is>
          <t>БРК НОВ</t>
        </is>
      </c>
      <c r="D284" s="23" t="inlineStr">
        <is>
          <t>Тер-Нерсесян С. М</t>
        </is>
      </c>
      <c r="E284" s="23" t="inlineStr">
        <is>
          <t>Повседневная жизнь Армении от Античности до Средневековья. Быт, религия, культура</t>
        </is>
      </c>
      <c r="F284" s="23" t="inlineStr">
        <is>
          <t>        </t>
        </is>
      </c>
      <c r="G284" s="23" t="n">
        <v>704</v>
      </c>
      <c r="H284" s="23" t="n">
        <v>10</v>
      </c>
      <c r="I284" s="23" t="n">
        <v>14</v>
      </c>
      <c r="J284" s="23" t="inlineStr">
        <is>
          <t>978-5-9524-6029-4</t>
        </is>
      </c>
      <c r="K284" s="23" t="inlineStr">
        <is>
          <t>84x108 1/32</t>
        </is>
      </c>
      <c r="L284" s="23" t="inlineStr">
        <is>
          <t>тв</t>
        </is>
      </c>
      <c r="M284" s="23" t="n">
        <v>188</v>
      </c>
      <c r="N284" s="23" t="n">
        <v>2023</v>
      </c>
      <c r="O284" s="23" t="n">
        <v>284</v>
      </c>
      <c r="P284" s="23" t="n"/>
      <c r="Q284" s="23" t="n"/>
      <c r="R284" s="25" t="inlineStr">
        <is>
          <t>Сирарпи Миграновна Тер-Нерсесян, профессор, член Американской академии Средневековья, член Национального общества антиквариев Франции и член Академии Армении, долгое время преподавала в Сорбонне и в Гарвардском университете. В своей книге она рассказывает об истории развития армянского этноса начиная с бронзового века. Исследователь делает панорамный обзор влияния других культур на общество, экономику, архитектуру и искусство вплоть до раннего Средневековья Армении.</t>
        </is>
      </c>
      <c r="S284" s="26">
        <f>HYPERLINK("http://www.cnpol.ru/covers/20889.jpg","фото на сайте")</f>
        <v/>
      </c>
    </row>
    <row r="285" ht="50.1" customHeight="1" s="3">
      <c r="A285" s="23" t="n"/>
      <c r="B285" s="24" t="inlineStr">
        <is>
          <t>20677</t>
        </is>
      </c>
      <c r="C285" s="23" t="inlineStr">
        <is>
          <t>БРК НОВ</t>
        </is>
      </c>
      <c r="D285" s="23" t="inlineStr">
        <is>
          <t>Саггс Г.У.Ф</t>
        </is>
      </c>
      <c r="E285" s="23" t="inlineStr">
        <is>
          <t>Повседневная жизнь Вавилона и Ассирии. Быт, религия, культура</t>
        </is>
      </c>
      <c r="F285" s="23" t="inlineStr">
        <is>
          <t>        </t>
        </is>
      </c>
      <c r="G285" s="23" t="n">
        <v>704</v>
      </c>
      <c r="H285" s="23" t="n">
        <v>10</v>
      </c>
      <c r="I285" s="23" t="n">
        <v>20</v>
      </c>
      <c r="J285" s="23" t="inlineStr">
        <is>
          <t>978-5-9524-5646-4</t>
        </is>
      </c>
      <c r="K285" s="23" t="inlineStr">
        <is>
          <t>84x108 1/32</t>
        </is>
      </c>
      <c r="L285" s="23" t="inlineStr">
        <is>
          <t>тв</t>
        </is>
      </c>
      <c r="M285" s="23" t="n">
        <v>234</v>
      </c>
      <c r="N285" s="23" t="n">
        <v>2023</v>
      </c>
      <c r="O285" s="23" t="n">
        <v>306</v>
      </c>
      <c r="P285" s="23" t="n"/>
      <c r="Q285" s="23" t="n"/>
      <c r="R285" s="25" t="inlineStr">
        <is>
          <t>Автор, используя материалы археологических экспедиций и лингвистических исследований, сделал уникальную попытку реконструировать быт людей, живших четыре тысячелетия назад в долине Тигра и Евфрата. Вы сможете перенестись к самым истокам нашей цивилизации и открыть для себя мир древней Месопотамии: ее религию, политическое устройство, обычаи, искусство и ремесла.</t>
        </is>
      </c>
      <c r="S285" s="26">
        <f>HYPERLINK("http://www.cnpol.ru/covers/20677.jpg","фото на сайте")</f>
        <v/>
      </c>
    </row>
    <row r="286" ht="50.1" customHeight="1" s="3">
      <c r="A286" s="23" t="n"/>
      <c r="B286" s="24" t="inlineStr">
        <is>
          <t>20053</t>
        </is>
      </c>
      <c r="C286" s="23" t="inlineStr">
        <is>
          <t>БРК НОВ</t>
        </is>
      </c>
      <c r="D286" s="23" t="inlineStr">
        <is>
          <t>Симпсон Ж.</t>
        </is>
      </c>
      <c r="E286" s="23" t="inlineStr">
        <is>
          <t>Повседневная жизнь викингов. Быт, религия, культура</t>
        </is>
      </c>
      <c r="F286" s="23" t="inlineStr">
        <is>
          <t>        </t>
        </is>
      </c>
      <c r="G286" s="23" t="n">
        <v>704</v>
      </c>
      <c r="H286" s="23" t="n">
        <v>10</v>
      </c>
      <c r="I286" s="23" t="n">
        <v>12</v>
      </c>
      <c r="J286" s="23" t="inlineStr">
        <is>
          <t>978-5-9524-5622-8</t>
        </is>
      </c>
      <c r="K286" s="23" t="inlineStr">
        <is>
          <t>84x108 1/32</t>
        </is>
      </c>
      <c r="L286" s="23" t="inlineStr">
        <is>
          <t>тв</t>
        </is>
      </c>
      <c r="M286" s="23" t="n">
        <v>239</v>
      </c>
      <c r="N286" s="23" t="n">
        <v>2021</v>
      </c>
      <c r="O286" s="23" t="n">
        <v>230</v>
      </c>
      <c r="P286" s="23" t="n"/>
      <c r="Q286" s="23" t="n"/>
      <c r="R286" s="25" t="n"/>
      <c r="S286" s="26">
        <f>HYPERLINK("http://www.cnpol.ru/covers/20053.jpg","фото на сайте")</f>
        <v/>
      </c>
    </row>
    <row r="287" ht="50.1" customHeight="1" s="3">
      <c r="A287" s="23" t="n"/>
      <c r="B287" s="24" t="inlineStr">
        <is>
          <t>19862</t>
        </is>
      </c>
      <c r="C287" s="23" t="inlineStr">
        <is>
          <t>БРК НОВ</t>
        </is>
      </c>
      <c r="D287" s="23" t="inlineStr">
        <is>
          <t>Эдвардс М.</t>
        </is>
      </c>
      <c r="E287" s="23" t="inlineStr">
        <is>
          <t>Повседневная жизнь Древней Индии</t>
        </is>
      </c>
      <c r="F287" s="23" t="inlineStr">
        <is>
          <t>        </t>
        </is>
      </c>
      <c r="G287" s="23" t="n">
        <v>704</v>
      </c>
      <c r="H287" s="23" t="n">
        <v>10</v>
      </c>
      <c r="I287" s="23" t="n">
        <v>12</v>
      </c>
      <c r="J287" s="23" t="inlineStr">
        <is>
          <t>978-5-9524-5555-9</t>
        </is>
      </c>
      <c r="K287" s="23" t="inlineStr">
        <is>
          <t>84x108 1/32</t>
        </is>
      </c>
      <c r="L287" s="23" t="inlineStr">
        <is>
          <t>тв</t>
        </is>
      </c>
      <c r="M287" s="23" t="n">
        <v>224</v>
      </c>
      <c r="N287" s="23" t="n">
        <v>2021</v>
      </c>
      <c r="O287" s="23" t="n">
        <v>294</v>
      </c>
      <c r="P287" s="23" t="n"/>
      <c r="Q287" s="23" t="n"/>
      <c r="R287" s="25" t="n"/>
      <c r="S287" s="26">
        <f>HYPERLINK("http://www.cnpol.ru/covers/19862.jpg","фото на сайте")</f>
        <v/>
      </c>
    </row>
    <row r="288" ht="50.1" customHeight="1" s="3">
      <c r="A288" s="23" t="n"/>
      <c r="B288" s="24" t="inlineStr">
        <is>
          <t>20657</t>
        </is>
      </c>
      <c r="C288" s="23" t="inlineStr">
        <is>
          <t>БРК НОВ</t>
        </is>
      </c>
      <c r="D288" s="23" t="inlineStr">
        <is>
          <t>Росс Э.</t>
        </is>
      </c>
      <c r="E288" s="23" t="inlineStr">
        <is>
          <t>Повседневная жизнь кельтов­язычников. Быт, религия, культура</t>
        </is>
      </c>
      <c r="F288" s="23" t="inlineStr">
        <is>
          <t>        </t>
        </is>
      </c>
      <c r="G288" s="23" t="n">
        <v>704</v>
      </c>
      <c r="H288" s="23" t="n">
        <v>10</v>
      </c>
      <c r="I288" s="23" t="n">
        <v>16</v>
      </c>
      <c r="J288" s="23" t="inlineStr">
        <is>
          <t>978-5-9524-5870-3</t>
        </is>
      </c>
      <c r="K288" s="23" t="inlineStr">
        <is>
          <t>84x108 1/32</t>
        </is>
      </c>
      <c r="L288" s="23" t="inlineStr">
        <is>
          <t>тв</t>
        </is>
      </c>
      <c r="M288" s="23" t="n">
        <v>255</v>
      </c>
      <c r="N288" s="23" t="n">
        <v>2023</v>
      </c>
      <c r="O288" s="23" t="n">
        <v>230</v>
      </c>
      <c r="P288" s="23" t="n"/>
      <c r="Q288" s="23" t="n"/>
      <c r="R288" s="25" t="inlineStr">
        <is>
          <t>В книге рассказывается о возникновении и расцвете новой культуры, которая позднее превратилась в могучую кельтскую цивилизацию, распространившую свое влияние на большую часть Европы и Британские острова. Энн Росс ярко воссоздает мир кельтов — кузнецов, сказителей и воинов. Знакомит с внешним видом кельтов, их привычками, манерой одеваться и украшать себя, принципами воспитания детей. Автор увлекательно повествует о находках археологов, священных храмах загадочных друидов, иерархии древнего общества, его магических обрядах и ритуалах.</t>
        </is>
      </c>
      <c r="S288" s="26">
        <f>HYPERLINK("http://www.cnpol.ru/covers/20657.jpg","фото на сайте")</f>
        <v/>
      </c>
    </row>
    <row r="289" ht="50.1" customHeight="1" s="3">
      <c r="A289" s="23" t="n"/>
      <c r="B289" s="24" t="inlineStr">
        <is>
          <t>19786</t>
        </is>
      </c>
      <c r="C289" s="23" t="inlineStr">
        <is>
          <t>БРК НОВ</t>
        </is>
      </c>
      <c r="D289" s="23" t="inlineStr">
        <is>
          <t>Уитлок Р</t>
        </is>
      </c>
      <c r="E289" s="23" t="inlineStr">
        <is>
          <t>Повседневная жизнь майя. Быт, религия, культура</t>
        </is>
      </c>
      <c r="F289" s="23" t="inlineStr">
        <is>
          <t>        </t>
        </is>
      </c>
      <c r="G289" s="23" t="n">
        <v>704</v>
      </c>
      <c r="H289" s="23" t="n">
        <v>10</v>
      </c>
      <c r="I289" s="23" t="n">
        <v>18</v>
      </c>
      <c r="J289" s="23" t="inlineStr">
        <is>
          <t>978-5-9524-5554-2</t>
        </is>
      </c>
      <c r="K289" s="23" t="inlineStr">
        <is>
          <t>84x108 1/32</t>
        </is>
      </c>
      <c r="L289" s="23" t="inlineStr">
        <is>
          <t>тв</t>
        </is>
      </c>
      <c r="M289" s="23" t="n">
        <v>192</v>
      </c>
      <c r="N289" s="23" t="n">
        <v>2021</v>
      </c>
      <c r="O289" s="23" t="n">
        <v>282</v>
      </c>
      <c r="P289" s="23" t="n"/>
      <c r="Q289" s="23" t="n"/>
      <c r="R289" s="25" t="n"/>
      <c r="S289" s="26">
        <f>HYPERLINK("http://www.cnpol.ru/covers/19786.jpg","фото на сайте")</f>
        <v/>
      </c>
    </row>
    <row r="290" ht="50.1" customHeight="1" s="3">
      <c r="A290" s="23" t="n"/>
      <c r="B290" s="24" t="inlineStr">
        <is>
          <t>20848</t>
        </is>
      </c>
      <c r="C290" s="23" t="inlineStr">
        <is>
          <t>БРК НОВ</t>
        </is>
      </c>
      <c r="D290" s="23" t="inlineStr">
        <is>
          <t>Квеннелл М.,Квеннелл Ч</t>
        </is>
      </c>
      <c r="E290" s="23" t="inlineStr">
        <is>
          <t>Повседневная жизнь первобытных людей. Быт, религия, культура</t>
        </is>
      </c>
      <c r="F290" s="23" t="inlineStr">
        <is>
          <t>        </t>
        </is>
      </c>
      <c r="G290" s="23" t="n">
        <v>704</v>
      </c>
      <c r="H290" s="23" t="n">
        <v>10</v>
      </c>
      <c r="I290" s="23" t="n">
        <v>10</v>
      </c>
      <c r="J290" s="23" t="inlineStr">
        <is>
          <t>978-5-9524-5970-0</t>
        </is>
      </c>
      <c r="K290" s="23" t="inlineStr">
        <is>
          <t>84x108 1/32</t>
        </is>
      </c>
      <c r="L290" s="23" t="inlineStr">
        <is>
          <t>тв</t>
        </is>
      </c>
      <c r="M290" s="23" t="n">
        <v>238</v>
      </c>
      <c r="N290" s="23" t="n">
        <v>2023</v>
      </c>
      <c r="O290" s="23" t="n">
        <v>297</v>
      </c>
      <c r="P290" s="23" t="n"/>
      <c r="Q290" s="23" t="n"/>
      <c r="R290" s="25" t="inlineStr">
        <is>
          <t>Авторы этой книги дают возможность увидеть полную картину существования первобытных племен, начиная с эпохи палеолита и заканчивая ранним железным веком. Они знакомят с тем миром, когда на Земле только начинало формироваться человеческое сообщество. Рассказывают о жилищах, орудиях труда и погребениях людей той далекой эпохи. Весь путь, который люди прошли за много тысячелетий, спрессован в увлекательнейшие отчеты археологов, историков, биологов и географов.</t>
        </is>
      </c>
      <c r="S290" s="26">
        <f>HYPERLINK("http://www.cnpol.ru/covers/20848.jpg","фото на сайте")</f>
        <v/>
      </c>
    </row>
    <row r="291" ht="50.1" customHeight="1" s="3">
      <c r="A291" s="23" t="n"/>
      <c r="B291" s="24" t="inlineStr">
        <is>
          <t>20804</t>
        </is>
      </c>
      <c r="C291" s="23" t="inlineStr">
        <is>
          <t>БРК НОВ</t>
        </is>
      </c>
      <c r="D291" s="23" t="inlineStr">
        <is>
          <t>Данн Ч.</t>
        </is>
      </c>
      <c r="E291" s="23" t="inlineStr">
        <is>
          <t>Повседневная жизнь традиционной Японии. Быт, религия, культура</t>
        </is>
      </c>
      <c r="F291" s="23" t="inlineStr">
        <is>
          <t>        </t>
        </is>
      </c>
      <c r="G291" s="23" t="n">
        <v>704</v>
      </c>
      <c r="H291" s="23" t="n">
        <v>10</v>
      </c>
      <c r="I291" s="23" t="n">
        <v>20</v>
      </c>
      <c r="J291" s="23" t="inlineStr">
        <is>
          <t>978-5-9524-6003-4</t>
        </is>
      </c>
      <c r="K291" s="23" t="inlineStr">
        <is>
          <t>84x108 1/32</t>
        </is>
      </c>
      <c r="L291" s="23" t="inlineStr">
        <is>
          <t>тв</t>
        </is>
      </c>
      <c r="M291" s="23" t="n">
        <v>222</v>
      </c>
      <c r="N291" s="23" t="n">
        <v>2023</v>
      </c>
      <c r="O291" s="23" t="n">
        <v>289</v>
      </c>
      <c r="P291" s="23" t="n"/>
      <c r="Q291" s="23" t="n"/>
      <c r="R291" s="25" t="inlineStr">
        <is>
          <t>В этой книге представлен быт Эдо — столицы Японии во времена сёгунов из рода Токугава; рассказывается о религиозных обрядах, буддийских и синтоистских святилищах; развернута увлекательная картина повседневной жизни представителей разных сословий.</t>
        </is>
      </c>
      <c r="S291" s="26">
        <f>HYPERLINK("http://www.cnpol.ru/covers/20804.jpg","фото на сайте")</f>
        <v/>
      </c>
    </row>
    <row r="292" ht="50.1" customHeight="1" s="3">
      <c r="A292" s="23" t="inlineStr">
        <is>
          <t>Н</t>
        </is>
      </c>
      <c r="B292" s="24" t="inlineStr">
        <is>
          <t>22263</t>
        </is>
      </c>
      <c r="C292" s="23" t="inlineStr">
        <is>
          <t>БУЛГАКОВ</t>
        </is>
      </c>
      <c r="D292" s="23" t="inlineStr">
        <is>
          <t>Булгаков М.А.</t>
        </is>
      </c>
      <c r="E292" s="23" t="inlineStr">
        <is>
          <t>Белая гвардия. Собрание сочинений в 8 томах. Т. 3</t>
        </is>
      </c>
      <c r="F292" s="23" t="n">
        <v>3</v>
      </c>
      <c r="G292" s="27" t="n">
        <v>1854</v>
      </c>
      <c r="H292" s="23" t="n">
        <v>10</v>
      </c>
      <c r="I292" s="23" t="n">
        <v>5</v>
      </c>
      <c r="J292" s="23" t="inlineStr">
        <is>
          <t>978-5-227-11370-2</t>
        </is>
      </c>
      <c r="K292" s="23" t="inlineStr">
        <is>
          <t>84x108 1/32</t>
        </is>
      </c>
      <c r="L292" s="23" t="inlineStr">
        <is>
          <t>тв</t>
        </is>
      </c>
      <c r="M292" s="23" t="n">
        <v>765</v>
      </c>
      <c r="N292" s="23" t="n">
        <v>2026</v>
      </c>
      <c r="O292" s="23" t="n">
        <v>738</v>
      </c>
      <c r="P292" s="23" t="n"/>
      <c r="Q292" s="23" t="n"/>
      <c r="R292" s="25" t="inlineStr">
        <is>
          <t>В третий том Собрания сочинений Михаила Булгакова вошел роман «Белая гвардия» и пьесы «Зойкина квартира», «Белая гвардия», «Бег», «Дни Турбиных».</t>
        </is>
      </c>
      <c r="S292" s="26">
        <f>HYPERLINK("http://www.cnpol.ru/covers/22263.jpg","фото на сайте")</f>
        <v/>
      </c>
    </row>
    <row r="293" ht="50.1" customHeight="1" s="3">
      <c r="A293" s="23" t="inlineStr">
        <is>
          <t>Н</t>
        </is>
      </c>
      <c r="B293" s="24" t="inlineStr">
        <is>
          <t>22261</t>
        </is>
      </c>
      <c r="C293" s="23" t="inlineStr">
        <is>
          <t>БУЛГАКОВ</t>
        </is>
      </c>
      <c r="D293" s="23" t="inlineStr">
        <is>
          <t>Булгаков М.А.</t>
        </is>
      </c>
      <c r="E293" s="23" t="inlineStr">
        <is>
          <t>Дьяволиада. Собрание сочинений в 8 томах. Т. 1</t>
        </is>
      </c>
      <c r="F293" s="23" t="n">
        <v>1</v>
      </c>
      <c r="G293" s="27" t="n">
        <v>1854</v>
      </c>
      <c r="H293" s="23" t="n">
        <v>10</v>
      </c>
      <c r="I293" s="23" t="n">
        <v>6</v>
      </c>
      <c r="J293" s="23" t="inlineStr">
        <is>
          <t>978-5-227-11368-9</t>
        </is>
      </c>
      <c r="K293" s="23" t="inlineStr">
        <is>
          <t>84x108 1/32</t>
        </is>
      </c>
      <c r="L293" s="23" t="inlineStr">
        <is>
          <t>тв</t>
        </is>
      </c>
      <c r="M293" s="23" t="n">
        <v>670</v>
      </c>
      <c r="N293" s="23" t="n">
        <v>2026</v>
      </c>
      <c r="O293" s="23" t="n">
        <v>670</v>
      </c>
      <c r="P293" s="23" t="n"/>
      <c r="Q293" s="23" t="n"/>
      <c r="R293" s="25" t="inlineStr">
        <is>
          <t>В первый том Собрания сочинений Михаила Булгакова вошли его ранние произведения: повести, рассказы, фельетоны, очерки 1919—1924 годов.</t>
        </is>
      </c>
      <c r="S293" s="26">
        <f>HYPERLINK("http://www.cnpol.ru/covers/22261.jpg","фото на сайте")</f>
        <v/>
      </c>
    </row>
    <row r="294" ht="50.1" customHeight="1" s="3">
      <c r="A294" s="23" t="n"/>
      <c r="B294" s="24" t="inlineStr">
        <is>
          <t>4677</t>
        </is>
      </c>
      <c r="C294" s="23" t="inlineStr">
        <is>
          <t>БУЛГАКОВ</t>
        </is>
      </c>
      <c r="D294" s="23" t="inlineStr">
        <is>
          <t>Булгаков М.А.</t>
        </is>
      </c>
      <c r="E294" s="23" t="inlineStr">
        <is>
          <t>Кабала святош</t>
        </is>
      </c>
      <c r="F294" s="23" t="inlineStr">
        <is>
          <t>        </t>
        </is>
      </c>
      <c r="G294" s="23" t="n">
        <v>743</v>
      </c>
      <c r="H294" s="23" t="n">
        <v>10</v>
      </c>
      <c r="I294" s="23" t="n">
        <v>6</v>
      </c>
      <c r="J294" s="23" t="inlineStr">
        <is>
          <t>5-9524-0885-0</t>
        </is>
      </c>
      <c r="K294" s="23" t="inlineStr">
        <is>
          <t>70x90 1/12</t>
        </is>
      </c>
      <c r="L294" s="23" t="inlineStr">
        <is>
          <t>тв</t>
        </is>
      </c>
      <c r="M294" s="23" t="n">
        <v>736</v>
      </c>
      <c r="N294" s="23" t="n">
        <v>2004</v>
      </c>
      <c r="O294" s="23" t="n">
        <v>734</v>
      </c>
      <c r="P294" s="23" t="n"/>
      <c r="Q294" s="23" t="n"/>
      <c r="R294" s="25" t="inlineStr">
        <is>
          <t>4-й том составили пьесы "Багровый остров", "Кабала святош", "Мертвые души", "Адам и Ева", "Война и мир", "Полоумный Журден", повесть "Тайному другу", роман "Жизнь господина де Мольера", киносценарий "Мертвые души".</t>
        </is>
      </c>
      <c r="S294" s="26">
        <f>HYPERLINK("http://www.cnpol.ru/covers/4677.jpg","фото на сайте")</f>
        <v/>
      </c>
    </row>
    <row r="295" ht="50.1" customHeight="1" s="3">
      <c r="A295" s="23" t="inlineStr">
        <is>
          <t>Н</t>
        </is>
      </c>
      <c r="B295" s="24" t="inlineStr">
        <is>
          <t>22264</t>
        </is>
      </c>
      <c r="C295" s="23" t="inlineStr">
        <is>
          <t>БУЛГАКОВ</t>
        </is>
      </c>
      <c r="D295" s="23" t="inlineStr">
        <is>
          <t>Булгаков М.А.</t>
        </is>
      </c>
      <c r="E295" s="23" t="inlineStr">
        <is>
          <t>Кабала святош. Собрание сочинений в 8 томах. Т. 4</t>
        </is>
      </c>
      <c r="F295" s="23" t="n">
        <v>4</v>
      </c>
      <c r="G295" s="27" t="n">
        <v>1854</v>
      </c>
      <c r="H295" s="23" t="n">
        <v>10</v>
      </c>
      <c r="I295" s="23" t="n">
        <v>6</v>
      </c>
      <c r="J295" s="23" t="inlineStr">
        <is>
          <t>978-5-227-11371-9</t>
        </is>
      </c>
      <c r="K295" s="23" t="inlineStr">
        <is>
          <t>84x108 1/32</t>
        </is>
      </c>
      <c r="L295" s="23" t="inlineStr">
        <is>
          <t>тв</t>
        </is>
      </c>
      <c r="M295" s="23" t="n">
        <v>730</v>
      </c>
      <c r="N295" s="23" t="n">
        <v>2026</v>
      </c>
      <c r="O295" s="23" t="n">
        <v>712</v>
      </c>
      <c r="P295" s="23" t="n"/>
      <c r="Q295" s="23" t="n"/>
      <c r="R295" s="25" t="inlineStr">
        <is>
          <t>Четвертый том Собрания сочинений Михаила Булгакова составили пьесы «Багровый остров», «Кабала святош», «Мертвые души», «Адам и Ева», «Война и мир» и «Полоумный Журден», повесть «Тайному другу», роман «Жизнь господина де Мольера», а также киносценарий «Мертвые души».</t>
        </is>
      </c>
      <c r="S295" s="26">
        <f>HYPERLINK("http://www.cnpol.ru/covers/22264.jpg","фото на сайте")</f>
        <v/>
      </c>
    </row>
    <row r="296" ht="50.1" customHeight="1" s="3">
      <c r="A296" s="23" t="inlineStr">
        <is>
          <t>Н</t>
        </is>
      </c>
      <c r="B296" s="24" t="inlineStr">
        <is>
          <t>22266</t>
        </is>
      </c>
      <c r="C296" s="23" t="inlineStr">
        <is>
          <t>БУЛГАКОВ</t>
        </is>
      </c>
      <c r="D296" s="23" t="inlineStr">
        <is>
          <t>Булгаков М.А.</t>
        </is>
      </c>
      <c r="E296" s="23" t="inlineStr">
        <is>
          <t>Мастер и Маргарита. Собрание сочинений в 8 томах. Т. 6</t>
        </is>
      </c>
      <c r="F296" s="23" t="n">
        <v>6</v>
      </c>
      <c r="G296" s="27" t="n">
        <v>1854</v>
      </c>
      <c r="H296" s="23" t="n">
        <v>10</v>
      </c>
      <c r="I296" s="23" t="n">
        <v>5</v>
      </c>
      <c r="J296" s="23" t="inlineStr">
        <is>
          <t>978-5-227-11373-3</t>
        </is>
      </c>
      <c r="K296" s="23" t="inlineStr">
        <is>
          <t>84x108 1/32</t>
        </is>
      </c>
      <c r="L296" s="23" t="inlineStr">
        <is>
          <t>тв</t>
        </is>
      </c>
      <c r="M296" s="23" t="n">
        <v>605</v>
      </c>
      <c r="N296" s="23" t="n">
        <v>2026</v>
      </c>
      <c r="O296" s="23" t="n">
        <v>603</v>
      </c>
      <c r="P296" s="23" t="n"/>
      <c r="Q296" s="23" t="n"/>
      <c r="R296" s="25" t="inlineStr">
        <is>
          <t>Шестой том Собрания сочинений Михаила Булгакова составили пьеса «Батум» и роман «Мастер и Маргарита». В приложение вошли набросок «Материалы для речи ректора» и «Пастырь», 1­я черновая редакция пьесы «Батум»</t>
        </is>
      </c>
      <c r="S296" s="26">
        <f>HYPERLINK("http://www.cnpol.ru/covers/22266.jpg","фото на сайте")</f>
        <v/>
      </c>
    </row>
    <row r="297" ht="50.1" customHeight="1" s="3">
      <c r="A297" s="23" t="inlineStr">
        <is>
          <t>Н</t>
        </is>
      </c>
      <c r="B297" s="24" t="inlineStr">
        <is>
          <t>22267</t>
        </is>
      </c>
      <c r="C297" s="23" t="inlineStr">
        <is>
          <t>БУЛГАКОВ</t>
        </is>
      </c>
      <c r="D297" s="23" t="inlineStr">
        <is>
          <t>Булгаков М.А.</t>
        </is>
      </c>
      <c r="E297" s="23" t="inlineStr">
        <is>
          <t>Мастер и Маргарита: Черновые редакции. Собрание сочинений в 8 томах. Т. 7</t>
        </is>
      </c>
      <c r="F297" s="23" t="n">
        <v>7</v>
      </c>
      <c r="G297" s="27" t="n">
        <v>1854</v>
      </c>
      <c r="H297" s="23" t="n">
        <v>10</v>
      </c>
      <c r="I297" s="23" t="n">
        <v>5</v>
      </c>
      <c r="J297" s="23" t="inlineStr">
        <is>
          <t>978-5-227-11374-0</t>
        </is>
      </c>
      <c r="K297" s="23" t="inlineStr">
        <is>
          <t>84x108 1/32</t>
        </is>
      </c>
      <c r="L297" s="23" t="inlineStr">
        <is>
          <t>тв</t>
        </is>
      </c>
      <c r="M297" s="23" t="n">
        <v>750</v>
      </c>
      <c r="N297" s="23" t="n">
        <v>2026</v>
      </c>
      <c r="O297" s="23" t="n">
        <v>728</v>
      </c>
      <c r="P297" s="23" t="n"/>
      <c r="Q297" s="23" t="n"/>
      <c r="R297" s="25" t="inlineStr">
        <is>
          <t>Седьмой том Собрания сочинений Михаила Булгакова составили черновые редакции романа «Мастер и Маргарита».</t>
        </is>
      </c>
      <c r="S297" s="26">
        <f>HYPERLINK("http://www.cnpol.ru/covers/22267.jpg","фото на сайте")</f>
        <v/>
      </c>
    </row>
    <row r="298" ht="50.1" customHeight="1" s="3">
      <c r="A298" s="23" t="inlineStr">
        <is>
          <t>Н</t>
        </is>
      </c>
      <c r="B298" s="24" t="inlineStr">
        <is>
          <t>22268</t>
        </is>
      </c>
      <c r="C298" s="23" t="inlineStr">
        <is>
          <t>БУЛГАКОВ</t>
        </is>
      </c>
      <c r="D298" s="23" t="inlineStr">
        <is>
          <t>Булгаков М.А.</t>
        </is>
      </c>
      <c r="E298" s="23" t="inlineStr">
        <is>
          <t>Письма. Собрание сочинений в 8 томах. Т. 8.</t>
        </is>
      </c>
      <c r="F298" s="23" t="n">
        <v>8</v>
      </c>
      <c r="G298" s="27" t="n">
        <v>1854</v>
      </c>
      <c r="H298" s="23" t="n">
        <v>10</v>
      </c>
      <c r="I298" s="23" t="n">
        <v>6</v>
      </c>
      <c r="J298" s="23" t="inlineStr">
        <is>
          <t>978-5-227-11375-7</t>
        </is>
      </c>
      <c r="K298" s="23" t="inlineStr">
        <is>
          <t>84x108 1/32</t>
        </is>
      </c>
      <c r="L298" s="23" t="inlineStr">
        <is>
          <t>тв</t>
        </is>
      </c>
      <c r="M298" s="23" t="n">
        <v>606</v>
      </c>
      <c r="N298" s="23" t="n">
        <v>2026</v>
      </c>
      <c r="O298" s="23" t="n">
        <v>601</v>
      </c>
      <c r="P298" s="23" t="n"/>
      <c r="Q298" s="23" t="n"/>
      <c r="R298" s="25" t="inlineStr">
        <is>
          <t>Восьмой том Собрания сочинений Михаила Булгакова составили письма, дневники, автобиография писателя.</t>
        </is>
      </c>
      <c r="S298" s="26">
        <f>HYPERLINK("http://www.cnpol.ru/covers/22268.jpg","фото на сайте")</f>
        <v/>
      </c>
    </row>
    <row r="299" ht="50.1" customHeight="1" s="3">
      <c r="A299" s="23" t="inlineStr">
        <is>
          <t>Н</t>
        </is>
      </c>
      <c r="B299" s="24" t="inlineStr">
        <is>
          <t>22265</t>
        </is>
      </c>
      <c r="C299" s="23" t="inlineStr">
        <is>
          <t>БУЛГАКОВ</t>
        </is>
      </c>
      <c r="D299" s="23" t="inlineStr">
        <is>
          <t>Булгаков М.А.</t>
        </is>
      </c>
      <c r="E299" s="23" t="inlineStr">
        <is>
          <t>Последние дни. Собрание сочинений в 8 томах. Т. 5</t>
        </is>
      </c>
      <c r="F299" s="23" t="n">
        <v>5</v>
      </c>
      <c r="G299" s="27" t="n">
        <v>1854</v>
      </c>
      <c r="H299" s="23" t="n">
        <v>10</v>
      </c>
      <c r="I299" s="23" t="n">
        <v>6</v>
      </c>
      <c r="J299" s="23" t="inlineStr">
        <is>
          <t>978-5-227-11372-6</t>
        </is>
      </c>
      <c r="K299" s="23" t="inlineStr">
        <is>
          <t>84x108 1/32</t>
        </is>
      </c>
      <c r="L299" s="23" t="inlineStr">
        <is>
          <t>тв</t>
        </is>
      </c>
      <c r="M299" s="23" t="n">
        <v>670</v>
      </c>
      <c r="N299" s="23" t="n">
        <v>2026</v>
      </c>
      <c r="O299" s="23" t="n">
        <v>660</v>
      </c>
      <c r="P299" s="23" t="n"/>
      <c r="Q299" s="23" t="n"/>
      <c r="R299" s="25" t="inlineStr">
        <is>
          <t>Пятый том Собрания сочинений Михаила Булгакова составили киносценарий «Необычайное происшествие, или Ревизор», пьесы «Блаженство», «Иван Васильевич», «Александр Пушкин» и «Дон Кихот», «Театральный роман (Записки покойника)», либретто «Черное море», «Минин и Пожарский», «Петр Великий» и «Рашель». В приложение вошла пьеса «Последние дни».</t>
        </is>
      </c>
      <c r="S299" s="26">
        <f>HYPERLINK("http://www.cnpol.ru/covers/22265.jpg","фото на сайте")</f>
        <v/>
      </c>
    </row>
    <row r="300" ht="50.1" customHeight="1" s="3">
      <c r="A300" s="23" t="inlineStr">
        <is>
          <t>Н</t>
        </is>
      </c>
      <c r="B300" s="24" t="inlineStr">
        <is>
          <t>22262</t>
        </is>
      </c>
      <c r="C300" s="23" t="inlineStr">
        <is>
          <t>БУЛГАКОВ</t>
        </is>
      </c>
      <c r="D300" s="23" t="inlineStr">
        <is>
          <t>Булгаков М.А.</t>
        </is>
      </c>
      <c r="E300" s="23" t="inlineStr">
        <is>
          <t>Собачье сердце. Собрание сочинений в 8 томах. Т. 2</t>
        </is>
      </c>
      <c r="F300" s="23" t="n">
        <v>2</v>
      </c>
      <c r="G300" s="27" t="n">
        <v>1854</v>
      </c>
      <c r="H300" s="23" t="n">
        <v>10</v>
      </c>
      <c r="I300" s="23" t="n">
        <v>6</v>
      </c>
      <c r="J300" s="23" t="inlineStr">
        <is>
          <t>978-5-227-11369-6</t>
        </is>
      </c>
      <c r="K300" s="23" t="inlineStr">
        <is>
          <t>84x108 1/32</t>
        </is>
      </c>
      <c r="L300" s="23" t="inlineStr">
        <is>
          <t>тв</t>
        </is>
      </c>
      <c r="M300" s="23" t="n">
        <v>622</v>
      </c>
      <c r="N300" s="23" t="n">
        <v>2026</v>
      </c>
      <c r="O300" s="23" t="n">
        <v>620</v>
      </c>
      <c r="P300" s="23" t="n"/>
      <c r="Q300" s="23" t="n"/>
      <c r="R300" s="25" t="inlineStr">
        <is>
          <t>Во второй том Собрания сочинений Михаила Булгакова вошли повести, рассказы, фельетоны и очерки 1925—1927 годов.</t>
        </is>
      </c>
      <c r="S300" s="26">
        <f>HYPERLINK("http://www.cnpol.ru/covers/22262.jpg","фото на сайте")</f>
        <v/>
      </c>
    </row>
    <row r="301" ht="50.1" customHeight="1" s="3">
      <c r="A301" s="23" t="n"/>
      <c r="B301" s="24" t="inlineStr">
        <is>
          <t>10391</t>
        </is>
      </c>
      <c r="C301" s="23" t="inlineStr">
        <is>
          <t>ВАШ Р</t>
        </is>
      </c>
      <c r="D301" s="23" t="inlineStr">
        <is>
          <t>Митчелл</t>
        </is>
      </c>
      <c r="E301" s="23" t="inlineStr">
        <is>
          <t>Ребенок и карьера</t>
        </is>
      </c>
      <c r="F301" s="23" t="inlineStr">
        <is>
          <t>        </t>
        </is>
      </c>
      <c r="G301" s="23" t="n">
        <v>320</v>
      </c>
      <c r="H301" s="23" t="n">
        <v>10</v>
      </c>
      <c r="I301" s="23" t="n">
        <v>16</v>
      </c>
      <c r="J301" s="23" t="inlineStr">
        <is>
          <t>978-5-9524-3578-0</t>
        </is>
      </c>
      <c r="K301" s="23" t="inlineStr">
        <is>
          <t>84x108 1/32</t>
        </is>
      </c>
      <c r="L301" s="23" t="inlineStr">
        <is>
          <t>тв</t>
        </is>
      </c>
      <c r="M301" s="23" t="n">
        <v>283</v>
      </c>
      <c r="N301" s="23" t="n">
        <v>2008</v>
      </c>
      <c r="O301" s="23" t="n">
        <v>286</v>
      </c>
      <c r="P301" s="23" t="n"/>
      <c r="Q301" s="23" t="n"/>
      <c r="R301" s="25" t="n"/>
      <c r="S301" s="26">
        <f>HYPERLINK("http://www.cnpol.ru/covers/10391.jpg","фото на сайте")</f>
        <v/>
      </c>
    </row>
    <row r="302" ht="50.1" customHeight="1" s="3">
      <c r="A302" s="23" t="n"/>
      <c r="B302" s="24" t="inlineStr">
        <is>
          <t>14975</t>
        </is>
      </c>
      <c r="C302" s="23" t="inlineStr">
        <is>
          <t>ВЕЛИКИЕ</t>
        </is>
      </c>
      <c r="D302" s="23" t="inlineStr">
        <is>
          <t>Мудрова И.А.</t>
        </is>
      </c>
      <c r="E302" s="23" t="inlineStr">
        <is>
          <t>Великие матери знаменитых людей. 100 потрясающих историй и судеб</t>
        </is>
      </c>
      <c r="F302" s="23" t="inlineStr">
        <is>
          <t>        </t>
        </is>
      </c>
      <c r="G302" s="23" t="n">
        <v>593</v>
      </c>
      <c r="H302" s="23" t="n">
        <v>10</v>
      </c>
      <c r="I302" s="23" t="n">
        <v>12</v>
      </c>
      <c r="J302" s="23" t="inlineStr">
        <is>
          <t>978-5-227-04415-0</t>
        </is>
      </c>
      <c r="K302" s="23" t="inlineStr">
        <is>
          <t>84x108 1/32</t>
        </is>
      </c>
      <c r="L302" s="23" t="inlineStr">
        <is>
          <t>тв</t>
        </is>
      </c>
      <c r="M302" s="23" t="n">
        <v>316</v>
      </c>
      <c r="N302" s="23" t="n">
        <v>2014</v>
      </c>
      <c r="O302" s="23" t="n">
        <v>266</v>
      </c>
      <c r="P302" s="23" t="n"/>
      <c r="Q302" s="23" t="n"/>
      <c r="R302" s="25" t="inlineStr">
        <is>
          <t>В данной книге приводятся удивительные жизненные истории матерей, которые оставили след в истории человечества тем, что воспитали замечательных людей, либо тем, что сами были замечательными личностями. Чаще всего в случае с матерями эти два обстоятельства взаимосвязаны, ведь, как правило, чтобы вырастить выдающегося человека, нужно самой таковой быть._x000D_
Мать во всех мировых культурах является символом жизни, святости, вечности, тепла и любви. И не важно, библейская ли это мать всех матерей Ева, мифические ли это матери, подарившие жизнь титанам, царственные матери, стоящие возле трона, или самоотверженные матери-подвижницы, всех их объединяет одно, они прославили великое звание — Мать.</t>
        </is>
      </c>
      <c r="S302" s="26">
        <f>HYPERLINK("http://www.cnpol.ru/covers/14975.jpg","фото на сайте")</f>
        <v/>
      </c>
    </row>
    <row r="303" ht="50.1" customHeight="1" s="3">
      <c r="A303" s="23" t="n"/>
      <c r="B303" s="24" t="inlineStr">
        <is>
          <t>12407</t>
        </is>
      </c>
      <c r="C303" s="23" t="inlineStr">
        <is>
          <t>ВЕЛИКИЕ</t>
        </is>
      </c>
      <c r="D303" s="23" t="inlineStr">
        <is>
          <t>Коровина Е.А.</t>
        </is>
      </c>
      <c r="E303" s="23" t="inlineStr">
        <is>
          <t>Великие пророчества. 100 предсказаний, изменивших ход истории</t>
        </is>
      </c>
      <c r="F303" s="23" t="inlineStr">
        <is>
          <t>        </t>
        </is>
      </c>
      <c r="G303" s="23" t="n">
        <v>574</v>
      </c>
      <c r="H303" s="23" t="n">
        <v>10</v>
      </c>
      <c r="I303" s="23" t="n">
        <v>10</v>
      </c>
      <c r="J303" s="23" t="inlineStr">
        <is>
          <t>978-5-227-02473-2</t>
        </is>
      </c>
      <c r="K303" s="23" t="inlineStr">
        <is>
          <t>84x108 1/32</t>
        </is>
      </c>
      <c r="L303" s="23" t="inlineStr">
        <is>
          <t>тв</t>
        </is>
      </c>
      <c r="M303" s="23" t="n">
        <v>477</v>
      </c>
      <c r="N303" s="23" t="n">
        <v>2010</v>
      </c>
      <c r="O303" s="23" t="n">
        <v>418</v>
      </c>
      <c r="P303" s="23" t="n"/>
      <c r="Q303" s="23" t="n"/>
      <c r="R303" s="25" t="inlineStr">
        <is>
          <t>"Данное издание представляет собой собрание великих пророчеств, написанное простым, ярким и доступным языком. Благодаря этой книге читатель сможет узнать о загадочных, необъяснимых, а порой и трагических предсказаниях в жизни мировых общественных и культурных деятелей, таких как Гай Юлий Цезарь, Иван Грозный, Екатерина II, Тамерлан, Наполеон, маркиза Помпадур, Пушкин и многих других.
Книга адресована любителям загадок и тайн, пророчеств и предсказаний, а также всем интересующимся мировой историей.
"</t>
        </is>
      </c>
      <c r="S303" s="26">
        <f>HYPERLINK("http://www.cnpol.ru/covers/12407.jpg","фото на сайте")</f>
        <v/>
      </c>
    </row>
    <row r="304" ht="50.1" customHeight="1" s="3">
      <c r="A304" s="23" t="n"/>
      <c r="B304" s="24" t="inlineStr">
        <is>
          <t>12432</t>
        </is>
      </c>
      <c r="C304" s="23" t="inlineStr">
        <is>
          <t>ВЕЛИКИЕ</t>
        </is>
      </c>
      <c r="D304" s="23" t="inlineStr">
        <is>
          <t>Мансурова Т.А.</t>
        </is>
      </c>
      <c r="E304" s="23" t="inlineStr">
        <is>
          <t>Великие тайны цивилизаций.100 историй о загадках цивилизации</t>
        </is>
      </c>
      <c r="F304" s="23" t="inlineStr">
        <is>
          <t>        </t>
        </is>
      </c>
      <c r="G304" s="23" t="n">
        <v>574</v>
      </c>
      <c r="H304" s="23" t="n">
        <v>10</v>
      </c>
      <c r="I304" s="23" t="n">
        <v>16</v>
      </c>
      <c r="J304" s="23" t="inlineStr">
        <is>
          <t>978-5-227-02477-0</t>
        </is>
      </c>
      <c r="K304" s="23" t="inlineStr">
        <is>
          <t>84x108 1/32</t>
        </is>
      </c>
      <c r="L304" s="23" t="inlineStr">
        <is>
          <t>тв</t>
        </is>
      </c>
      <c r="M304" s="23" t="n">
        <v>317</v>
      </c>
      <c r="N304" s="23" t="n">
        <v>2010</v>
      </c>
      <c r="O304" s="23" t="n">
        <v>304</v>
      </c>
      <c r="P304" s="23" t="n"/>
      <c r="Q304" s="23" t="n"/>
      <c r="R304" s="25" t="inlineStr">
        <is>
          <t>Здесь собраны любопытные, а порой странные и даже шокирующие факты о людях и событиях, о которых, казалось бы, нам давно известно все. Например, как мы привыкли думать о Клеопатре? Как о женщине-обольстительнице, безжалостно разбивавшей мужские сердца? Однако выясняется, что у царицы Египта была еще одна, довольно неожиданная ипостась... А что вы помните о циклопе Полифеме, чуть не уничтожившем Одиссея и его спутников? Вы знаете, как выглядят и о чем говорят его ископаемые останки? Великое множество тайн открывают для нас исследования пытливых и неугомонных ученых, заставляя переосмыслить привычные стереотипы.</t>
        </is>
      </c>
      <c r="S304" s="26">
        <f>HYPERLINK("http://www.cnpol.ru/covers/12432.jpg","фото на сайте")</f>
        <v/>
      </c>
    </row>
    <row r="305" ht="50.1" customHeight="1" s="3">
      <c r="A305" s="23" t="n"/>
      <c r="B305" s="24" t="inlineStr">
        <is>
          <t>15025</t>
        </is>
      </c>
      <c r="C305" s="23" t="inlineStr">
        <is>
          <t>ВЕЛИКИЕ</t>
        </is>
      </c>
      <c r="D305" s="23" t="inlineStr">
        <is>
          <t>Мудрова И.А.</t>
        </is>
      </c>
      <c r="E305" s="23" t="inlineStr">
        <is>
          <t>Великие шедевры архитектуры. 100 зданий, которые нужно увидеть</t>
        </is>
      </c>
      <c r="F305" s="23" t="inlineStr">
        <is>
          <t>        </t>
        </is>
      </c>
      <c r="G305" s="23" t="n">
        <v>593</v>
      </c>
      <c r="H305" s="23" t="n">
        <v>10</v>
      </c>
      <c r="I305" s="23" t="n">
        <v>12</v>
      </c>
      <c r="J305" s="23" t="inlineStr">
        <is>
          <t>978-5-227-04053-4</t>
        </is>
      </c>
      <c r="K305" s="23" t="inlineStr">
        <is>
          <t>82x108 1/32</t>
        </is>
      </c>
      <c r="L305" s="23" t="inlineStr">
        <is>
          <t>тв</t>
        </is>
      </c>
      <c r="M305" s="23" t="n">
        <v>319</v>
      </c>
      <c r="N305" s="23" t="n">
        <v>2014</v>
      </c>
      <c r="O305" s="23" t="n">
        <v>300</v>
      </c>
      <c r="P305" s="23" t="n"/>
      <c r="Q305" s="23" t="n"/>
      <c r="R305" s="25" t="inlineStr">
        <is>
          <t>Книга посвящена самым ярким шедеврам архитектуры. Под одной обложкой собраны 100 великих зданий мира. Вас ждут роскошные дворцы: Зимний дворец и Версаль, Лувр и Тадж-Махал; неповторимые жемчужины архитектуры: Большой Кремлевский дворец и Кижи, Мачу-Пикчу и Глубока над Влтавой; великолепные храмы различных конфессий: Акрополь и Исаакиевский собор, храм Лотоса и Берлинский кафедральный собор; такие разные и удивительные здания театров: Большой театр и древний Колизей, Карнеги-холл и Сиднейский оперный театр; плюс уникальные высотные здания советской эпохи и колоссальные современные небоскребы…</t>
        </is>
      </c>
      <c r="S305" s="26">
        <f>HYPERLINK("http://www.cnpol.ru/covers/15025.jpg","фото на сайте")</f>
        <v/>
      </c>
    </row>
    <row r="306" ht="50.1" customHeight="1" s="3">
      <c r="A306" s="23" t="n"/>
      <c r="B306" s="24" t="inlineStr">
        <is>
          <t>15447</t>
        </is>
      </c>
      <c r="C306" s="23" t="inlineStr">
        <is>
          <t>ВИ ЗА</t>
        </is>
      </c>
      <c r="D306" s="23" t="inlineStr">
        <is>
          <t>Михеенков С.Е.</t>
        </is>
      </c>
      <c r="E306" s="23" t="inlineStr">
        <is>
          <t>Тайна Безымянной высоты. 10-я армия в Московской и Курской битвах. От Серебряных Прудов до Рославля.</t>
        </is>
      </c>
      <c r="F306" s="23" t="inlineStr">
        <is>
          <t>        </t>
        </is>
      </c>
      <c r="G306" s="23" t="n">
        <v>554</v>
      </c>
      <c r="H306" s="23" t="n">
        <v>10</v>
      </c>
      <c r="I306" s="23" t="n">
        <v>18</v>
      </c>
      <c r="J306" s="23" t="inlineStr">
        <is>
          <t>978-5-227-05443-2</t>
        </is>
      </c>
      <c r="K306" s="23" t="inlineStr">
        <is>
          <t>84x108 1/32</t>
        </is>
      </c>
      <c r="L306" s="23" t="inlineStr">
        <is>
          <t>тв</t>
        </is>
      </c>
      <c r="M306" s="23" t="n">
        <v>320</v>
      </c>
      <c r="N306" s="23" t="n">
        <v>2014</v>
      </c>
      <c r="O306" s="23" t="n">
        <v>284</v>
      </c>
      <c r="P306" s="23" t="n"/>
      <c r="Q306" s="23" t="n"/>
      <c r="R306" s="25" t="n"/>
      <c r="S306" s="26">
        <f>HYPERLINK("http://www.cnpol.ru/covers/15447.jpg","фото на сайте")</f>
        <v/>
      </c>
    </row>
    <row r="307" ht="50.1" customHeight="1" s="3">
      <c r="A307" s="23" t="n"/>
      <c r="B307" s="24" t="inlineStr">
        <is>
          <t>8624</t>
        </is>
      </c>
      <c r="C307" s="23" t="inlineStr">
        <is>
          <t>ВИ РДИБ</t>
        </is>
      </c>
      <c r="D307" s="23" t="inlineStr">
        <is>
          <t>Медведь</t>
        </is>
      </c>
      <c r="E307" s="23" t="inlineStr">
        <is>
          <t>История, рассказанная сыну</t>
        </is>
      </c>
      <c r="F307" s="23" t="inlineStr">
        <is>
          <t>        </t>
        </is>
      </c>
      <c r="G307" s="23" t="n">
        <v>338</v>
      </c>
      <c r="H307" s="23" t="n">
        <v>10</v>
      </c>
      <c r="I307" s="23" t="n">
        <v>16</v>
      </c>
      <c r="J307" s="23" t="inlineStr">
        <is>
          <t>5-323-00040-6</t>
        </is>
      </c>
      <c r="K307" s="23" t="inlineStr">
        <is>
          <t>60x90 1/16</t>
        </is>
      </c>
      <c r="L307" s="23" t="inlineStr">
        <is>
          <t>тв</t>
        </is>
      </c>
      <c r="M307" s="23" t="n">
        <v>320</v>
      </c>
      <c r="N307" s="23" t="n">
        <v>2002</v>
      </c>
      <c r="O307" s="23" t="inlineStr">
        <is>
          <t>     </t>
        </is>
      </c>
      <c r="P307" s="23" t="n"/>
      <c r="Q307" s="23" t="n"/>
      <c r="R307" s="25" t="n"/>
      <c r="S307" s="26">
        <f>HYPERLINK("http://www.cnpol.ru/covers/8624.jpg","фото на сайте")</f>
        <v/>
      </c>
    </row>
    <row r="308" ht="50.1" customHeight="1" s="3">
      <c r="A308" s="23" t="n"/>
      <c r="B308" s="24" t="inlineStr">
        <is>
          <t>11825</t>
        </is>
      </c>
      <c r="C308" s="23" t="inlineStr">
        <is>
          <t>ВИ+</t>
        </is>
      </c>
      <c r="D308" s="23" t="inlineStr">
        <is>
          <t>Ерофеева Л.Г.</t>
        </is>
      </c>
      <c r="E308" s="23" t="inlineStr">
        <is>
          <t>Как измерить и повысить свой IQ. Лучшие тесты для детей и взрослых</t>
        </is>
      </c>
      <c r="F308" s="23" t="inlineStr">
        <is>
          <t>        </t>
        </is>
      </c>
      <c r="G308" s="23" t="n">
        <v>168</v>
      </c>
      <c r="H308" s="23" t="n">
        <v>10</v>
      </c>
      <c r="I308" s="23" t="n">
        <v>50</v>
      </c>
      <c r="J308" s="23" t="inlineStr">
        <is>
          <t>978-5-227-01989-9</t>
        </is>
      </c>
      <c r="K308" s="23" t="inlineStr">
        <is>
          <t>84x108 1/32 (обл)</t>
        </is>
      </c>
      <c r="L308" s="23" t="inlineStr">
        <is>
          <t>мяг</t>
        </is>
      </c>
      <c r="M308" s="23" t="n">
        <v>93</v>
      </c>
      <c r="N308" s="23" t="n">
        <v>2010</v>
      </c>
      <c r="O308" s="23" t="n">
        <v>64</v>
      </c>
      <c r="P308" s="23" t="n"/>
      <c r="Q308" s="23" t="n"/>
      <c r="R308" s="25" t="inlineStr">
        <is>
          <t>Вы хотите узнать уровень своего интеллекта, иными словами, насколько вы умны? Тогда эта книга - то, что вам нужно. В ней собраны самые распространенные тесты на IQ и другие качества интеллекта - такие, как память и внимание. Они собраны профессиональными психологами, поэтому их результаты можно считать вполне достоверными. _x000D_
Отдельная глава посвящена тестам для детей. Многие задания могут использоваться не только для проверки, но и для развития интеллектуальных способностей.</t>
        </is>
      </c>
      <c r="S308" s="26">
        <f>HYPERLINK("http://www.cnpol.ru/covers/11825.jpg","фото на сайте")</f>
        <v/>
      </c>
    </row>
    <row r="309" ht="50.1" customHeight="1" s="3">
      <c r="A309" s="23" t="n"/>
      <c r="B309" s="24" t="inlineStr">
        <is>
          <t>11403</t>
        </is>
      </c>
      <c r="C309" s="23" t="inlineStr">
        <is>
          <t>ВИ+</t>
        </is>
      </c>
      <c r="D309" s="23" t="inlineStr">
        <is>
          <t>Исаева</t>
        </is>
      </c>
      <c r="E309" s="23" t="inlineStr">
        <is>
          <t>Ты и он. Узнай всю правду о ваших отношениях</t>
        </is>
      </c>
      <c r="F309" s="23" t="inlineStr">
        <is>
          <t>        </t>
        </is>
      </c>
      <c r="G309" s="23" t="n">
        <v>97</v>
      </c>
      <c r="H309" s="23" t="n">
        <v>10</v>
      </c>
      <c r="I309" s="23" t="n">
        <v>40</v>
      </c>
      <c r="J309" s="23" t="inlineStr">
        <is>
          <t>978-5-9524-4365-5</t>
        </is>
      </c>
      <c r="K309" s="23" t="inlineStr">
        <is>
          <t>84x108 1/32 (обл)</t>
        </is>
      </c>
      <c r="L309" s="23" t="inlineStr">
        <is>
          <t>мяг</t>
        </is>
      </c>
      <c r="M309" s="23" t="n">
        <v>94</v>
      </c>
      <c r="N309" s="23" t="n">
        <v>2010</v>
      </c>
      <c r="O309" s="23" t="n">
        <v>62</v>
      </c>
      <c r="P309" s="23" t="n"/>
      <c r="Q309" s="23" t="n"/>
      <c r="R309" s="25" t="n"/>
      <c r="S309" s="26">
        <f>HYPERLINK("http://www.cnpol.ru/covers/11403.jpg","фото на сайте")</f>
        <v/>
      </c>
    </row>
    <row r="310" ht="50.1" customHeight="1" s="3">
      <c r="A310" s="23" t="n"/>
      <c r="B310" s="24" t="inlineStr">
        <is>
          <t>10875</t>
        </is>
      </c>
      <c r="C310" s="23" t="inlineStr">
        <is>
          <t>ВИ+</t>
        </is>
      </c>
      <c r="D310" s="23" t="inlineStr">
        <is>
          <t>Куликова</t>
        </is>
      </c>
      <c r="E310" s="23" t="inlineStr">
        <is>
          <t>Я и мои друзья. Психологические тесты</t>
        </is>
      </c>
      <c r="F310" s="23" t="inlineStr">
        <is>
          <t>        </t>
        </is>
      </c>
      <c r="G310" s="23" t="n">
        <v>97</v>
      </c>
      <c r="H310" s="23" t="n">
        <v>10</v>
      </c>
      <c r="I310" s="23" t="n">
        <v>40</v>
      </c>
      <c r="J310" s="23" t="inlineStr">
        <is>
          <t>978-5-9524-3987-0</t>
        </is>
      </c>
      <c r="K310" s="23" t="inlineStr">
        <is>
          <t>84x108 1/32 (обл)</t>
        </is>
      </c>
      <c r="L310" s="23" t="inlineStr">
        <is>
          <t>мяг</t>
        </is>
      </c>
      <c r="M310" s="23" t="n">
        <v>95</v>
      </c>
      <c r="N310" s="23" t="n">
        <v>2008</v>
      </c>
      <c r="O310" s="23" t="n">
        <v>62</v>
      </c>
      <c r="P310" s="23" t="n"/>
      <c r="Q310" s="23" t="n"/>
      <c r="R310" s="25" t="n"/>
      <c r="S310" s="26">
        <f>HYPERLINK("http://www.cnpol.ru/covers/10875.jpg","фото на сайте")</f>
        <v/>
      </c>
    </row>
    <row r="311" ht="50.1" customHeight="1" s="3">
      <c r="A311" s="23" t="n"/>
      <c r="B311" s="24" t="inlineStr">
        <is>
          <t>10675</t>
        </is>
      </c>
      <c r="C311" s="23" t="inlineStr">
        <is>
          <t>ВИ+</t>
        </is>
      </c>
      <c r="D311" s="23" t="inlineStr">
        <is>
          <t>Исаева</t>
        </is>
      </c>
      <c r="E311" s="23" t="inlineStr">
        <is>
          <t>Я и моя семья. Психологические тесты</t>
        </is>
      </c>
      <c r="F311" s="23" t="inlineStr">
        <is>
          <t>        </t>
        </is>
      </c>
      <c r="G311" s="23" t="n">
        <v>97</v>
      </c>
      <c r="H311" s="23" t="n">
        <v>10</v>
      </c>
      <c r="I311" s="23" t="n">
        <v>56</v>
      </c>
      <c r="J311" s="23" t="inlineStr">
        <is>
          <t>978-5-9524-3901-6</t>
        </is>
      </c>
      <c r="K311" s="23" t="inlineStr">
        <is>
          <t>84x108 1/32 (обл)</t>
        </is>
      </c>
      <c r="L311" s="23" t="inlineStr">
        <is>
          <t>мяг</t>
        </is>
      </c>
      <c r="M311" s="23" t="n">
        <v>95</v>
      </c>
      <c r="N311" s="23" t="n">
        <v>2008</v>
      </c>
      <c r="O311" s="23" t="n">
        <v>62</v>
      </c>
      <c r="P311" s="23" t="n"/>
      <c r="Q311" s="23" t="n"/>
      <c r="R311" s="25" t="n"/>
      <c r="S311" s="26">
        <f>HYPERLINK("http://www.cnpol.ru/covers/10675.jpg","фото на сайте")</f>
        <v/>
      </c>
    </row>
    <row r="312" ht="50.1" customHeight="1" s="3">
      <c r="A312" s="23" t="n"/>
      <c r="B312" s="24" t="inlineStr">
        <is>
          <t>79</t>
        </is>
      </c>
      <c r="C312" s="23" t="inlineStr">
        <is>
          <t>ВИ+</t>
        </is>
      </c>
      <c r="D312" s="23" t="inlineStr">
        <is>
          <t>Исаева</t>
        </is>
      </c>
      <c r="E312" s="23" t="inlineStr">
        <is>
          <t>Я и обо мне. Психологические тесты</t>
        </is>
      </c>
      <c r="F312" s="23" t="inlineStr">
        <is>
          <t>        </t>
        </is>
      </c>
      <c r="G312" s="23" t="n">
        <v>97</v>
      </c>
      <c r="H312" s="23" t="n">
        <v>10</v>
      </c>
      <c r="I312" s="23" t="n">
        <v>56</v>
      </c>
      <c r="J312" s="23" t="inlineStr">
        <is>
          <t>978-5-9524-3198-0</t>
        </is>
      </c>
      <c r="K312" s="23" t="inlineStr">
        <is>
          <t>84x108 1/32 (обл)</t>
        </is>
      </c>
      <c r="L312" s="23" t="inlineStr">
        <is>
          <t>мяг</t>
        </is>
      </c>
      <c r="M312" s="23" t="n">
        <v>95</v>
      </c>
      <c r="N312" s="23" t="n">
        <v>2008</v>
      </c>
      <c r="O312" s="23" t="inlineStr">
        <is>
          <t>     </t>
        </is>
      </c>
      <c r="P312" s="23" t="n"/>
      <c r="Q312" s="23" t="n"/>
      <c r="R312" s="25" t="n"/>
      <c r="S312" s="26">
        <f>HYPERLINK("http://www.cnpol.ru/covers/79.jpg","фото на сайте")</f>
        <v/>
      </c>
    </row>
    <row r="313" ht="50.1" customHeight="1" s="3">
      <c r="A313" s="23" t="inlineStr">
        <is>
          <t>Н</t>
        </is>
      </c>
      <c r="B313" s="24" t="inlineStr">
        <is>
          <t>22288</t>
        </is>
      </c>
      <c r="C313" s="23" t="inlineStr">
        <is>
          <t>ВИГГС</t>
        </is>
      </c>
      <c r="D313" s="23" t="inlineStr">
        <is>
          <t>Виггс С.</t>
        </is>
      </c>
      <c r="E313" s="23" t="inlineStr">
        <is>
          <t>Лето больших надежд</t>
        </is>
      </c>
      <c r="F313" s="23" t="inlineStr">
        <is>
          <t>        </t>
        </is>
      </c>
      <c r="G313" s="27" t="n">
        <v>1184</v>
      </c>
      <c r="H313" s="23" t="n">
        <v>10</v>
      </c>
      <c r="I313" s="23" t="n">
        <v>7</v>
      </c>
      <c r="J313" s="23" t="inlineStr">
        <is>
          <t>978-5-227-11382-5</t>
        </is>
      </c>
      <c r="K313" s="23" t="inlineStr">
        <is>
          <t>84x108 1/32</t>
        </is>
      </c>
      <c r="L313" s="23" t="inlineStr">
        <is>
          <t>тв</t>
        </is>
      </c>
      <c r="M313" s="23" t="n">
        <v>413</v>
      </c>
      <c r="N313" s="23" t="n">
        <v>2024</v>
      </c>
      <c r="O313" s="23" t="n">
        <v>447</v>
      </c>
      <c r="P313" s="23" t="n"/>
      <c r="Q313" s="23" t="n"/>
      <c r="R313" s="25" t="inlineStr">
        <is>
          <t>Счастливое лето в лагере «Киога» на озере Уиллоу для умной симпатичной толстушки Оливии закончилось катастрофой. Ее сердце разбил синеглазый красавец Коннор. Над ней жестоко посмеялись. Она решила навсегда выкинуть из головы все, что тогда произошло. Минуло девять лет. Оливия окончила колледж, превратилась в стройную красавицу, достигла весьма заметных успехов в дизайнерском бизнесе и пережила третью неудачную помолвку. Выполняя заказ на возрождение лагеря «Киога», где пятьдесят лет назад состоялась свадьба ее бабушки и дедушки, Оливия пригласила владельца местной строительной компании, и им оказался тот самый синеглазый Коннор, которого она любила с самого детства…</t>
        </is>
      </c>
      <c r="S313" s="26">
        <f>HYPERLINK("http://www.cnpol.ru/covers/22288.jpg","фото на сайте")</f>
        <v/>
      </c>
    </row>
    <row r="314" ht="50.1" customHeight="1" s="3">
      <c r="A314" s="23" t="inlineStr">
        <is>
          <t>Д</t>
        </is>
      </c>
      <c r="B314" s="24" t="inlineStr">
        <is>
          <t>22254</t>
        </is>
      </c>
      <c r="C314" s="23" t="inlineStr">
        <is>
          <t>ВИМ</t>
        </is>
      </c>
      <c r="D314" s="23" t="inlineStr">
        <is>
          <t>Хаген В. фон</t>
        </is>
      </c>
      <c r="E314" s="23" t="inlineStr">
        <is>
          <t>Ацтеки, майя, инки. Великие царства древней Америки</t>
        </is>
      </c>
      <c r="F314" s="23" t="inlineStr">
        <is>
          <t>        </t>
        </is>
      </c>
      <c r="G314" s="27" t="n">
        <v>1554</v>
      </c>
      <c r="H314" s="23" t="n">
        <v>10</v>
      </c>
      <c r="I314" s="23" t="n">
        <v>6</v>
      </c>
      <c r="J314" s="23" t="inlineStr">
        <is>
          <t>978-5-9524-6732-3</t>
        </is>
      </c>
      <c r="K314" s="23" t="inlineStr">
        <is>
          <t>60x90 1/16</t>
        </is>
      </c>
      <c r="L314" s="23" t="inlineStr">
        <is>
          <t>тв</t>
        </is>
      </c>
      <c r="M314" s="23" t="n">
        <v>539</v>
      </c>
      <c r="N314" s="23" t="n">
        <v>2026</v>
      </c>
      <c r="O314" s="23" t="n">
        <v>693</v>
      </c>
      <c r="P314" s="23" t="n"/>
      <c r="Q314" s="23" t="n"/>
      <c r="R314" s="25" t="inlineStr">
        <is>
          <t>В книге известного американского этнолога Виктора фон Хагена представлена история ацтеков, майя, инков.  Хаген выделяет и подвергает подробному анализу наиболее важные этапы формирования этих культур, от зарождения и динамического развития до момента их падения. Автор охватил все стороны практической и духовной жизни народов солнечных царств. Легко и увлекательно ученый рассказывает о том,  как они вели хозяйство, занимались ремеслами, заключали браки и воспитывали детей, об их религиозных верованиях и кровавых жертвоприношениях, о способах ведения войны  и оружии, о системе налогообложения, о преступ­лениях и наказаниях…</t>
        </is>
      </c>
      <c r="S314" s="26">
        <f>HYPERLINK("http://www.cnpol.ru/covers/22254.jpg","фото на сайте")</f>
        <v/>
      </c>
    </row>
    <row r="315" ht="50.1" customHeight="1" s="3">
      <c r="A315" s="23" t="inlineStr">
        <is>
          <t>Д</t>
        </is>
      </c>
      <c r="B315" s="24" t="inlineStr">
        <is>
          <t>21973</t>
        </is>
      </c>
      <c r="C315" s="23" t="inlineStr">
        <is>
          <t>ВИМ</t>
        </is>
      </c>
      <c r="D315" s="23" t="inlineStr">
        <is>
          <t>Саггс Г.У.Ф</t>
        </is>
      </c>
      <c r="E315" s="23" t="inlineStr">
        <is>
          <t>Величие Вавилона. История древней цивилизации Междуречья</t>
        </is>
      </c>
      <c r="F315" s="23" t="inlineStr">
        <is>
          <t>        </t>
        </is>
      </c>
      <c r="G315" s="27" t="n">
        <v>1513</v>
      </c>
      <c r="H315" s="23" t="n">
        <v>10</v>
      </c>
      <c r="I315" s="23" t="n">
        <v>10</v>
      </c>
      <c r="J315" s="23" t="inlineStr">
        <is>
          <t>978-5-9524-6607-4</t>
        </is>
      </c>
      <c r="K315" s="23" t="inlineStr">
        <is>
          <t>60x90 1/16</t>
        </is>
      </c>
      <c r="L315" s="23" t="inlineStr">
        <is>
          <t>тв</t>
        </is>
      </c>
      <c r="M315" s="23" t="n">
        <v>463</v>
      </c>
      <c r="N315" s="23" t="n">
        <v>2026</v>
      </c>
      <c r="O315" s="23" t="n">
        <v>625</v>
      </c>
      <c r="P315" s="23" t="n"/>
      <c r="Q315" s="23" t="n"/>
      <c r="R315" s="25" t="inlineStr">
        <is>
          <t>В своей книге английский востоковед Генри Саггс наиболее полно на сегодняшний день представляет историю Вавилона и Ассирии конца 4-го — начала 3-го тысячелетия до нашей эры. Он разбирает политическую структуру Месопотамии, рассказывает о социальной и культурной жизни общества, особенно подробно затрагивая такие ее аспекты (как экономика или управление), о которых мало упоминается в другой исторической литературе. Большое внимание уделено религии, игравшей огромную роль в древние времена, и литературе как отражению миропорядка. В книге представлена месопотамская хронология в систематизации известных мировых ученых.</t>
        </is>
      </c>
      <c r="S315" s="26">
        <f>HYPERLINK("http://www.cnpol.ru/covers/21973.jpg","фото на сайте")</f>
        <v/>
      </c>
    </row>
    <row r="316" ht="50.1" customHeight="1" s="3">
      <c r="A316" s="23" t="n"/>
      <c r="B316" s="24" t="inlineStr">
        <is>
          <t>20465</t>
        </is>
      </c>
      <c r="C316" s="23" t="inlineStr">
        <is>
          <t>ВИМ</t>
        </is>
      </c>
      <c r="D316" s="23" t="inlineStr">
        <is>
          <t>Груссе Р.</t>
        </is>
      </c>
      <c r="E316" s="23" t="inlineStr">
        <is>
          <t>Империя Леванта. Древняя земля тлеющего конфликта между Востоком и Западом</t>
        </is>
      </c>
      <c r="F316" s="23" t="inlineStr">
        <is>
          <t>        </t>
        </is>
      </c>
      <c r="G316" s="23" t="n">
        <v>851</v>
      </c>
      <c r="H316" s="23" t="n">
        <v>10</v>
      </c>
      <c r="I316" s="23" t="n">
        <v>6</v>
      </c>
      <c r="J316" s="23" t="inlineStr">
        <is>
          <t>978-5-9524-5782-9</t>
        </is>
      </c>
      <c r="K316" s="23" t="inlineStr">
        <is>
          <t>60x90 1/16</t>
        </is>
      </c>
      <c r="L316" s="23" t="inlineStr">
        <is>
          <t>тв</t>
        </is>
      </c>
      <c r="M316" s="23" t="n">
        <v>591</v>
      </c>
      <c r="N316" s="23" t="n">
        <v>2022</v>
      </c>
      <c r="O316" s="23" t="n">
        <v>630</v>
      </c>
      <c r="P316" s="23" t="n"/>
      <c r="Q316" s="23" t="n"/>
      <c r="R316" s="25" t="inlineStr">
        <is>
          <t>Рене Груссе, выдающийся французский историк-востоковед, в своей книге прослеживает историю противостояния Востока и Запада на древней земле Леванта с Античности до падения Константинополя и расцвета Османской империи. Автор знакомит читателя с историей Сирии, Ливана, Палестины, Малой Армении, Кипра и других государств Восточного Средиземноморья, анализирует изменение границ — духовных и политических — между Европой и Азией, а также исследует истоки возникновения восточного вопроса и рассматривает пути его решения.</t>
        </is>
      </c>
      <c r="S316" s="26">
        <f>HYPERLINK("http://www.cnpol.ru/covers/20465.jpg","фото на сайте")</f>
        <v/>
      </c>
    </row>
    <row r="317" ht="50.1" customHeight="1" s="3">
      <c r="A317" s="23" t="inlineStr">
        <is>
          <t>Д</t>
        </is>
      </c>
      <c r="B317" s="24" t="inlineStr">
        <is>
          <t>20992</t>
        </is>
      </c>
      <c r="C317" s="23" t="inlineStr">
        <is>
          <t>ВИМ</t>
        </is>
      </c>
      <c r="D317" s="23" t="inlineStr">
        <is>
          <t>Груссе Р.</t>
        </is>
      </c>
      <c r="E317" s="23" t="inlineStr">
        <is>
          <t>История древней Армении. От союза племен к могущественному Анийскому царству</t>
        </is>
      </c>
      <c r="F317" s="23" t="inlineStr">
        <is>
          <t>        </t>
        </is>
      </c>
      <c r="G317" s="23" t="n">
        <v>851</v>
      </c>
      <c r="H317" s="23" t="n">
        <v>10</v>
      </c>
      <c r="I317" s="23" t="n">
        <v>8</v>
      </c>
      <c r="J317" s="23" t="inlineStr">
        <is>
          <t>978-5-9524-6059-1</t>
        </is>
      </c>
      <c r="K317" s="23" t="inlineStr">
        <is>
          <t>60x90 1/16</t>
        </is>
      </c>
      <c r="L317" s="23" t="inlineStr">
        <is>
          <t>тв</t>
        </is>
      </c>
      <c r="M317" s="23" t="n">
        <v>670</v>
      </c>
      <c r="N317" s="23" t="n">
        <v>2024</v>
      </c>
      <c r="O317" s="23" t="n">
        <v>653</v>
      </c>
      <c r="P317" s="23" t="n"/>
      <c r="Q317" s="23" t="n"/>
      <c r="R317" s="25" t="inlineStr">
        <is>
          <t>Французский востоковед Рене Груссе, считая главной целью своей научной деятельности донести до интересующегося читателя историю материальной и духовной культуры стран Востока, написал о трагической судьбе страны, которая до присоединения к Византийской империи была форпостом западной цивилизации. В настоящей книге автор рассказывает об Армении с доисторических времен и до правления Филарета Варажнуни, открывшего новую страницу в истории страны, укрепив со столицей Ани независимое государство. География, принятие христианства, возникновение одного из древнейших алфавитов, борьба армянских князей династий Багратидов и Арцруни за веру и независимость от турок, арабов, власть Сасанидов, подвиги Мамиконянов… — Груссе попытался подробно рассказать о жизни армянского народа.</t>
        </is>
      </c>
      <c r="S317" s="26">
        <f>HYPERLINK("http://www.cnpol.ru/covers/20992.jpg","фото на сайте")</f>
        <v/>
      </c>
    </row>
    <row r="318" ht="50.1" customHeight="1" s="3">
      <c r="A318" s="23" t="inlineStr">
        <is>
          <t>Д</t>
        </is>
      </c>
      <c r="B318" s="24" t="inlineStr">
        <is>
          <t>21461</t>
        </is>
      </c>
      <c r="C318" s="23" t="inlineStr">
        <is>
          <t>ВИМ</t>
        </is>
      </c>
      <c r="D318" s="23" t="inlineStr">
        <is>
          <t>Олмстед А.</t>
        </is>
      </c>
      <c r="E318" s="23" t="inlineStr">
        <is>
          <t>История Персидской империи</t>
        </is>
      </c>
      <c r="F318" s="23" t="inlineStr">
        <is>
          <t>        </t>
        </is>
      </c>
      <c r="G318" s="23" t="n">
        <v>977</v>
      </c>
      <c r="H318" s="23" t="n">
        <v>10</v>
      </c>
      <c r="I318" s="23" t="n">
        <v>6</v>
      </c>
      <c r="J318" s="23" t="inlineStr">
        <is>
          <t>978-5-9524-6275-5</t>
        </is>
      </c>
      <c r="K318" s="23" t="inlineStr">
        <is>
          <t>60x90 1/16</t>
        </is>
      </c>
      <c r="L318" s="23" t="inlineStr">
        <is>
          <t>тв</t>
        </is>
      </c>
      <c r="M318" s="23" t="n">
        <v>575</v>
      </c>
      <c r="N318" s="23" t="n">
        <v>2025</v>
      </c>
      <c r="O318" s="23" t="n">
        <v>638</v>
      </c>
      <c r="P318" s="23" t="n"/>
      <c r="Q318" s="23" t="n"/>
      <c r="R318" s="25" t="inlineStr">
        <is>
          <t>Профессор истории Института Востока Чикагского университета Альберт Олмстед, посвятив свою жизнь изучению древнего Ближнего Востока, собрал ранее неизвестный материал о жизни, временах и мышлении персов в цельное повествование. Именно Персия на протяжении двух веков — от распространения царем Киром Великим власти на Грецию и до сожжения Персеполя, столицы царства, Александром Великим — занимала завидное положение диктатора истории. В своей книге автор показывает, как наука, литература, язык и мифы древних выросли из смешения многих культур и способствовали формированию будущей цивилизации.</t>
        </is>
      </c>
      <c r="S318" s="26">
        <f>HYPERLINK("http://www.cnpol.ru/covers/21461.jpg","фото на сайте")</f>
        <v/>
      </c>
    </row>
    <row r="319" ht="50.1" customHeight="1" s="3">
      <c r="A319" s="23" t="inlineStr">
        <is>
          <t>Д</t>
        </is>
      </c>
      <c r="B319" s="24" t="inlineStr">
        <is>
          <t>21944</t>
        </is>
      </c>
      <c r="C319" s="23" t="inlineStr">
        <is>
          <t>ВИМ</t>
        </is>
      </c>
      <c r="D319" s="23" t="inlineStr">
        <is>
          <t>Хитти Ф.</t>
        </is>
      </c>
      <c r="E319" s="23" t="inlineStr">
        <is>
          <t>История Сирии. Древнейшее государство в сердце Ближнего Востока</t>
        </is>
      </c>
      <c r="F319" s="23" t="inlineStr">
        <is>
          <t>        </t>
        </is>
      </c>
      <c r="G319" s="27" t="n">
        <v>1527</v>
      </c>
      <c r="H319" s="23" t="n">
        <v>10</v>
      </c>
      <c r="I319" s="23" t="n">
        <v>5</v>
      </c>
      <c r="J319" s="23" t="inlineStr">
        <is>
          <t>978-5-9524-6578-7</t>
        </is>
      </c>
      <c r="K319" s="23" t="inlineStr">
        <is>
          <t>60x90 1/16</t>
        </is>
      </c>
      <c r="L319" s="23" t="inlineStr">
        <is>
          <t>тв</t>
        </is>
      </c>
      <c r="M319" s="23" t="n">
        <v>606</v>
      </c>
      <c r="N319" s="23" t="n">
        <v>2026</v>
      </c>
      <c r="O319" s="23" t="n">
        <v>705</v>
      </c>
      <c r="P319" s="23" t="n"/>
      <c r="Q319" s="23" t="n"/>
      <c r="R319" s="25" t="inlineStr">
        <is>
          <t>Древняя земля царей и пророков, поэтов и полководцев, философов и земледельцев, сокровищница мирового духовно-интеллектуального наследия, колыбель трех мировых религий и прародина алфавита. Книга Филипа Хитти, профессора Принстонского и Гарвардского университетов, посвящена истории государств Плодородного полумесяца — Сирии, Ливана, Палестины и Трансиордании с древнейших времен до середины ХХ века. Профессор Хитти рассматривает историю региона, опираясь на изыскания археологов и антропологов, анализируя культуру и религиозные воззрения населявших его народов, а также взаимоотношения с сопредельными государствами. Издание как никогда актуально в связи с повышенным вниманием к Сирии, которая во все времена была средоточием интересов мировой политики.</t>
        </is>
      </c>
      <c r="S319" s="26">
        <f>HYPERLINK("http://www.cnpol.ru/covers/21944.jpg","фото на сайте")</f>
        <v/>
      </c>
    </row>
    <row r="320" ht="50.1" customHeight="1" s="3">
      <c r="A320" s="23" t="n"/>
      <c r="B320" s="24" t="inlineStr">
        <is>
          <t>20833</t>
        </is>
      </c>
      <c r="C320" s="23" t="inlineStr">
        <is>
          <t>ВИМ</t>
        </is>
      </c>
      <c r="D320" s="23" t="inlineStr">
        <is>
          <t>Груссе Р.</t>
        </is>
      </c>
      <c r="E320" s="23" t="inlineStr">
        <is>
          <t>Степные кочевники, покорившие мир. Под властью Аттилы, Чингисхана, Тамерлана</t>
        </is>
      </c>
      <c r="F320" s="23" t="inlineStr">
        <is>
          <t>        </t>
        </is>
      </c>
      <c r="G320" s="23" t="n">
        <v>851</v>
      </c>
      <c r="H320" s="23" t="n">
        <v>10</v>
      </c>
      <c r="I320" s="23" t="n">
        <v>6</v>
      </c>
      <c r="J320" s="23" t="inlineStr">
        <is>
          <t>978-5-9524-5785-0</t>
        </is>
      </c>
      <c r="K320" s="23" t="inlineStr">
        <is>
          <t>60x90 1/16</t>
        </is>
      </c>
      <c r="L320" s="23" t="inlineStr">
        <is>
          <t>тв</t>
        </is>
      </c>
      <c r="M320" s="23" t="n">
        <v>527</v>
      </c>
      <c r="N320" s="23" t="n">
        <v>2023</v>
      </c>
      <c r="O320" s="23" t="n">
        <v>566</v>
      </c>
      <c r="P320" s="23" t="n"/>
      <c r="Q320" s="23" t="n"/>
      <c r="R320" s="25" t="inlineStr">
        <is>
          <t>Выдающийся французский историк, член Французской академии, автор целого ряда трудов по истории Азии, создал подробнейшее описание жизни Великой степи с периода античных времен до окончания XVIII века. Обладая несомненным литературным мастерством, автор создал яркую картину сражений, быта, нравов, обычаев степного народа, рассказал об условиях его существования, о расцвете и падении знаменитых и забытых династий, о своеобразии ремесел и произведений искусства. Особое место в повествовании занимают три великих азиатских кочевника — Аттила, Чингисхан и Тамерлан. _x000D_
Работая над исследованием, автор привлек колоссальный объем источников европейской, китайской, персидской и других культур. В книге представлены рисунки предметов степного искусства.</t>
        </is>
      </c>
      <c r="S320" s="26">
        <f>HYPERLINK("http://www.cnpol.ru/covers/20833.jpg","фото на сайте")</f>
        <v/>
      </c>
    </row>
    <row r="321" ht="50.1" customHeight="1" s="3">
      <c r="A321" s="23" t="n"/>
      <c r="B321" s="24" t="inlineStr">
        <is>
          <t>20758</t>
        </is>
      </c>
      <c r="C321" s="23" t="inlineStr">
        <is>
          <t>ВИМ</t>
        </is>
      </c>
      <c r="D321" s="23" t="inlineStr">
        <is>
          <t>Бивен Э. Р.</t>
        </is>
      </c>
      <c r="E321" s="23" t="inlineStr">
        <is>
          <t>Царство селевкидов. Величайшее наследие Александра Македонского</t>
        </is>
      </c>
      <c r="F321" s="23" t="inlineStr">
        <is>
          <t>        </t>
        </is>
      </c>
      <c r="G321" s="23" t="n">
        <v>875</v>
      </c>
      <c r="H321" s="23" t="n">
        <v>10</v>
      </c>
      <c r="I321" s="23" t="n">
        <v>8</v>
      </c>
      <c r="J321" s="23" t="inlineStr">
        <is>
          <t>978-5-227-10204-1</t>
        </is>
      </c>
      <c r="K321" s="23" t="inlineStr">
        <is>
          <t>60x90 1/16</t>
        </is>
      </c>
      <c r="L321" s="23" t="inlineStr">
        <is>
          <t>тв</t>
        </is>
      </c>
      <c r="M321" s="23" t="n">
        <v>607</v>
      </c>
      <c r="N321" s="23" t="n">
        <v>2023</v>
      </c>
      <c r="O321" s="23" t="n">
        <v>654</v>
      </c>
      <c r="P321" s="23" t="n"/>
      <c r="Q321" s="23" t="n"/>
      <c r="R321" s="25" t="inlineStr">
        <is>
          <t>Книга Эдвина Роберта Бивена посвящена истории самого обширного и могущественного государства эллинистического мира, основанного Селевком I Никатором на Ближнем Востоке после распада империи Александра Македонского. Историк рассматривает политическое и административное устройство государства Селевкидов, описывает жизненный путь и свершения его правителей, а также рассказывает о борьбе за власть преемников Александра Великого и их потомков, которая ослабила Сирийское царство и сделала его легкой добычей для Римской республики.</t>
        </is>
      </c>
      <c r="S321" s="26">
        <f>HYPERLINK("http://www.cnpol.ru/covers/20758.jpg","фото на сайте")</f>
        <v/>
      </c>
    </row>
    <row r="322" ht="50.1" customHeight="1" s="3">
      <c r="A322" s="23" t="n"/>
      <c r="B322" s="24" t="inlineStr">
        <is>
          <t>10197</t>
        </is>
      </c>
      <c r="C322" s="23" t="inlineStr">
        <is>
          <t>ВК+</t>
        </is>
      </c>
      <c r="D322" s="23" t="inlineStr">
        <is>
          <t>Похлебкин В.В.</t>
        </is>
      </c>
      <c r="E322" s="23" t="inlineStr">
        <is>
          <t>Кухни славянских народов</t>
        </is>
      </c>
      <c r="F322" s="23" t="inlineStr">
        <is>
          <t>        </t>
        </is>
      </c>
      <c r="G322" s="23" t="n">
        <v>115</v>
      </c>
      <c r="H322" s="23" t="n">
        <v>10</v>
      </c>
      <c r="I322" s="23" t="n">
        <v>24</v>
      </c>
      <c r="J322" s="23" t="inlineStr">
        <is>
          <t>978-5-9524-3369-4</t>
        </is>
      </c>
      <c r="K322" s="23" t="inlineStr">
        <is>
          <t>84x108 1/32 (обл)</t>
        </is>
      </c>
      <c r="L322" s="23" t="inlineStr">
        <is>
          <t>мяг</t>
        </is>
      </c>
      <c r="M322" s="23" t="n">
        <v>256</v>
      </c>
      <c r="N322" s="23" t="n">
        <v>2008</v>
      </c>
      <c r="O322" s="23" t="n">
        <v>152</v>
      </c>
      <c r="P322" s="23" t="n"/>
      <c r="Q322" s="23" t="n"/>
      <c r="R322" s="25" t="inlineStr">
        <is>
          <t>В книге представлены рецепты приготовления блюд русской, украинской и белорусской кухонь. У этих кухонь есть сходство — пищевые продукты и тип очага, но много и различий, о которых читатель узнает из этого издания.</t>
        </is>
      </c>
      <c r="S322" s="26">
        <f>HYPERLINK("http://www.cnpol.ru/covers/10197.jpg","фото на сайте")</f>
        <v/>
      </c>
    </row>
    <row r="323" ht="50.1" customHeight="1" s="3">
      <c r="A323" s="23" t="n"/>
      <c r="B323" s="24" t="inlineStr">
        <is>
          <t>9025</t>
        </is>
      </c>
      <c r="C323" s="23" t="inlineStr">
        <is>
          <t>ВК+</t>
        </is>
      </c>
      <c r="D323" s="23" t="inlineStr">
        <is>
          <t>Похлебкин В.В.</t>
        </is>
      </c>
      <c r="E323" s="23" t="inlineStr">
        <is>
          <t>Моя кухня</t>
        </is>
      </c>
      <c r="F323" s="23" t="inlineStr">
        <is>
          <t>        </t>
        </is>
      </c>
      <c r="G323" s="23" t="n">
        <v>123</v>
      </c>
      <c r="H323" s="23" t="n">
        <v>10</v>
      </c>
      <c r="I323" s="23" t="n">
        <v>30</v>
      </c>
      <c r="J323" s="23" t="inlineStr">
        <is>
          <t>978-5-9524-3678-3</t>
        </is>
      </c>
      <c r="K323" s="23" t="inlineStr">
        <is>
          <t>70x90 1/12</t>
        </is>
      </c>
      <c r="L323" s="23" t="inlineStr">
        <is>
          <t>мяг</t>
        </is>
      </c>
      <c r="M323" s="23" t="n">
        <v>207</v>
      </c>
      <c r="N323" s="23" t="inlineStr">
        <is>
          <t>    </t>
        </is>
      </c>
      <c r="O323" s="23" t="n">
        <v>124</v>
      </c>
      <c r="P323" s="23" t="n"/>
      <c r="Q323" s="23" t="n"/>
      <c r="R323" s="25" t="n"/>
      <c r="S323" s="26">
        <f>HYPERLINK("http://www.cnpol.ru/covers/9025.jpg","фото на сайте")</f>
        <v/>
      </c>
    </row>
    <row r="324" ht="50.1" customHeight="1" s="3">
      <c r="A324" s="23" t="n"/>
      <c r="B324" s="24" t="inlineStr">
        <is>
          <t>8687</t>
        </is>
      </c>
      <c r="C324" s="23" t="inlineStr">
        <is>
          <t>ВК+</t>
        </is>
      </c>
      <c r="D324" s="23" t="inlineStr">
        <is>
          <t>Похлебкин В.В.</t>
        </is>
      </c>
      <c r="E324" s="23" t="inlineStr">
        <is>
          <t>Специи и приправы</t>
        </is>
      </c>
      <c r="F324" s="23" t="inlineStr">
        <is>
          <t>        </t>
        </is>
      </c>
      <c r="G324" s="23" t="n">
        <v>115</v>
      </c>
      <c r="H324" s="23" t="n">
        <v>10</v>
      </c>
      <c r="I324" s="23" t="n">
        <v>28</v>
      </c>
      <c r="J324" s="23" t="inlineStr">
        <is>
          <t>978-5-9524-2978-9</t>
        </is>
      </c>
      <c r="K324" s="23" t="inlineStr">
        <is>
          <t>84x108 1/32 (обл)</t>
        </is>
      </c>
      <c r="L324" s="23" t="inlineStr">
        <is>
          <t>мяг</t>
        </is>
      </c>
      <c r="M324" s="23" t="n">
        <v>190</v>
      </c>
      <c r="N324" s="23" t="n">
        <v>2008</v>
      </c>
      <c r="O324" s="23" t="n">
        <v>94</v>
      </c>
      <c r="P324" s="23" t="n"/>
      <c r="Q324" s="23" t="n"/>
      <c r="R324" s="25" t="n"/>
      <c r="S324" s="26">
        <f>HYPERLINK("http://www.cnpol.ru/covers/8687.jpg","фото на сайте")</f>
        <v/>
      </c>
    </row>
    <row r="325" ht="50.1" customHeight="1" s="3">
      <c r="A325" s="23" t="n"/>
      <c r="B325" s="24" t="inlineStr">
        <is>
          <t>7291</t>
        </is>
      </c>
      <c r="C325" s="23" t="inlineStr">
        <is>
          <t>ВЛА</t>
        </is>
      </c>
      <c r="D325" s="23" t="inlineStr">
        <is>
          <t>Мазова</t>
        </is>
      </c>
      <c r="E325" s="23" t="inlineStr">
        <is>
          <t>Луна удачи и любви Путеводитель на каждый день</t>
        </is>
      </c>
      <c r="F325" s="23" t="inlineStr">
        <is>
          <t>        </t>
        </is>
      </c>
      <c r="G325" s="23" t="n">
        <v>260</v>
      </c>
      <c r="H325" s="23" t="n">
        <v>22</v>
      </c>
      <c r="I325" s="23" t="n">
        <v>18</v>
      </c>
      <c r="J325" s="23" t="inlineStr">
        <is>
          <t>5-9524-2366-3</t>
        </is>
      </c>
      <c r="K325" s="23" t="inlineStr">
        <is>
          <t>84x108 1/32</t>
        </is>
      </c>
      <c r="L325" s="23" t="inlineStr">
        <is>
          <t>тв</t>
        </is>
      </c>
      <c r="M325" s="23" t="n">
        <v>173</v>
      </c>
      <c r="N325" s="23" t="n">
        <v>2007</v>
      </c>
      <c r="O325" s="23" t="n">
        <v>226</v>
      </c>
      <c r="P325" s="23" t="n"/>
      <c r="Q325" s="23" t="n"/>
      <c r="R325" s="25" t="inlineStr">
        <is>
          <t>В этой книге вы найдете инструкции на каждый день месяца, узнаете об истинных причинах перепадов настроения, о том, в чем вам повезет в тот или иной период и как влияют на людей затмения Солнца и Луны. Простые рекомендации по поведению, оздоровлению, финансовым и другим вопросам основаны на движении Луны по зодиаку...</t>
        </is>
      </c>
      <c r="S325" s="26">
        <f>HYPERLINK("http://www.cnpol.ru/covers/7291.jpg","фото на сайте")</f>
        <v/>
      </c>
    </row>
    <row r="326" ht="50.1" customHeight="1" s="3">
      <c r="A326" s="23" t="n"/>
      <c r="B326" s="24" t="inlineStr">
        <is>
          <t>20587</t>
        </is>
      </c>
      <c r="C326" s="23" t="inlineStr">
        <is>
          <t>ВМВ НОВ</t>
        </is>
      </c>
      <c r="D326" s="23" t="inlineStr">
        <is>
          <t>Айкс Р.</t>
        </is>
      </c>
      <c r="E326" s="23" t="inlineStr">
        <is>
          <t>Великие танковые сражения. Стратегия и тактика. 1939—1945</t>
        </is>
      </c>
      <c r="F326" s="23" t="inlineStr">
        <is>
          <t>        </t>
        </is>
      </c>
      <c r="G326" s="27" t="n">
        <v>1251</v>
      </c>
      <c r="H326" s="23" t="n">
        <v>10</v>
      </c>
      <c r="I326" s="23" t="n">
        <v>8</v>
      </c>
      <c r="J326" s="23" t="inlineStr">
        <is>
          <t>978-5-9524-5918-2</t>
        </is>
      </c>
      <c r="K326" s="23" t="inlineStr">
        <is>
          <t>84x108 1/32</t>
        </is>
      </c>
      <c r="L326" s="23" t="inlineStr">
        <is>
          <t>тв</t>
        </is>
      </c>
      <c r="M326" s="23" t="n">
        <v>415</v>
      </c>
      <c r="N326" s="23" t="n">
        <v>2023</v>
      </c>
      <c r="O326" s="23" t="n">
        <v>402</v>
      </c>
      <c r="P326" s="23" t="n"/>
      <c r="Q326" s="23" t="n"/>
      <c r="R326" s="25" t="inlineStr">
        <is>
          <t>Книга посвящена главной ударной мощи сухопутных сил — танковым войскам. Автор реконструировал основные танковые сражения Второй мировой войны, подробно рассказал о предыстории создания и послевоенном развитии бронетанковой техники, дал характеристику различных видов и типов танков, уделяя большое внимание броневой защите и параметрам танковых орудий, их маневренности в конкретных ландшафтах. Издание снабжено картами, схемами и фотографиями.</t>
        </is>
      </c>
      <c r="S326" s="26">
        <f>HYPERLINK("http://www.cnpol.ru/covers/20587.jpg","фото на сайте")</f>
        <v/>
      </c>
    </row>
    <row r="327" ht="50.1" customHeight="1" s="3">
      <c r="A327" s="23" t="n"/>
      <c r="B327" s="24" t="inlineStr">
        <is>
          <t>20585</t>
        </is>
      </c>
      <c r="C327" s="23" t="inlineStr">
        <is>
          <t>ВМВ НОВ</t>
        </is>
      </c>
      <c r="D327" s="23" t="inlineStr">
        <is>
          <t>Руге Ф.</t>
        </is>
      </c>
      <c r="E327" s="23" t="inlineStr">
        <is>
          <t>Военно­морской флот Третьего рейха. 1939—1945</t>
        </is>
      </c>
      <c r="F327" s="23" t="inlineStr">
        <is>
          <t>        </t>
        </is>
      </c>
      <c r="G327" s="27" t="n">
        <v>1238</v>
      </c>
      <c r="H327" s="23" t="n">
        <v>10</v>
      </c>
      <c r="I327" s="23" t="n">
        <v>10</v>
      </c>
      <c r="J327" s="23" t="inlineStr">
        <is>
          <t>978-5-9524-5908-3</t>
        </is>
      </c>
      <c r="K327" s="23" t="inlineStr">
        <is>
          <t>84x108 1/32</t>
        </is>
      </c>
      <c r="L327" s="23" t="inlineStr">
        <is>
          <t>тв</t>
        </is>
      </c>
      <c r="M327" s="23" t="n">
        <v>448</v>
      </c>
      <c r="N327" s="23" t="n">
        <v>2023</v>
      </c>
      <c r="O327" s="23" t="n">
        <v>346</v>
      </c>
      <c r="P327" s="23" t="n"/>
      <c r="Q327" s="23" t="n"/>
      <c r="R327" s="25" t="inlineStr">
        <is>
          <t>Фридрих Руге — вице­адмирал, командующий ВМС ФРГ — приводит малоизвестные факты о боевых операциях германских ВМС в период Второй мировой войны, анализирует военную обстановку в Европе, сравнивает стратегии Германии, Великобритании, США, Японии, Франции, Италии. Автор проводит исследование структуры высшего командования Германии, Великобритании и других европейских стран, взаимоотношений германских ВМС и Адольфа Гитлера, дает яркие портреты главкомов ВМС Германии вице­адмирала Редера и гросс­адмирала Деница.</t>
        </is>
      </c>
      <c r="S327" s="26">
        <f>HYPERLINK("http://www.cnpol.ru/covers/20585.jpg","фото на сайте")</f>
        <v/>
      </c>
    </row>
    <row r="328" ht="50.1" customHeight="1" s="3">
      <c r="A328" s="23" t="n"/>
      <c r="B328" s="24" t="inlineStr">
        <is>
          <t>19823</t>
        </is>
      </c>
      <c r="C328" s="23" t="inlineStr">
        <is>
          <t>ВМВ НОВ</t>
        </is>
      </c>
      <c r="D328" s="23" t="inlineStr">
        <is>
          <t>Кукридж Э.</t>
        </is>
      </c>
      <c r="E328" s="23" t="inlineStr">
        <is>
          <t>Европа в огне. Диверсии и шпионаж британских спецслужб на оккупированных территориях. 1940–1945</t>
        </is>
      </c>
      <c r="F328" s="23" t="inlineStr">
        <is>
          <t>        </t>
        </is>
      </c>
      <c r="G328" s="27" t="n">
        <v>1359</v>
      </c>
      <c r="H328" s="23" t="n">
        <v>10</v>
      </c>
      <c r="I328" s="23" t="n">
        <v>8</v>
      </c>
      <c r="J328" s="23" t="inlineStr">
        <is>
          <t>978-5-9524-5593-1</t>
        </is>
      </c>
      <c r="K328" s="23" t="inlineStr">
        <is>
          <t>84x108 1/32</t>
        </is>
      </c>
      <c r="L328" s="23" t="inlineStr">
        <is>
          <t>тв</t>
        </is>
      </c>
      <c r="M328" s="23" t="n">
        <v>494</v>
      </c>
      <c r="N328" s="23" t="n">
        <v>2021</v>
      </c>
      <c r="O328" s="23" t="n">
        <v>380</v>
      </c>
      <c r="P328" s="23" t="n"/>
      <c r="Q328" s="23" t="n"/>
      <c r="R328" s="25" t="inlineStr">
        <is>
          <t>Книга английского журналиста Эдварда Кукриджа посвящена истории созданной в 1940 году британской секретной спецслужбы. Организация агентурных сетей, обучение агентов, контакты с группами Сопротивления на территории Франции, Голландии, Дании, Норвегии и других европейских стран, диверсии, саботаж - вот далеко не полный перечень деятельности Управления специальных операций (SOE).</t>
        </is>
      </c>
      <c r="S328" s="26">
        <f>HYPERLINK("http://www.cnpol.ru/covers/19823.jpg","фото на сайте")</f>
        <v/>
      </c>
    </row>
    <row r="329" ht="50.1" customHeight="1" s="3">
      <c r="A329" s="23" t="n"/>
      <c r="B329" s="24" t="inlineStr">
        <is>
          <t>19741</t>
        </is>
      </c>
      <c r="C329" s="23" t="inlineStr">
        <is>
          <t>ВМВ НОВ</t>
        </is>
      </c>
      <c r="D329" s="23" t="inlineStr">
        <is>
          <t>Фараго Л.</t>
        </is>
      </c>
      <c r="E329" s="23" t="inlineStr">
        <is>
          <t>Игра лисиц. Секретные операции абвера в США и Великобритании</t>
        </is>
      </c>
      <c r="F329" s="23" t="inlineStr">
        <is>
          <t>        </t>
        </is>
      </c>
      <c r="G329" s="27" t="n">
        <v>1554</v>
      </c>
      <c r="H329" s="23" t="n">
        <v>10</v>
      </c>
      <c r="I329" s="23" t="n">
        <v>8</v>
      </c>
      <c r="J329" s="23" t="inlineStr">
        <is>
          <t>978-5-9524-5575-7</t>
        </is>
      </c>
      <c r="K329" s="23" t="inlineStr">
        <is>
          <t>84x108 1/32</t>
        </is>
      </c>
      <c r="L329" s="23" t="inlineStr">
        <is>
          <t>тв</t>
        </is>
      </c>
      <c r="M329" s="23" t="n">
        <v>624</v>
      </c>
      <c r="N329" s="23" t="n">
        <v>2021</v>
      </c>
      <c r="O329" s="23" t="n">
        <v>550</v>
      </c>
      <c r="P329" s="23" t="n"/>
      <c r="Q329" s="23" t="n"/>
      <c r="R329" s="25" t="inlineStr">
        <is>
          <t>Книга рассказывает о деятельности германской службы военной разведки абвер, специализировавшейся на шпионаже в США и Великобритании. На основе обнаруженных в конце Второй мировой войны в Государственном архиве Германии зашифрованных записей автор воссоздает деятельность абвера во всех подробностях — подготовка и проведение тайных операций, двойная жизнь агентов, их клички и реальные имена.</t>
        </is>
      </c>
      <c r="S329" s="26">
        <f>HYPERLINK("http://www.cnpol.ru/covers/19741.jpg","фото на сайте")</f>
        <v/>
      </c>
    </row>
    <row r="330" ht="50.1" customHeight="1" s="3">
      <c r="A330" s="23" t="inlineStr">
        <is>
          <t>Н</t>
        </is>
      </c>
      <c r="B330" s="24" t="inlineStr">
        <is>
          <t>21792</t>
        </is>
      </c>
      <c r="C330" s="23" t="inlineStr">
        <is>
          <t>ВМВ НОВ</t>
        </is>
      </c>
      <c r="D330" s="23" t="inlineStr">
        <is>
          <t>Бреннеке Й.</t>
        </is>
      </c>
      <c r="E330" s="23" t="inlineStr">
        <is>
          <t>Охотники за охотниками. Хроника боевых действий подводных лодок Германии во Второй мировой войне</t>
        </is>
      </c>
      <c r="F330" s="23" t="inlineStr">
        <is>
          <t>        </t>
        </is>
      </c>
      <c r="G330" s="27" t="n">
        <v>1009</v>
      </c>
      <c r="H330" s="23" t="n">
        <v>10</v>
      </c>
      <c r="I330" s="23" t="n">
        <v>5</v>
      </c>
      <c r="J330" s="23" t="inlineStr">
        <is>
          <t>978-5-9524-5859-8</t>
        </is>
      </c>
      <c r="K330" s="23" t="inlineStr">
        <is>
          <t>84x108 1/32</t>
        </is>
      </c>
      <c r="L330" s="23" t="inlineStr">
        <is>
          <t>тв</t>
        </is>
      </c>
      <c r="M330" s="23" t="n">
        <v>319</v>
      </c>
      <c r="N330" s="23" t="n">
        <v>2025</v>
      </c>
      <c r="O330" s="23" t="n">
        <v>371</v>
      </c>
      <c r="P330" s="23" t="n"/>
      <c r="Q330" s="23" t="n"/>
      <c r="R330" s="25" t="inlineStr">
        <is>
          <t>Книга рассказывает о боевых действиях подводного флота Германии в годы Второй мировой войны. Автор, основываясь на фактических данных, документах, вахтенных журналах подводных лодок, дневниках подводников, воспоминаниях участников боевых действий, вскрывает причины поражения подводного флота Германии.</t>
        </is>
      </c>
      <c r="S330" s="26">
        <f>HYPERLINK("http://www.cnpol.ru/covers/21792.jpg","фото на сайте")</f>
        <v/>
      </c>
    </row>
    <row r="331" ht="50.1" customHeight="1" s="3">
      <c r="A331" s="23" t="inlineStr">
        <is>
          <t>Д</t>
        </is>
      </c>
      <c r="B331" s="24" t="inlineStr">
        <is>
          <t>22055</t>
        </is>
      </c>
      <c r="C331" s="23" t="inlineStr">
        <is>
          <t>ВМВ НОВ</t>
        </is>
      </c>
      <c r="D331" s="23" t="inlineStr">
        <is>
          <t>Армстронг Д.</t>
        </is>
      </c>
      <c r="E331" s="23" t="inlineStr">
        <is>
          <t>Партизанская война. Стратегия и тактика. 1941—1943</t>
        </is>
      </c>
      <c r="F331" s="23" t="inlineStr">
        <is>
          <t>        </t>
        </is>
      </c>
      <c r="G331" s="27" t="n">
        <v>1219</v>
      </c>
      <c r="H331" s="23" t="n">
        <v>10</v>
      </c>
      <c r="I331" s="23" t="n">
        <v>10</v>
      </c>
      <c r="J331" s="23" t="inlineStr">
        <is>
          <t>978-5-9524-6642-5</t>
        </is>
      </c>
      <c r="K331" s="23" t="inlineStr">
        <is>
          <t>84x108 1/32</t>
        </is>
      </c>
      <c r="L331" s="23" t="inlineStr">
        <is>
          <t>тв</t>
        </is>
      </c>
      <c r="M331" s="23" t="n">
        <v>429</v>
      </c>
      <c r="N331" s="23" t="n">
        <v>2026</v>
      </c>
      <c r="O331" s="23" t="n">
        <v>472</v>
      </c>
      <c r="P331" s="23" t="n"/>
      <c r="Q331" s="23" t="n"/>
      <c r="R331" s="25" t="inlineStr">
        <is>
          <t>В книге, созданной под руководством профессора Висконсинского университета (США) Джона Армстронга, собрано огромное количество материалов по партизанской войне, которая велась на территории Советского Союза. Редкие документы из секретных архивов, сводки, донесения, описания важнейших операций противоборствующих сторон раскрывают многие аспекты стратегии и тактики крупных партизанских формирований, находившихся в Белоруссии, на Орловщине, Смоленщине, в Ленинградской и Калининской областях и на Украине.</t>
        </is>
      </c>
      <c r="S331" s="26">
        <f>HYPERLINK("http://www.cnpol.ru/covers/22055.jpg","фото на сайте")</f>
        <v/>
      </c>
    </row>
    <row r="332" ht="50.1" customHeight="1" s="3">
      <c r="A332" s="23" t="inlineStr">
        <is>
          <t>Д</t>
        </is>
      </c>
      <c r="B332" s="24" t="inlineStr">
        <is>
          <t>21627</t>
        </is>
      </c>
      <c r="C332" s="23" t="inlineStr">
        <is>
          <t>ВМВ НОВ</t>
        </is>
      </c>
      <c r="D332" s="23" t="inlineStr">
        <is>
          <t>Пиллар Л.</t>
        </is>
      </c>
      <c r="E332" s="23" t="inlineStr">
        <is>
          <t>Подводная война. Хроника морских сражений. 1939—1945</t>
        </is>
      </c>
      <c r="F332" s="23" t="inlineStr">
        <is>
          <t>        </t>
        </is>
      </c>
      <c r="G332" s="27" t="n">
        <v>1205</v>
      </c>
      <c r="H332" s="23" t="n">
        <v>10</v>
      </c>
      <c r="I332" s="23" t="n">
        <v>6</v>
      </c>
      <c r="J332" s="23" t="inlineStr">
        <is>
          <t>978-5-9524-6406-3</t>
        </is>
      </c>
      <c r="K332" s="23" t="inlineStr">
        <is>
          <t>84x108 1/32</t>
        </is>
      </c>
      <c r="L332" s="23" t="inlineStr">
        <is>
          <t>тв</t>
        </is>
      </c>
      <c r="M332" s="23" t="n">
        <v>412</v>
      </c>
      <c r="N332" s="23" t="n">
        <v>2025</v>
      </c>
      <c r="O332" s="23" t="n">
        <v>288</v>
      </c>
      <c r="P332" s="23" t="n"/>
      <c r="Q332" s="23" t="n"/>
      <c r="R332" s="25" t="inlineStr">
        <is>
          <t>В книге Леона Пиллара описаны основные операции, в которых участвовали подводные лодки во время Второй мировой войны. Автор представляет обширную панораму сражений в Мировом океане и, выходя далеко за рамки сухой фактологии, позволяет пережить драматические события тех дней.</t>
        </is>
      </c>
      <c r="S332" s="26">
        <f>HYPERLINK("http://www.cnpol.ru/covers/21627.jpg","фото на сайте")</f>
        <v/>
      </c>
    </row>
    <row r="333" ht="50.1" customHeight="1" s="3">
      <c r="A333" s="23" t="n"/>
      <c r="B333" s="24" t="inlineStr">
        <is>
          <t>20400</t>
        </is>
      </c>
      <c r="C333" s="23" t="inlineStr">
        <is>
          <t>ВМВ НОВ</t>
        </is>
      </c>
      <c r="D333" s="23" t="inlineStr">
        <is>
          <t>Буш Х.</t>
        </is>
      </c>
      <c r="E333" s="23" t="inlineStr">
        <is>
          <t>Подводный флот Третьего рейха. Немецкие подлодки в войне, которая была почти выиграна. 1939—1945 гг.</t>
        </is>
      </c>
      <c r="F333" s="23" t="inlineStr">
        <is>
          <t>        </t>
        </is>
      </c>
      <c r="G333" s="23" t="n">
        <v>835</v>
      </c>
      <c r="H333" s="23" t="n">
        <v>10</v>
      </c>
      <c r="I333" s="23" t="n">
        <v>18</v>
      </c>
      <c r="J333" s="23" t="inlineStr">
        <is>
          <t>978-5-9524-5843-7</t>
        </is>
      </c>
      <c r="K333" s="23" t="inlineStr">
        <is>
          <t>84x108 1/32</t>
        </is>
      </c>
      <c r="L333" s="23" t="inlineStr">
        <is>
          <t>тв</t>
        </is>
      </c>
      <c r="M333" s="23" t="n">
        <v>221</v>
      </c>
      <c r="N333" s="23" t="n">
        <v>2022</v>
      </c>
      <c r="O333" s="23" t="n">
        <v>105</v>
      </c>
      <c r="P333" s="23" t="n"/>
      <c r="Q333" s="23" t="n"/>
      <c r="R333" s="25" t="inlineStr">
        <is>
          <t>В книге немецкого подводника Харальда Буша рассказывается о военных операциях германских субмарин во время Второй мировой войны. Успешные походы и изнурительная борьба за выживание, совершенствование стратегии и тактики морского боя и обновление технической базы судов... Обо всем этом ярко и образно повествует автор, а также приводит интересные детали из жизни и быта моряков-подводников.</t>
        </is>
      </c>
      <c r="S333" s="26">
        <f>HYPERLINK("http://www.cnpol.ru/covers/20400.jpg","фото на сайте")</f>
        <v/>
      </c>
    </row>
    <row r="334" ht="50.1" customHeight="1" s="3">
      <c r="A334" s="23" t="n"/>
      <c r="B334" s="24" t="inlineStr">
        <is>
          <t>19799</t>
        </is>
      </c>
      <c r="C334" s="23" t="inlineStr">
        <is>
          <t>ВМВ НОВ</t>
        </is>
      </c>
      <c r="D334" s="23" t="inlineStr">
        <is>
          <t>Шульман М.</t>
        </is>
      </c>
      <c r="E334" s="23" t="inlineStr">
        <is>
          <t>Поражение на западе. Разгром гитлеровских войск на Западном фронте</t>
        </is>
      </c>
      <c r="F334" s="23" t="inlineStr">
        <is>
          <t>        </t>
        </is>
      </c>
      <c r="G334" s="27" t="n">
        <v>1157</v>
      </c>
      <c r="H334" s="23" t="n">
        <v>10</v>
      </c>
      <c r="I334" s="23" t="n">
        <v>10</v>
      </c>
      <c r="J334" s="23" t="inlineStr">
        <is>
          <t>978-5-9524-5586-3</t>
        </is>
      </c>
      <c r="K334" s="23" t="inlineStr">
        <is>
          <t>84x108 1/32</t>
        </is>
      </c>
      <c r="L334" s="23" t="inlineStr">
        <is>
          <t>тв</t>
        </is>
      </c>
      <c r="M334" s="23" t="n">
        <v>408</v>
      </c>
      <c r="N334" s="23" t="n">
        <v>2021</v>
      </c>
      <c r="O334" s="23" t="n">
        <v>330</v>
      </c>
      <c r="P334" s="23" t="n"/>
      <c r="Q334" s="23" t="n"/>
      <c r="R334" s="25" t="n"/>
      <c r="S334" s="26">
        <f>HYPERLINK("http://www.cnpol.ru/covers/19799.jpg","фото на сайте")</f>
        <v/>
      </c>
    </row>
    <row r="335" ht="50.1" customHeight="1" s="3">
      <c r="A335" s="23" t="inlineStr">
        <is>
          <t>Н</t>
        </is>
      </c>
      <c r="B335" s="24" t="inlineStr">
        <is>
          <t>21725</t>
        </is>
      </c>
      <c r="C335" s="23" t="inlineStr">
        <is>
          <t>ВМВ НОВ</t>
        </is>
      </c>
      <c r="D335" s="23" t="inlineStr">
        <is>
          <t>Беккер К.</t>
        </is>
      </c>
      <c r="E335" s="23" t="inlineStr">
        <is>
          <t>Поражение на море. Разгром военно-морского флота Германии</t>
        </is>
      </c>
      <c r="F335" s="23" t="inlineStr">
        <is>
          <t>        </t>
        </is>
      </c>
      <c r="G335" s="23" t="n">
        <v>936</v>
      </c>
      <c r="H335" s="23" t="n">
        <v>10</v>
      </c>
      <c r="I335" s="23" t="n">
        <v>10</v>
      </c>
      <c r="J335" s="23" t="inlineStr">
        <is>
          <t>978-5-9524-5987-8</t>
        </is>
      </c>
      <c r="K335" s="23" t="inlineStr">
        <is>
          <t>84x108 1/32</t>
        </is>
      </c>
      <c r="L335" s="23" t="inlineStr">
        <is>
          <t>тв</t>
        </is>
      </c>
      <c r="M335" s="23" t="n">
        <v>271</v>
      </c>
      <c r="N335" s="23" t="n">
        <v>2025</v>
      </c>
      <c r="O335" s="23" t="n">
        <v>233</v>
      </c>
      <c r="P335" s="23" t="n"/>
      <c r="Q335" s="23" t="n"/>
      <c r="R335" s="25" t="inlineStr">
        <is>
          <t>Воспоминания бывшего офицера германского ВМФ о борьбе немецкого военно-морского флота и превосходящих сил противника во время Второй мировой войны. Автор рассказывает о морских сражениях и обо всех типах кораблей, участвовавших в них, — от гигантов линкоров до сверхмалых субмарин. Место действия — Атлантика, Балтика и Черное море.</t>
        </is>
      </c>
      <c r="S335" s="26">
        <f>HYPERLINK("http://www.cnpol.ru/covers/21725.jpg","фото на сайте")</f>
        <v/>
      </c>
    </row>
    <row r="336" ht="50.1" customHeight="1" s="3">
      <c r="A336" s="23" t="inlineStr">
        <is>
          <t>Д</t>
        </is>
      </c>
      <c r="B336" s="24" t="inlineStr">
        <is>
          <t>21654</t>
        </is>
      </c>
      <c r="C336" s="23" t="inlineStr">
        <is>
          <t>ВМВ НОВ</t>
        </is>
      </c>
      <c r="D336" s="23" t="inlineStr">
        <is>
          <t>Райан К.</t>
        </is>
      </c>
      <c r="E336" s="23" t="inlineStr">
        <is>
          <t>Последняя битва. Штурм Берлина глазами очевидцев</t>
        </is>
      </c>
      <c r="F336" s="23" t="inlineStr">
        <is>
          <t>        </t>
        </is>
      </c>
      <c r="G336" s="27" t="n">
        <v>1218</v>
      </c>
      <c r="H336" s="23" t="n">
        <v>10</v>
      </c>
      <c r="I336" s="23" t="n">
        <v>5</v>
      </c>
      <c r="J336" s="23" t="inlineStr">
        <is>
          <t>978-5-9524-6419-3</t>
        </is>
      </c>
      <c r="K336" s="23" t="inlineStr">
        <is>
          <t>84x108 1/32</t>
        </is>
      </c>
      <c r="L336" s="23" t="inlineStr">
        <is>
          <t>тв</t>
        </is>
      </c>
      <c r="M336" s="23" t="n">
        <v>427</v>
      </c>
      <c r="N336" s="23" t="n">
        <v>2025</v>
      </c>
      <c r="O336" s="23" t="n">
        <v>468</v>
      </c>
      <c r="P336" s="23" t="n"/>
      <c r="Q336" s="23" t="n"/>
      <c r="R336" s="25" t="inlineStr">
        <is>
          <t>Классическое произведение Райана, одного из лучших военных репортеров прошедшего столетия, посвящено истории битвы за Берлин — последней битвы Второй мировой войны. Автор показывает трагедию изнутри, глазами очевидцев и участников событий: от солдата до маршала, от эсэсовца до монахини. Достигая «эффекта присутствия», с поразительной объективностью исследуются чувства проигравшего диктатора и шквал вырвавшегося напряжения наступающих. Не обойдена ни одна сторона жизни человеческого сообщества, не забыто ни одно злодеяние, ни одна «слезинка ребенка».</t>
        </is>
      </c>
      <c r="S336" s="26">
        <f>HYPERLINK("http://www.cnpol.ru/covers/21654.jpg","фото на сайте")</f>
        <v/>
      </c>
    </row>
    <row r="337" ht="50.1" customHeight="1" s="3">
      <c r="A337" s="23" t="n"/>
      <c r="B337" s="24" t="inlineStr">
        <is>
          <t>20240</t>
        </is>
      </c>
      <c r="C337" s="23" t="inlineStr">
        <is>
          <t>ВМВ НОВ</t>
        </is>
      </c>
      <c r="D337" s="23" t="inlineStr">
        <is>
          <t>Торвальд Ю.</t>
        </is>
      </c>
      <c r="E337" s="23" t="inlineStr">
        <is>
          <t>Разгром на востоке. Поражение фашистской Германии. 1944—1945</t>
        </is>
      </c>
      <c r="F337" s="23" t="inlineStr">
        <is>
          <t>        </t>
        </is>
      </c>
      <c r="G337" s="23" t="n">
        <v>896</v>
      </c>
      <c r="H337" s="23" t="n">
        <v>10</v>
      </c>
      <c r="I337" s="23" t="n">
        <v>14</v>
      </c>
      <c r="J337" s="23" t="inlineStr">
        <is>
          <t>978-5-9524-5778-2</t>
        </is>
      </c>
      <c r="K337" s="23" t="inlineStr">
        <is>
          <t>84x108 1/32</t>
        </is>
      </c>
      <c r="L337" s="23" t="inlineStr">
        <is>
          <t>тв</t>
        </is>
      </c>
      <c r="M337" s="23" t="n">
        <v>287</v>
      </c>
      <c r="N337" s="23" t="n">
        <v>2022</v>
      </c>
      <c r="O337" s="23" t="n">
        <v>130</v>
      </c>
      <c r="P337" s="23" t="n"/>
      <c r="Q337" s="23" t="n"/>
      <c r="R337" s="25" t="n"/>
      <c r="S337" s="26">
        <f>HYPERLINK("http://www.cnpol.ru/covers/20240.jpg","фото на сайте")</f>
        <v/>
      </c>
    </row>
    <row r="338" ht="50.1" customHeight="1" s="3">
      <c r="A338" s="23" t="n"/>
      <c r="B338" s="24" t="inlineStr">
        <is>
          <t>19706</t>
        </is>
      </c>
      <c r="C338" s="23" t="inlineStr">
        <is>
          <t>ВМВ НОВ</t>
        </is>
      </c>
      <c r="D338" s="23" t="inlineStr">
        <is>
          <t>Болдуин Х.</t>
        </is>
      </c>
      <c r="E338" s="23" t="inlineStr">
        <is>
          <t>Сражения выигранные и проигранные</t>
        </is>
      </c>
      <c r="F338" s="23" t="inlineStr">
        <is>
          <t>        </t>
        </is>
      </c>
      <c r="G338" s="27" t="n">
        <v>1554</v>
      </c>
      <c r="H338" s="23" t="n">
        <v>10</v>
      </c>
      <c r="I338" s="23" t="n">
        <v>8</v>
      </c>
      <c r="J338" s="23" t="inlineStr">
        <is>
          <t>978-5-9524-5564-1</t>
        </is>
      </c>
      <c r="K338" s="23" t="inlineStr">
        <is>
          <t>84x108 1/32</t>
        </is>
      </c>
      <c r="L338" s="23" t="inlineStr">
        <is>
          <t>тв</t>
        </is>
      </c>
      <c r="M338" s="23" t="n">
        <v>624</v>
      </c>
      <c r="N338" s="23" t="n">
        <v>2021</v>
      </c>
      <c r="O338" s="23" t="n">
        <v>472</v>
      </c>
      <c r="P338" s="23" t="n"/>
      <c r="Q338" s="23" t="n"/>
      <c r="R338" s="25" t="n"/>
      <c r="S338" s="26">
        <f>HYPERLINK("http://www.cnpol.ru/covers/19706.jpg","фото на сайте")</f>
        <v/>
      </c>
    </row>
    <row r="339" ht="50.1" customHeight="1" s="3">
      <c r="A339" s="23" t="inlineStr">
        <is>
          <t>Д</t>
        </is>
      </c>
      <c r="B339" s="24" t="inlineStr">
        <is>
          <t>21221</t>
        </is>
      </c>
      <c r="C339" s="23" t="inlineStr">
        <is>
          <t>ВМВ НОВ</t>
        </is>
      </c>
      <c r="D339" s="23" t="inlineStr">
        <is>
          <t>Меллентин Ф.В.</t>
        </is>
      </c>
      <c r="E339" s="23" t="inlineStr">
        <is>
          <t>Танковые войска во Второй мировой войне. Великие сражения под Сталинградом и на Курской дуге. Кампании на Западе, Балканах и Северной Африке. 1939-1945</t>
        </is>
      </c>
      <c r="F339" s="23" t="inlineStr">
        <is>
          <t>        </t>
        </is>
      </c>
      <c r="G339" s="27" t="n">
        <v>1197</v>
      </c>
      <c r="H339" s="23" t="n">
        <v>10</v>
      </c>
      <c r="I339" s="23" t="n">
        <v>10</v>
      </c>
      <c r="J339" s="23" t="inlineStr">
        <is>
          <t>978-5-9524-6164-2</t>
        </is>
      </c>
      <c r="K339" s="23" t="inlineStr">
        <is>
          <t>84x108 1/32</t>
        </is>
      </c>
      <c r="L339" s="23" t="inlineStr">
        <is>
          <t>тв</t>
        </is>
      </c>
      <c r="M339" s="23" t="n">
        <v>415</v>
      </c>
      <c r="N339" s="23" t="n">
        <v>2024</v>
      </c>
      <c r="O339" s="23" t="n">
        <v>468</v>
      </c>
      <c r="P339" s="23" t="n"/>
      <c r="Q339" s="23" t="n"/>
      <c r="R339" s="25" t="inlineStr">
        <is>
          <t>В книге бывшего генерала немецкой армии Фридриха Вильгельма фон Меллентина дана профессиональная оценка военных событий 1939—1945 годов. Автор показывает значение танковых войск на различных театрах военных действий от Европы до Северной Африки. Описывает действия танков на советско-германском фронте, уделяя основное внимание Сталинградской и Курской битвам, а также сражениям на Украине и в Польше.</t>
        </is>
      </c>
      <c r="S339" s="26">
        <f>HYPERLINK("http://www.cnpol.ru/covers/21221.jpg","фото на сайте")</f>
        <v/>
      </c>
    </row>
    <row r="340" ht="50.1" customHeight="1" s="3">
      <c r="A340" s="23" t="n"/>
      <c r="B340" s="24" t="inlineStr">
        <is>
          <t>11674</t>
        </is>
      </c>
      <c r="C340" s="23" t="inlineStr">
        <is>
          <t>ВО</t>
        </is>
      </c>
      <c r="D340" s="23" t="inlineStr">
        <is>
          <t>Бараненко С.П.</t>
        </is>
      </c>
      <c r="E340" s="23" t="inlineStr">
        <is>
          <t>Корпоративный менеджмент: учебное пособие</t>
        </is>
      </c>
      <c r="F340" s="23" t="inlineStr">
        <is>
          <t>        </t>
        </is>
      </c>
      <c r="G340" s="23" t="n">
        <v>672</v>
      </c>
      <c r="H340" s="23" t="n">
        <v>10</v>
      </c>
      <c r="I340" s="23" t="n">
        <v>14</v>
      </c>
      <c r="J340" s="23" t="inlineStr">
        <is>
          <t>978-5-9524-4498-0</t>
        </is>
      </c>
      <c r="K340" s="23" t="inlineStr">
        <is>
          <t>60x90 1/16</t>
        </is>
      </c>
      <c r="L340" s="23" t="inlineStr">
        <is>
          <t>тв</t>
        </is>
      </c>
      <c r="M340" s="23" t="n">
        <v>319</v>
      </c>
      <c r="N340" s="23" t="n">
        <v>2010</v>
      </c>
      <c r="O340" s="23" t="n">
        <v>384</v>
      </c>
      <c r="P340" s="23" t="n"/>
      <c r="Q340" s="23" t="n"/>
      <c r="R340" s="25" t="inlineStr">
        <is>
          <t>Допущено Советом Учебно-методического объединения вузов России по образованию в области менеджмента в качестве учебного пособия для студентов, обучающихся по специальности "Менеджмент организации".В учебном пособии системно рассмотрена совокупность вопросов корпоративного менеджмента в рыночных условиях, в совокупности имеющих стратегически целенаправленный и целесообразный характер.Развитие экономики, предпринимательства, предприятий в рыночной среде показывает, что от эффективности корпоративного менеджмента существенно зависят конкурентоспособность российской экономики в целом, а также конкурентоспособность отдельных отраслей и предприятий в отечественном и мировом экономическом пространстве.Книга предназначена в первую очередь для студентов экономических специальностей. Кроме того, она будет полезна профессиональным управляющим, а также широкому кругу специалистов в области корпоративного управления любой отрасли российской экономики.</t>
        </is>
      </c>
      <c r="S340" s="26">
        <f>HYPERLINK("http://www.cnpol.ru/covers/11674.jpg","фото на сайте")</f>
        <v/>
      </c>
    </row>
    <row r="341" ht="50.1" customHeight="1" s="3">
      <c r="A341" s="23" t="n"/>
      <c r="B341" s="24" t="inlineStr">
        <is>
          <t>12177</t>
        </is>
      </c>
      <c r="C341" s="23" t="inlineStr">
        <is>
          <t>ВОЙНЫ</t>
        </is>
      </c>
      <c r="D341" s="23" t="inlineStr">
        <is>
          <t>Троиси Л.</t>
        </is>
      </c>
      <c r="E341" s="23" t="inlineStr">
        <is>
          <t>Новое королевство</t>
        </is>
      </c>
      <c r="F341" s="23" t="n">
        <v>3</v>
      </c>
      <c r="G341" s="23" t="n">
        <v>508</v>
      </c>
      <c r="H341" s="23" t="n">
        <v>10</v>
      </c>
      <c r="I341" s="23" t="n">
        <v>12</v>
      </c>
      <c r="J341" s="23" t="inlineStr">
        <is>
          <t>978-5-227-02350-6</t>
        </is>
      </c>
      <c r="K341" s="23" t="inlineStr">
        <is>
          <t>84x108 1/32</t>
        </is>
      </c>
      <c r="L341" s="23" t="inlineStr">
        <is>
          <t>тв</t>
        </is>
      </c>
      <c r="M341" s="23" t="n">
        <v>450</v>
      </c>
      <c r="N341" s="23" t="n">
        <v>2010</v>
      </c>
      <c r="O341" s="23" t="n">
        <v>396</v>
      </c>
      <c r="P341" s="23" t="n"/>
      <c r="Q341" s="23" t="n"/>
      <c r="R341" s="25" t="n"/>
      <c r="S341" s="26">
        <f>HYPERLINK("http://www.cnpol.ru/covers/12177.jpg","фото на сайте")</f>
        <v/>
      </c>
    </row>
    <row r="342" ht="50.1" customHeight="1" s="3">
      <c r="A342" s="23" t="n"/>
      <c r="B342" s="24" t="inlineStr">
        <is>
          <t>20667</t>
        </is>
      </c>
      <c r="C342" s="23" t="inlineStr">
        <is>
          <t>ВОЛ</t>
        </is>
      </c>
      <c r="D342" s="23" t="inlineStr">
        <is>
          <t>Урусов С.П.</t>
        </is>
      </c>
      <c r="E342" s="23" t="inlineStr">
        <is>
          <t>Книга о лошади. Настольная книга коннозаводчика, коневода, коневладельца и любителя лошади</t>
        </is>
      </c>
      <c r="F342" s="23" t="inlineStr">
        <is>
          <t>        </t>
        </is>
      </c>
      <c r="G342" s="27" t="n">
        <v>4770</v>
      </c>
      <c r="H342" s="23" t="n">
        <v>10</v>
      </c>
      <c r="I342" s="23" t="n">
        <v>2</v>
      </c>
      <c r="J342" s="23" t="inlineStr">
        <is>
          <t>978-5-227-10029-0</t>
        </is>
      </c>
      <c r="K342" s="23" t="inlineStr">
        <is>
          <t>84x108 1/16</t>
        </is>
      </c>
      <c r="L342" s="23" t="inlineStr">
        <is>
          <t>тв</t>
        </is>
      </c>
      <c r="M342" s="23" t="n">
        <v>1020</v>
      </c>
      <c r="N342" s="23" t="n">
        <v>2023</v>
      </c>
      <c r="O342" s="23" t="n">
        <v>1942</v>
      </c>
      <c r="P342" s="23" t="n"/>
      <c r="Q342" s="23" t="n"/>
      <c r="R342" s="25" t="inlineStr">
        <is>
          <t>Переиздание известного сочинения князя С.П. Урусова содержит обширный материал по коневодству, верховой езде и езде в экипажах; о породах, известных в дореволюционной России, строении и статях лошади, рационе питания, устройстве конюшен, упряжи, экипажах и снаряжении; о том, как выбирать, разводить, содержать спортивных и рабочих лошадей, об особенностях их режима и тренировки; об обучении всадников, использовании  верховых лошадей в упряжках и рабочих лошадей под седло, лечении лошадей. Язык адаптирован к современному. Более 1000 рисунков и фотографий.</t>
        </is>
      </c>
      <c r="S342" s="26">
        <f>HYPERLINK("http://www.cnpol.ru/covers/20667.jpg","фото на сайте")</f>
        <v/>
      </c>
    </row>
    <row r="343" ht="50.1" customHeight="1" s="3">
      <c r="A343" s="23" t="inlineStr">
        <is>
          <t>Д</t>
        </is>
      </c>
      <c r="B343" s="24" t="inlineStr">
        <is>
          <t>22213</t>
        </is>
      </c>
      <c r="C343" s="23" t="inlineStr">
        <is>
          <t>ВОЛ</t>
        </is>
      </c>
      <c r="D343" s="23" t="inlineStr">
        <is>
          <t>Филлис Д.</t>
        </is>
      </c>
      <c r="E343" s="23" t="inlineStr">
        <is>
          <t>Основы выездки и езды</t>
        </is>
      </c>
      <c r="F343" s="23" t="inlineStr">
        <is>
          <t>        </t>
        </is>
      </c>
      <c r="G343" s="27" t="n">
        <v>1209</v>
      </c>
      <c r="H343" s="23" t="n">
        <v>10</v>
      </c>
      <c r="I343" s="23" t="n">
        <v>10</v>
      </c>
      <c r="J343" s="23" t="inlineStr">
        <is>
          <t>978-5-227-11353-5</t>
        </is>
      </c>
      <c r="K343" s="23" t="inlineStr">
        <is>
          <t>60x90 1/16</t>
        </is>
      </c>
      <c r="L343" s="23" t="inlineStr">
        <is>
          <t>тв</t>
        </is>
      </c>
      <c r="M343" s="23" t="n">
        <v>380</v>
      </c>
      <c r="N343" s="23" t="n">
        <v>2026</v>
      </c>
      <c r="O343" s="23" t="n">
        <v>482</v>
      </c>
      <c r="P343" s="23" t="n"/>
      <c r="Q343" s="23" t="n"/>
      <c r="R343" s="25" t="inlineStr">
        <is>
          <t>В книге знаменитого мастера выездки подробно рассказывается обо всех основных аспектах работы с лошадью, даются ценные рекомендации, помогающие разрешить неизбежные трудности. Воздействие на лошадь, обучение аллюрам любой сложности, навыки езды в различных ситуациях, борьба с вредными привычками животного, — о чем только не поведал опытнейший Джеймс Филлис в своем руководстве._x000D_
Не теряющие актуальности знания легендарного наездника, изложенные максимально доступным для современного читателя образом, дополнены комментариями современного специалиста-конника, поясняющего каждую главу с точки зрения сегодняшних достижений коневодства и конного спорта._x000D_
«Основы выездки и езды» — настольная книга для всех, кто хочет крепко сидеть в седле!</t>
        </is>
      </c>
      <c r="S343" s="26">
        <f>HYPERLINK("http://www.cnpol.ru/covers/22213.jpg","фото на сайте")</f>
        <v/>
      </c>
    </row>
    <row r="344" ht="50.1" customHeight="1" s="3">
      <c r="A344" s="23" t="n"/>
      <c r="B344" s="24" t="inlineStr">
        <is>
          <t>18008</t>
        </is>
      </c>
      <c r="C344" s="23" t="inlineStr">
        <is>
          <t>Волхвовское целительство</t>
        </is>
      </c>
      <c r="D344" s="23" t="inlineStr">
        <is>
          <t>Гнатюк В.С., Мамаев О.</t>
        </is>
      </c>
      <c r="E344" s="23" t="inlineStr">
        <is>
          <t>Воинская Жива русов. Здрава Юнака</t>
        </is>
      </c>
      <c r="F344" s="23" t="inlineStr">
        <is>
          <t>        </t>
        </is>
      </c>
      <c r="G344" s="23" t="n">
        <v>248</v>
      </c>
      <c r="H344" s="23" t="n">
        <v>10</v>
      </c>
      <c r="I344" s="23" t="n">
        <v>30</v>
      </c>
      <c r="J344" s="23" t="inlineStr">
        <is>
          <t>978-5-227-07082-1</t>
        </is>
      </c>
      <c r="K344" s="23" t="inlineStr">
        <is>
          <t>84x108 1/32 (обл)</t>
        </is>
      </c>
      <c r="L344" s="23" t="inlineStr">
        <is>
          <t>мяг</t>
        </is>
      </c>
      <c r="M344" s="23" t="n">
        <v>144</v>
      </c>
      <c r="N344" s="23" t="n">
        <v>2018</v>
      </c>
      <c r="O344" s="23" t="n">
        <v>88</v>
      </c>
      <c r="P344" s="23" t="n"/>
      <c r="Q344" s="23" t="n"/>
      <c r="R344" s="25" t="inlineStr">
        <is>
          <t>В третьей книге серии "Волхвовское целительство" речь пойдёт о Воинской Живе русов, а точнее, об одной из её составляющих - Здраве Юнака. Комплексы физического развития и приёмы морально­психологической подготовки, входящие в нее, - своего рода курс молодого бойца, предназначенный для всесторонней подготовки человека, решившего освоить воинское ремесло. Данный курс молодого воина будет интересен и полезен любому, желающему закалить своё тело и дух, занимаясь единоборствами. Однако во много раз важнее он станет для того, кто решил идти в этой жизни не менее трудной, чем в прежние далёкие времена, но такой же благородной и честной тропой Боевой Живы воина­руса.</t>
        </is>
      </c>
      <c r="S344" s="26">
        <f>HYPERLINK("http://www.cnpol.ru/covers/18008.jpg","фото на сайте")</f>
        <v/>
      </c>
    </row>
    <row r="345" ht="50.1" customHeight="1" s="3">
      <c r="A345" s="23" t="n"/>
      <c r="B345" s="24" t="inlineStr">
        <is>
          <t>20017</t>
        </is>
      </c>
      <c r="C345" s="23" t="inlineStr">
        <is>
          <t>ГАРЕМ</t>
        </is>
      </c>
      <c r="D345" s="23" t="inlineStr">
        <is>
          <t>Уэст Э.</t>
        </is>
      </c>
      <c r="E345" s="23" t="inlineStr">
        <is>
          <t>В плену безудержных желаний</t>
        </is>
      </c>
      <c r="F345" s="23" t="n">
        <v>37</v>
      </c>
      <c r="G345" s="23" t="n">
        <v>116</v>
      </c>
      <c r="H345" s="23" t="n">
        <v>10</v>
      </c>
      <c r="I345" s="23" t="n">
        <v>30</v>
      </c>
      <c r="J345" s="23" t="inlineStr">
        <is>
          <t>978-5-227-09358-5</t>
        </is>
      </c>
      <c r="K345" s="23" t="inlineStr">
        <is>
          <t>70x100 1/32</t>
        </is>
      </c>
      <c r="L345" s="23" t="inlineStr">
        <is>
          <t>мяг</t>
        </is>
      </c>
      <c r="M345" s="23" t="n">
        <v>159</v>
      </c>
      <c r="N345" s="23" t="n">
        <v>2021</v>
      </c>
      <c r="O345" s="23" t="n">
        <v>76</v>
      </c>
      <c r="P345" s="23" t="n"/>
      <c r="Q345" s="23" t="n"/>
      <c r="R345" s="25" t="inlineStr">
        <is>
          <t>Шейха Ашрафа внезапно похищают одновременно с красавицей Тори, работающей геологом. Они вместе оказываются в плену, и отчаянное желание избежать опасности толкает обоих в объятия друг друга. Тори удалось спастись, и она уверена, что Ашрафа убили. Однако мужчине удалось выжить, и теперь он готов приложить максимум усилий, чтобы найти ту, с кем ему даже в заточении было так хорошо. Шейх наконец разыскивает Тори… и внезапно узнает, что за время разлуки она родила ему сына. Правда, замуж за Ашрафа Тори вовсе не собирается…</t>
        </is>
      </c>
      <c r="S345" s="26">
        <f>HYPERLINK("http://www.cnpol.ru/covers/20017.jpg","фото на сайте")</f>
        <v/>
      </c>
    </row>
    <row r="346" ht="50.1" customHeight="1" s="3">
      <c r="A346" s="23" t="n"/>
      <c r="B346" s="24" t="inlineStr">
        <is>
          <t>18482</t>
        </is>
      </c>
      <c r="C346" s="23" t="inlineStr">
        <is>
          <t>ГАРЕМ</t>
        </is>
      </c>
      <c r="D346" s="23" t="inlineStr">
        <is>
          <t>Маринелли К.</t>
        </is>
      </c>
      <c r="E346" s="23" t="inlineStr">
        <is>
          <t>В плену удовольствий шейха</t>
        </is>
      </c>
      <c r="F346" s="23" t="n">
        <v>15</v>
      </c>
      <c r="G346" s="23" t="n">
        <v>116</v>
      </c>
      <c r="H346" s="23" t="n">
        <v>10</v>
      </c>
      <c r="I346" s="23" t="n">
        <v>30</v>
      </c>
      <c r="J346" s="23" t="inlineStr">
        <is>
          <t>978-5-227-08421-7</t>
        </is>
      </c>
      <c r="K346" s="23" t="inlineStr">
        <is>
          <t>70x100 1/32</t>
        </is>
      </c>
      <c r="L346" s="23" t="inlineStr">
        <is>
          <t>мяг</t>
        </is>
      </c>
      <c r="M346" s="23" t="n">
        <v>160</v>
      </c>
      <c r="N346" s="23" t="n">
        <v>2019</v>
      </c>
      <c r="O346" s="23" t="n">
        <v>76</v>
      </c>
      <c r="P346" s="23" t="n"/>
      <c r="Q346" s="23" t="n"/>
      <c r="R346" s="25" t="n"/>
      <c r="S346" s="26">
        <f>HYPERLINK("http://www.cnpol.ru/covers/18482.jpg","фото на сайте")</f>
        <v/>
      </c>
    </row>
    <row r="347" ht="50.1" customHeight="1" s="3">
      <c r="A347" s="23" t="n"/>
      <c r="B347" s="24" t="inlineStr">
        <is>
          <t>19562</t>
        </is>
      </c>
      <c r="C347" s="23" t="inlineStr">
        <is>
          <t>ГАРЕМ</t>
        </is>
      </c>
      <c r="D347" s="23" t="inlineStr">
        <is>
          <t>Роско П.</t>
        </is>
      </c>
      <c r="E347" s="23" t="inlineStr">
        <is>
          <t>Дикое пламя чувств</t>
        </is>
      </c>
      <c r="F347" s="23" t="n">
        <v>33</v>
      </c>
      <c r="G347" s="23" t="n">
        <v>116</v>
      </c>
      <c r="H347" s="23" t="n">
        <v>10</v>
      </c>
      <c r="I347" s="23" t="n">
        <v>36</v>
      </c>
      <c r="J347" s="23" t="inlineStr">
        <is>
          <t>978-5-227-09160-4</t>
        </is>
      </c>
      <c r="K347" s="23" t="inlineStr">
        <is>
          <t>70x100 1/32</t>
        </is>
      </c>
      <c r="L347" s="23" t="inlineStr">
        <is>
          <t>мяг</t>
        </is>
      </c>
      <c r="M347" s="23" t="n">
        <v>160</v>
      </c>
      <c r="N347" s="23" t="n">
        <v>2021</v>
      </c>
      <c r="O347" s="23" t="n">
        <v>76</v>
      </c>
      <c r="P347" s="23" t="n"/>
      <c r="Q347" s="23" t="n"/>
      <c r="R347" s="25" t="inlineStr">
        <is>
          <t>Десять лет назад у Мейсон Макоулти случился бурный роман с принцем Дэнилом аль­Арейном, который закончился трагически. Теперь Дэнил прибыл на ее австралийскую ферму, переживающую тяжелые времена, с заманчивым предложением. Он предлагает миллион долларов в обмен на присутствие Мейсон на королевском приеме в его стране. Она не может отказаться: ранчо нужно спасти, но огонь былой страсти, оказывается, не погас. Воспоминания снова приводят Мейсон в объятия Дэнила…</t>
        </is>
      </c>
      <c r="S347" s="26">
        <f>HYPERLINK("http://www.cnpol.ru/covers/19562.jpg","фото на сайте")</f>
        <v/>
      </c>
    </row>
    <row r="348" ht="50.1" customHeight="1" s="3">
      <c r="A348" s="23" t="n"/>
      <c r="B348" s="24" t="inlineStr">
        <is>
          <t>18336</t>
        </is>
      </c>
      <c r="C348" s="23" t="inlineStr">
        <is>
          <t>ГАРЕМ</t>
        </is>
      </c>
      <c r="D348" s="23" t="inlineStr">
        <is>
          <t>Кендрик Ш.</t>
        </is>
      </c>
      <c r="E348" s="23" t="inlineStr">
        <is>
          <t>Его желанный триумф</t>
        </is>
      </c>
      <c r="F348" s="23" t="n">
        <v>12</v>
      </c>
      <c r="G348" s="23" t="n">
        <v>116</v>
      </c>
      <c r="H348" s="23" t="n">
        <v>10</v>
      </c>
      <c r="I348" s="23" t="n">
        <v>30</v>
      </c>
      <c r="J348" s="23" t="inlineStr">
        <is>
          <t>978-5-227-08335-7</t>
        </is>
      </c>
      <c r="K348" s="23" t="inlineStr">
        <is>
          <t>70x100 1/32</t>
        </is>
      </c>
      <c r="L348" s="23" t="inlineStr">
        <is>
          <t>мяг</t>
        </is>
      </c>
      <c r="M348" s="23" t="n">
        <v>160</v>
      </c>
      <c r="N348" s="23" t="n">
        <v>2018</v>
      </c>
      <c r="O348" s="23" t="n">
        <v>76</v>
      </c>
      <c r="P348" s="23" t="n"/>
      <c r="Q348" s="23" t="n"/>
      <c r="R348" s="25" t="inlineStr">
        <is>
          <t>Джейн Смит работает в архиве посольства Кафалы в Лондоне. Она — обычная скромная девушка с хорошим образованием и заурядной внешностью. Ее жизнь проходит среди книг и древних манускриптов. Однажды Джейн получает странное предложение — вступить в краткосрочный фиктивный брак с правителем Кафалы, высокомерным и гордым человеком, которого она презирает. Испытывая серьезные финансовые трудности, Джейн соглашается на сделку, но уже через несколько дней начинает раскаиваться в своем решении…</t>
        </is>
      </c>
      <c r="S348" s="26">
        <f>HYPERLINK("http://www.cnpol.ru/covers/18336.jpg","фото на сайте")</f>
        <v/>
      </c>
    </row>
    <row r="349" ht="50.1" customHeight="1" s="3">
      <c r="A349" s="23" t="n"/>
      <c r="B349" s="24" t="inlineStr">
        <is>
          <t>20225</t>
        </is>
      </c>
      <c r="C349" s="23" t="inlineStr">
        <is>
          <t>ГАРЕМ</t>
        </is>
      </c>
      <c r="D349" s="23" t="inlineStr">
        <is>
          <t>Уэст Э.</t>
        </is>
      </c>
      <c r="E349" s="23" t="inlineStr">
        <is>
          <t>Ласковое противостояние султану</t>
        </is>
      </c>
      <c r="F349" s="23" t="n">
        <v>39</v>
      </c>
      <c r="G349" s="23" t="n">
        <v>116</v>
      </c>
      <c r="H349" s="23" t="n">
        <v>10</v>
      </c>
      <c r="I349" s="23" t="n">
        <v>30</v>
      </c>
      <c r="J349" s="23" t="inlineStr">
        <is>
          <t>978-5-227-09423-0</t>
        </is>
      </c>
      <c r="K349" s="23" t="inlineStr">
        <is>
          <t>70x100 1/32</t>
        </is>
      </c>
      <c r="L349" s="23" t="inlineStr">
        <is>
          <t>мяг</t>
        </is>
      </c>
      <c r="M349" s="23" t="n">
        <v>159</v>
      </c>
      <c r="N349" s="23" t="n">
        <v>2022</v>
      </c>
      <c r="O349" s="23" t="n">
        <v>76</v>
      </c>
      <c r="P349" s="23" t="n"/>
      <c r="Q349" s="23" t="n"/>
      <c r="R349" s="25" t="inlineStr">
        <is>
          <t>Султан Азим ищет невесту, и в его распоряжении сотни достойных кандидатур. Тем более, его слава плейбоя ему только на руку. Но почему же его сердце откликается лишь на дерзкую журналистку Жаки, приехавшую в его дворец с намерением описать историю гарема? Ведь она явно никогда не станет его законной супругой… Или все же любовь может творить  чудеса?</t>
        </is>
      </c>
      <c r="S349" s="26">
        <f>HYPERLINK("http://www.cnpol.ru/covers/20225.jpg","фото на сайте")</f>
        <v/>
      </c>
    </row>
    <row r="350" ht="50.1" customHeight="1" s="3">
      <c r="A350" s="23" t="n"/>
      <c r="B350" s="24" t="inlineStr">
        <is>
          <t>20371</t>
        </is>
      </c>
      <c r="C350" s="23" t="inlineStr">
        <is>
          <t>ГАРЕМ</t>
        </is>
      </c>
      <c r="D350" s="23" t="inlineStr">
        <is>
          <t>Хьюит К.</t>
        </is>
      </c>
      <c r="E350" s="23" t="inlineStr">
        <is>
          <t>Лучшая жена для султана</t>
        </is>
      </c>
      <c r="F350" s="23" t="n">
        <v>41</v>
      </c>
      <c r="G350" s="23" t="n">
        <v>116</v>
      </c>
      <c r="H350" s="23" t="n">
        <v>10</v>
      </c>
      <c r="I350" s="23" t="n">
        <v>30</v>
      </c>
      <c r="J350" s="23" t="inlineStr">
        <is>
          <t>978-5-227-09510-7</t>
        </is>
      </c>
      <c r="K350" s="23" t="inlineStr">
        <is>
          <t>70x100 1/32</t>
        </is>
      </c>
      <c r="L350" s="23" t="inlineStr">
        <is>
          <t>мяг</t>
        </is>
      </c>
      <c r="M350" s="23" t="n">
        <v>159</v>
      </c>
      <c r="N350" s="23" t="n">
        <v>2022</v>
      </c>
      <c r="O350" s="23" t="n">
        <v>76</v>
      </c>
      <c r="P350" s="23" t="n"/>
      <c r="Q350" s="23" t="n"/>
      <c r="R350" s="25" t="inlineStr">
        <is>
          <t>Неопытная Грейси Джонс мечтает о приключениях. И в один сказочный вечер находит их в объятиях привлекательного Малика аль-Бахата. Но когда наступило утро, чары рассеялись и ее с позором выгоняют из его номера. Ведь перед ней – будущий султан Алазара. Совсем скоро Грейси понимает, что беременна. Малик же узнает об этом только через десять лет и врывается в ее тихую размеренную жизнь, чтобы увезти их с сыном на родину, где всех ждут грандиозные перемены…</t>
        </is>
      </c>
      <c r="S350" s="26">
        <f>HYPERLINK("http://www.cnpol.ru/covers/20371.jpg","фото на сайте")</f>
        <v/>
      </c>
    </row>
    <row r="351" ht="50.1" customHeight="1" s="3">
      <c r="A351" s="23" t="inlineStr">
        <is>
          <t>Н</t>
        </is>
      </c>
      <c r="B351" s="24" t="inlineStr">
        <is>
          <t>21205</t>
        </is>
      </c>
      <c r="C351" s="23" t="inlineStr">
        <is>
          <t>ГАРЕМ</t>
        </is>
      </c>
      <c r="D351" s="23" t="inlineStr">
        <is>
          <t>Уэст Э.</t>
        </is>
      </c>
      <c r="E351" s="23" t="inlineStr">
        <is>
          <t>Незнакомка в спальне шейха</t>
        </is>
      </c>
      <c r="F351" s="23" t="n">
        <v>46</v>
      </c>
      <c r="G351" s="23" t="n">
        <v>116</v>
      </c>
      <c r="H351" s="23" t="n">
        <v>10</v>
      </c>
      <c r="I351" s="23" t="n">
        <v>30</v>
      </c>
      <c r="J351" s="23" t="inlineStr">
        <is>
          <t>978-5-227-09684-5</t>
        </is>
      </c>
      <c r="K351" s="23" t="inlineStr">
        <is>
          <t>70x100 1/32</t>
        </is>
      </c>
      <c r="L351" s="23" t="inlineStr">
        <is>
          <t>мяг</t>
        </is>
      </c>
      <c r="M351" s="23" t="n">
        <v>159</v>
      </c>
      <c r="N351" s="23" t="n">
        <v>2024</v>
      </c>
      <c r="O351" s="23" t="n">
        <v>76</v>
      </c>
      <c r="P351" s="23" t="n"/>
      <c r="Q351" s="23" t="n"/>
      <c r="R351" s="25" t="inlineStr">
        <is>
          <t>Заказывая ковер в подарок любимой тете, шейх Рэйф ибн Ансар даже представить себе не мог, что внутри свертка его будет ждать сюрприз — беглянка из соседней страны. Проникшись историей Тары Майклз, он готов приютить ее в своем дворце и защитить от преследователей. Но кто защитит его сердце, в котором внезапно начали зарождаться чувства к непокорной красавице?</t>
        </is>
      </c>
      <c r="S351" s="26">
        <f>HYPERLINK("http://www.cnpol.ru/covers/21205.jpg","фото на сайте")</f>
        <v/>
      </c>
    </row>
    <row r="352" ht="50.1" customHeight="1" s="3">
      <c r="A352" s="23" t="n"/>
      <c r="B352" s="24" t="inlineStr">
        <is>
          <t>19663</t>
        </is>
      </c>
      <c r="C352" s="23" t="inlineStr">
        <is>
          <t>ГАРЕМ</t>
        </is>
      </c>
      <c r="D352" s="23" t="inlineStr">
        <is>
          <t>Уэст Э.</t>
        </is>
      </c>
      <c r="E352" s="23" t="inlineStr">
        <is>
          <t>Оживи мои желания</t>
        </is>
      </c>
      <c r="F352" s="23" t="n">
        <v>35</v>
      </c>
      <c r="G352" s="23" t="n">
        <v>116</v>
      </c>
      <c r="H352" s="23" t="n">
        <v>10</v>
      </c>
      <c r="I352" s="23" t="n">
        <v>36</v>
      </c>
      <c r="J352" s="23" t="inlineStr">
        <is>
          <t>978-5-227-09278-6</t>
        </is>
      </c>
      <c r="K352" s="23" t="inlineStr">
        <is>
          <t>70x100 1/32</t>
        </is>
      </c>
      <c r="L352" s="23" t="inlineStr">
        <is>
          <t>мяг</t>
        </is>
      </c>
      <c r="M352" s="23" t="n">
        <v>160</v>
      </c>
      <c r="N352" s="23" t="n">
        <v>2021</v>
      </c>
      <c r="O352" s="23" t="n">
        <v>76</v>
      </c>
      <c r="P352" s="23" t="n"/>
      <c r="Q352" s="23" t="n"/>
      <c r="R352" s="25" t="n"/>
      <c r="S352" s="26">
        <f>HYPERLINK("http://www.cnpol.ru/covers/19663.jpg","фото на сайте")</f>
        <v/>
      </c>
    </row>
    <row r="353" ht="50.1" customHeight="1" s="3">
      <c r="A353" s="23" t="n"/>
      <c r="B353" s="24" t="inlineStr">
        <is>
          <t>18689</t>
        </is>
      </c>
      <c r="C353" s="23" t="inlineStr">
        <is>
          <t>ГАРЕМ</t>
        </is>
      </c>
      <c r="D353" s="23" t="inlineStr">
        <is>
          <t>Гилмор Д.</t>
        </is>
      </c>
      <c r="E353" s="23" t="inlineStr">
        <is>
          <t>Пообещай остаться моей</t>
        </is>
      </c>
      <c r="F353" s="23" t="n">
        <v>19</v>
      </c>
      <c r="G353" s="23" t="n">
        <v>116</v>
      </c>
      <c r="H353" s="23" t="n">
        <v>10</v>
      </c>
      <c r="I353" s="23" t="n">
        <v>30</v>
      </c>
      <c r="J353" s="23" t="inlineStr">
        <is>
          <t>978-5-227-08585-6</t>
        </is>
      </c>
      <c r="K353" s="23" t="inlineStr">
        <is>
          <t>70x100 1/32</t>
        </is>
      </c>
      <c r="L353" s="23" t="inlineStr">
        <is>
          <t>мяг</t>
        </is>
      </c>
      <c r="M353" s="23" t="n">
        <v>160</v>
      </c>
      <c r="N353" s="23" t="n">
        <v>2019</v>
      </c>
      <c r="O353" s="23" t="n">
        <v>78</v>
      </c>
      <c r="P353" s="23" t="n"/>
      <c r="Q353" s="23" t="n"/>
      <c r="R353" s="25" t="n"/>
      <c r="S353" s="26">
        <f>HYPERLINK("http://www.cnpol.ru/covers/18689.jpg","фото на сайте")</f>
        <v/>
      </c>
    </row>
    <row r="354" ht="50.1" customHeight="1" s="3">
      <c r="A354" s="23" t="n"/>
      <c r="B354" s="24" t="inlineStr">
        <is>
          <t>19599</t>
        </is>
      </c>
      <c r="C354" s="23" t="inlineStr">
        <is>
          <t>ГАРЕМ</t>
        </is>
      </c>
      <c r="D354" s="23" t="inlineStr">
        <is>
          <t>Уэст Э.</t>
        </is>
      </c>
      <c r="E354" s="23" t="inlineStr">
        <is>
          <t>Попробуй страсть на вкус</t>
        </is>
      </c>
      <c r="F354" s="23" t="n">
        <v>34</v>
      </c>
      <c r="G354" s="23" t="n">
        <v>116</v>
      </c>
      <c r="H354" s="23" t="n">
        <v>10</v>
      </c>
      <c r="I354" s="23" t="n">
        <v>30</v>
      </c>
      <c r="J354" s="23" t="inlineStr">
        <is>
          <t>978-5-227-09209-0</t>
        </is>
      </c>
      <c r="K354" s="23" t="inlineStr">
        <is>
          <t>70x100 1/32</t>
        </is>
      </c>
      <c r="L354" s="23" t="inlineStr">
        <is>
          <t>мяг</t>
        </is>
      </c>
      <c r="M354" s="23" t="n">
        <v>160</v>
      </c>
      <c r="N354" s="23" t="n">
        <v>2021</v>
      </c>
      <c r="O354" s="23" t="n">
        <v>76</v>
      </c>
      <c r="P354" s="23" t="n"/>
      <c r="Q354" s="23" t="n"/>
      <c r="R354" s="25" t="n"/>
      <c r="S354" s="26">
        <f>HYPERLINK("http://www.cnpol.ru/covers/19599.jpg","фото на сайте")</f>
        <v/>
      </c>
    </row>
    <row r="355" ht="50.1" customHeight="1" s="3">
      <c r="A355" s="23" t="n"/>
      <c r="B355" s="24" t="inlineStr">
        <is>
          <t>20315</t>
        </is>
      </c>
      <c r="C355" s="23" t="inlineStr">
        <is>
          <t>ГАРЕМ</t>
        </is>
      </c>
      <c r="D355" s="23" t="inlineStr">
        <is>
          <t>Блейк М.</t>
        </is>
      </c>
      <c r="E355" s="23" t="inlineStr">
        <is>
          <t>Приказываю стать моей</t>
        </is>
      </c>
      <c r="F355" s="23" t="n">
        <v>40</v>
      </c>
      <c r="G355" s="23" t="n">
        <v>116</v>
      </c>
      <c r="H355" s="23" t="n">
        <v>10</v>
      </c>
      <c r="I355" s="23" t="n">
        <v>30</v>
      </c>
      <c r="J355" s="23" t="inlineStr">
        <is>
          <t>978-5-227-09488-9</t>
        </is>
      </c>
      <c r="K355" s="23" t="inlineStr">
        <is>
          <t>70x100 1/32</t>
        </is>
      </c>
      <c r="L355" s="23" t="inlineStr">
        <is>
          <t>мяг</t>
        </is>
      </c>
      <c r="M355" s="23" t="n">
        <v>159</v>
      </c>
      <c r="N355" s="23" t="n">
        <v>2022</v>
      </c>
      <c r="O355" s="23" t="n">
        <v>76</v>
      </c>
      <c r="P355" s="23" t="n"/>
      <c r="Q355" s="23" t="n"/>
      <c r="R355" s="25" t="n"/>
      <c r="S355" s="26">
        <f>HYPERLINK("http://www.cnpol.ru/covers/20315.jpg","фото на сайте")</f>
        <v/>
      </c>
    </row>
    <row r="356" ht="50.1" customHeight="1" s="3">
      <c r="A356" s="23" t="n"/>
      <c r="B356" s="24" t="inlineStr">
        <is>
          <t>17818</t>
        </is>
      </c>
      <c r="C356" s="23" t="inlineStr">
        <is>
          <t>ГАРЕМ</t>
        </is>
      </c>
      <c r="D356" s="23" t="inlineStr">
        <is>
          <t>Грэхем Л.</t>
        </is>
      </c>
      <c r="E356" s="23" t="inlineStr">
        <is>
          <t>Пылкий властелин</t>
        </is>
      </c>
      <c r="F356" s="23" t="n">
        <v>3</v>
      </c>
      <c r="G356" s="23" t="n">
        <v>116</v>
      </c>
      <c r="H356" s="23" t="n">
        <v>10</v>
      </c>
      <c r="I356" s="23" t="n">
        <v>30</v>
      </c>
      <c r="J356" s="23" t="inlineStr">
        <is>
          <t>978-5-227-07762-2</t>
        </is>
      </c>
      <c r="K356" s="23" t="inlineStr">
        <is>
          <t>70x100 1/32</t>
        </is>
      </c>
      <c r="L356" s="23" t="inlineStr">
        <is>
          <t>мяг</t>
        </is>
      </c>
      <c r="M356" s="23" t="n">
        <v>160</v>
      </c>
      <c r="N356" s="23" t="n">
        <v>2017</v>
      </c>
      <c r="O356" s="23" t="n">
        <v>76</v>
      </c>
      <c r="P356" s="23" t="n"/>
      <c r="Q356" s="23" t="n"/>
      <c r="R356" s="25" t="n"/>
      <c r="S356" s="26">
        <f>HYPERLINK("http://www.cnpol.ru/covers/17818.jpg","фото на сайте")</f>
        <v/>
      </c>
    </row>
    <row r="357" ht="50.1" customHeight="1" s="3">
      <c r="A357" s="23" t="n"/>
      <c r="B357" s="24" t="inlineStr">
        <is>
          <t>18182</t>
        </is>
      </c>
      <c r="C357" s="23" t="inlineStr">
        <is>
          <t>ГАРЕМ</t>
        </is>
      </c>
      <c r="D357" s="23" t="inlineStr">
        <is>
          <t>Брок Э.</t>
        </is>
      </c>
      <c r="E357" s="23" t="inlineStr">
        <is>
          <t>Раскаленное желание</t>
        </is>
      </c>
      <c r="F357" s="23" t="n">
        <v>9</v>
      </c>
      <c r="G357" s="23" t="n">
        <v>116</v>
      </c>
      <c r="H357" s="23" t="n">
        <v>10</v>
      </c>
      <c r="I357" s="23" t="n">
        <v>30</v>
      </c>
      <c r="J357" s="23" t="inlineStr">
        <is>
          <t>978-5-227-08203-9</t>
        </is>
      </c>
      <c r="K357" s="23" t="inlineStr">
        <is>
          <t>70x100 1/32</t>
        </is>
      </c>
      <c r="L357" s="23" t="inlineStr">
        <is>
          <t>мяг</t>
        </is>
      </c>
      <c r="M357" s="23" t="n">
        <v>160</v>
      </c>
      <c r="N357" s="23" t="n">
        <v>2018</v>
      </c>
      <c r="O357" s="23" t="n">
        <v>76</v>
      </c>
      <c r="P357" s="23" t="n"/>
      <c r="Q357" s="23" t="n"/>
      <c r="R357" s="25" t="n"/>
      <c r="S357" s="26">
        <f>HYPERLINK("http://www.cnpol.ru/covers/18182.jpg","фото на сайте")</f>
        <v/>
      </c>
    </row>
    <row r="358" ht="50.1" customHeight="1" s="3">
      <c r="A358" s="23" t="n"/>
      <c r="B358" s="24" t="inlineStr">
        <is>
          <t>20721</t>
        </is>
      </c>
      <c r="C358" s="23" t="inlineStr">
        <is>
          <t>ГАРЕМ</t>
        </is>
      </c>
      <c r="D358" s="23" t="inlineStr">
        <is>
          <t>Лоренс К.</t>
        </is>
      </c>
      <c r="E358" s="23" t="inlineStr">
        <is>
          <t>Сердце во власти шейха</t>
        </is>
      </c>
      <c r="F358" s="23" t="n">
        <v>43</v>
      </c>
      <c r="G358" s="23" t="n">
        <v>116</v>
      </c>
      <c r="H358" s="23" t="n">
        <v>10</v>
      </c>
      <c r="I358" s="23" t="n">
        <v>30</v>
      </c>
      <c r="J358" s="23" t="inlineStr">
        <is>
          <t>978-5-227-09621-0</t>
        </is>
      </c>
      <c r="K358" s="23" t="inlineStr">
        <is>
          <t>70x100 1/32</t>
        </is>
      </c>
      <c r="L358" s="23" t="inlineStr">
        <is>
          <t>мяг</t>
        </is>
      </c>
      <c r="M358" s="23" t="n">
        <v>159</v>
      </c>
      <c r="N358" s="23" t="n">
        <v>2023</v>
      </c>
      <c r="O358" s="23" t="n">
        <v>76</v>
      </c>
      <c r="P358" s="23" t="n"/>
      <c r="Q358" s="23" t="n"/>
      <c r="R358" s="25" t="inlineStr">
        <is>
          <t>Принцесса Ханна Латимер — красавица и светская львица, неожиданно оказывается в плену. И теперь спасти ее может только могущественный и высокомерный принц Камель, которому срочно нужно жениться: так он избежит войны с соседним королевством. Камель с трудом терпит капризную принцессу. Но постепенно понимает, что за ее красотой и кажущейся взбалмошностью скрывается трепетная и ранимая душа…</t>
        </is>
      </c>
      <c r="S358" s="26">
        <f>HYPERLINK("http://www.cnpol.ru/covers/20721.jpg","фото на сайте")</f>
        <v/>
      </c>
    </row>
    <row r="359" ht="50.1" customHeight="1" s="3">
      <c r="A359" s="23" t="n"/>
      <c r="B359" s="24" t="inlineStr">
        <is>
          <t>20868</t>
        </is>
      </c>
      <c r="C359" s="23" t="inlineStr">
        <is>
          <t>ГАРЕМ</t>
        </is>
      </c>
      <c r="D359" s="23" t="inlineStr">
        <is>
          <t>Райс Х.</t>
        </is>
      </c>
      <c r="E359" s="23" t="inlineStr">
        <is>
          <t>Соблазнить короля пустыни</t>
        </is>
      </c>
      <c r="F359" s="23" t="n">
        <v>44</v>
      </c>
      <c r="G359" s="23" t="n">
        <v>116</v>
      </c>
      <c r="H359" s="23" t="n">
        <v>10</v>
      </c>
      <c r="I359" s="23" t="n">
        <v>30</v>
      </c>
      <c r="J359" s="23" t="inlineStr">
        <is>
          <t>978-5-227-09606-7</t>
        </is>
      </c>
      <c r="K359" s="23" t="inlineStr">
        <is>
          <t>70x100 1/32</t>
        </is>
      </c>
      <c r="L359" s="23" t="inlineStr">
        <is>
          <t>мяг</t>
        </is>
      </c>
      <c r="M359" s="23" t="n">
        <v>159</v>
      </c>
      <c r="N359" s="23" t="n">
        <v>2023</v>
      </c>
      <c r="O359" s="23" t="n">
        <v>76</v>
      </c>
      <c r="P359" s="23" t="n"/>
      <c r="Q359" s="23" t="n"/>
      <c r="R359" s="25" t="inlineStr">
        <is>
          <t>Орла Калхун работает не покладая рук, чтобы выплатить долги покойного отца, но все равно вынуждена продать конный завод, принадлежащий ее семье. Неожиданно на пороге ее дома появляется неотразимый Карим Хан, наследный принц арабской страны, и предлагает Орле сделку: он купит ее завод и заплатит ее долги, если она согласится стать его фиктивной невестой.</t>
        </is>
      </c>
      <c r="S359" s="26">
        <f>HYPERLINK("http://www.cnpol.ru/covers/20868.jpg","фото на сайте")</f>
        <v/>
      </c>
    </row>
    <row r="360" ht="50.1" customHeight="1" s="3">
      <c r="A360" s="23" t="n"/>
      <c r="B360" s="24" t="inlineStr">
        <is>
          <t>20422</t>
        </is>
      </c>
      <c r="C360" s="23" t="inlineStr">
        <is>
          <t>ГАРЕМ</t>
        </is>
      </c>
      <c r="D360" s="23" t="inlineStr">
        <is>
          <t>Коллин Д.</t>
        </is>
      </c>
      <c r="E360" s="23" t="inlineStr">
        <is>
          <t>Станешь моей сейчас</t>
        </is>
      </c>
      <c r="F360" s="23" t="n">
        <v>42</v>
      </c>
      <c r="G360" s="23" t="n">
        <v>116</v>
      </c>
      <c r="H360" s="23" t="n">
        <v>10</v>
      </c>
      <c r="I360" s="23" t="n">
        <v>30</v>
      </c>
      <c r="J360" s="23" t="inlineStr">
        <is>
          <t>978-5-227-09566-4</t>
        </is>
      </c>
      <c r="K360" s="23" t="inlineStr">
        <is>
          <t>70x100 1/32</t>
        </is>
      </c>
      <c r="L360" s="23" t="inlineStr">
        <is>
          <t>мяг</t>
        </is>
      </c>
      <c r="M360" s="23" t="n">
        <v>159</v>
      </c>
      <c r="N360" s="23" t="n">
        <v>2022</v>
      </c>
      <c r="O360" s="23" t="n">
        <v>79</v>
      </c>
      <c r="P360" s="23" t="n"/>
      <c r="Q360" s="23" t="n"/>
      <c r="R360" s="25" t="inlineStr">
        <is>
          <t>После смерти Эйджаза, наследного принца Бааки, трон должен занять младший брат, принц Акин, главнокомандующий вооруженными силами страны. Но тут выясняется, что у Эйджаза есть еще не родившийся ребенок, которого носит американка Ханна Микс, одинокая и закомплексованная университетская библиотекарша.</t>
        </is>
      </c>
      <c r="S360" s="26">
        <f>HYPERLINK("http://www.cnpol.ru/covers/20422.jpg","фото на сайте")</f>
        <v/>
      </c>
    </row>
    <row r="361" ht="50.1" customHeight="1" s="3">
      <c r="A361" s="23" t="inlineStr">
        <is>
          <t>Н</t>
        </is>
      </c>
      <c r="B361" s="24" t="inlineStr">
        <is>
          <t>21322</t>
        </is>
      </c>
      <c r="C361" s="23" t="inlineStr">
        <is>
          <t>ГАРЕМ</t>
        </is>
      </c>
      <c r="D361" s="23" t="inlineStr">
        <is>
          <t>Мартон С.</t>
        </is>
      </c>
      <c r="E361" s="23" t="inlineStr">
        <is>
          <t>Страстный сюрприз для шейха</t>
        </is>
      </c>
      <c r="F361" s="23" t="n">
        <v>47</v>
      </c>
      <c r="G361" s="23" t="n">
        <v>116</v>
      </c>
      <c r="H361" s="23" t="n">
        <v>10</v>
      </c>
      <c r="I361" s="23" t="n">
        <v>30</v>
      </c>
      <c r="J361" s="23" t="inlineStr">
        <is>
          <t>978-5-227-09693-7</t>
        </is>
      </c>
      <c r="K361" s="23" t="inlineStr">
        <is>
          <t>70x100 1/32</t>
        </is>
      </c>
      <c r="L361" s="23" t="inlineStr">
        <is>
          <t>мяг</t>
        </is>
      </c>
      <c r="M361" s="23" t="n">
        <v>159</v>
      </c>
      <c r="N361" s="23" t="n">
        <v>2024</v>
      </c>
      <c r="O361" s="23" t="n">
        <v>76</v>
      </c>
      <c r="P361" s="23" t="n"/>
      <c r="Q361" s="23" t="n"/>
      <c r="R361" s="25" t="inlineStr">
        <is>
          <t>Аманда Беннинг встретилась с шейхом Рашидом несколько лет назад при очень неприятных обстоятельствах. И теперь, когда его младшая сестра просит ее оформить интерьер пентхауса шейха, Аманда испытывает и страх, и приятное волнение от встречи с ним. Дело в том, что прошедшие годы она не переставала думать об этом мужчине.</t>
        </is>
      </c>
      <c r="S361" s="26">
        <f>HYPERLINK("http://www.cnpol.ru/covers/21322.jpg","фото на сайте")</f>
        <v/>
      </c>
    </row>
    <row r="362" ht="50.1" customHeight="1" s="3">
      <c r="A362" s="23" t="inlineStr">
        <is>
          <t>Н</t>
        </is>
      </c>
      <c r="B362" s="24" t="inlineStr">
        <is>
          <t>21034</t>
        </is>
      </c>
      <c r="C362" s="23" t="inlineStr">
        <is>
          <t>ГАРЕМ</t>
        </is>
      </c>
      <c r="D362" s="23" t="inlineStr">
        <is>
          <t>Рид Мишель</t>
        </is>
      </c>
      <c r="E362" s="23" t="inlineStr">
        <is>
          <t>Украсть собственную жену</t>
        </is>
      </c>
      <c r="F362" s="23" t="n">
        <v>45</v>
      </c>
      <c r="G362" s="23" t="n">
        <v>116</v>
      </c>
      <c r="H362" s="23" t="n">
        <v>10</v>
      </c>
      <c r="I362" s="23" t="n">
        <v>30</v>
      </c>
      <c r="J362" s="23" t="inlineStr">
        <is>
          <t>978-5-227-09673-9</t>
        </is>
      </c>
      <c r="K362" s="23" t="inlineStr">
        <is>
          <t>70x100 1/32</t>
        </is>
      </c>
      <c r="L362" s="23" t="inlineStr">
        <is>
          <t>мяг</t>
        </is>
      </c>
      <c r="M362" s="23" t="n">
        <v>159</v>
      </c>
      <c r="N362" s="23" t="n">
        <v>2024</v>
      </c>
      <c r="O362" s="23" t="n">
        <v>76</v>
      </c>
      <c r="P362" s="23" t="n"/>
      <c r="Q362" s="23" t="n"/>
      <c r="R362" s="25" t="inlineStr">
        <is>
          <t>Леона по любви вышла замуж за Хасана Бен Халифа, принца небольшой, но богатой арабской страны. Спустя пять лет она покинула дворец своего супруга и решила развестись, потому что не смогла подарить ему наследника. Но Хасан и не думал сдаваться, он вернул жену, и, как прежде, покорил ее своей любовью и нежностью. Леона снова сгорает от страсти в его объятиях, вот только проблемы никуда не делись…</t>
        </is>
      </c>
      <c r="S362" s="26">
        <f>HYPERLINK("http://www.cnpol.ru/covers/21034.jpg","фото на сайте")</f>
        <v/>
      </c>
    </row>
    <row r="363" ht="50.1" customHeight="1" s="3">
      <c r="A363" s="23" t="n"/>
      <c r="B363" s="24" t="inlineStr">
        <is>
          <t>18019</t>
        </is>
      </c>
      <c r="C363" s="23" t="inlineStr">
        <is>
          <t>ГАРЕМ</t>
        </is>
      </c>
      <c r="D363" s="23" t="inlineStr">
        <is>
          <t>Филдинг Л</t>
        </is>
      </c>
      <c r="E363" s="23" t="inlineStr">
        <is>
          <t>Чувственная ночь с изгнанником</t>
        </is>
      </c>
      <c r="F363" s="23" t="n">
        <v>7</v>
      </c>
      <c r="G363" s="23" t="n">
        <v>116</v>
      </c>
      <c r="H363" s="23" t="n">
        <v>10</v>
      </c>
      <c r="I363" s="23" t="n">
        <v>30</v>
      </c>
      <c r="J363" s="23" t="inlineStr">
        <is>
          <t>978-5-227-08097-4</t>
        </is>
      </c>
      <c r="K363" s="23" t="inlineStr">
        <is>
          <t>70x100 1/32</t>
        </is>
      </c>
      <c r="L363" s="23" t="inlineStr">
        <is>
          <t>мяг</t>
        </is>
      </c>
      <c r="M363" s="23" t="n">
        <v>160</v>
      </c>
      <c r="N363" s="23" t="n">
        <v>2018</v>
      </c>
      <c r="O363" s="23" t="n">
        <v>76</v>
      </c>
      <c r="P363" s="23" t="n"/>
      <c r="Q363" s="23" t="n"/>
      <c r="R363" s="25" t="n"/>
      <c r="S363" s="26">
        <f>HYPERLINK("http://www.cnpol.ru/covers/18019.jpg","фото на сайте")</f>
        <v/>
      </c>
    </row>
    <row r="364" ht="50.1" customHeight="1" s="3">
      <c r="A364" s="23" t="n"/>
      <c r="B364" s="24" t="inlineStr">
        <is>
          <t>8488</t>
        </is>
      </c>
      <c r="C364" s="23" t="inlineStr">
        <is>
          <t>ГОЛОС</t>
        </is>
      </c>
      <c r="D364" s="23" t="inlineStr">
        <is>
          <t>Керсновский</t>
        </is>
      </c>
      <c r="E364" s="23" t="inlineStr">
        <is>
          <t>История русской армии</t>
        </is>
      </c>
      <c r="F364" s="23" t="n">
        <v>3</v>
      </c>
      <c r="G364" s="23" t="n">
        <v>120</v>
      </c>
      <c r="H364" s="23" t="n">
        <v>10</v>
      </c>
      <c r="I364" s="23" t="n">
        <v>10</v>
      </c>
      <c r="J364" s="23" t="inlineStr">
        <is>
          <t>5-9524-2092-3</t>
        </is>
      </c>
      <c r="K364" s="23" t="inlineStr">
        <is>
          <t>70x90 1/12</t>
        </is>
      </c>
      <c r="L364" s="23" t="inlineStr">
        <is>
          <t>тв</t>
        </is>
      </c>
      <c r="M364" s="23" t="inlineStr">
        <is>
          <t>    </t>
        </is>
      </c>
      <c r="N364" s="23" t="inlineStr">
        <is>
          <t>    </t>
        </is>
      </c>
      <c r="O364" s="23" t="inlineStr">
        <is>
          <t>     </t>
        </is>
      </c>
      <c r="P364" s="23" t="n"/>
      <c r="Q364" s="23" t="n"/>
      <c r="R364" s="25" t="n"/>
      <c r="S364" s="26">
        <f>HYPERLINK("http://www.cnpol.ru/covers/8488.jpg","фото на сайте")</f>
        <v/>
      </c>
    </row>
    <row r="365" ht="50.1" customHeight="1" s="3">
      <c r="A365" s="23" t="n"/>
      <c r="B365" s="24" t="inlineStr">
        <is>
          <t>11973</t>
        </is>
      </c>
      <c r="C365" s="23" t="inlineStr">
        <is>
          <t>ГОРОД</t>
        </is>
      </c>
      <c r="D365" s="23" t="inlineStr">
        <is>
          <t>Рахманова Е.</t>
        </is>
      </c>
      <c r="E365" s="23" t="inlineStr">
        <is>
          <t>Клин клином</t>
        </is>
      </c>
      <c r="F365" s="23" t="inlineStr">
        <is>
          <t>        </t>
        </is>
      </c>
      <c r="G365" s="23" t="n">
        <v>486</v>
      </c>
      <c r="H365" s="23" t="n">
        <v>10</v>
      </c>
      <c r="I365" s="23" t="n">
        <v>20</v>
      </c>
      <c r="J365" s="23" t="inlineStr">
        <is>
          <t>978-5-227-02150-2</t>
        </is>
      </c>
      <c r="K365" s="23" t="inlineStr">
        <is>
          <t>84x108 1/32</t>
        </is>
      </c>
      <c r="L365" s="23" t="inlineStr">
        <is>
          <t>тв</t>
        </is>
      </c>
      <c r="M365" s="23" t="n">
        <v>222</v>
      </c>
      <c r="N365" s="23" t="n">
        <v>2010</v>
      </c>
      <c r="O365" s="23" t="n">
        <v>212</v>
      </c>
      <c r="P365" s="23" t="n"/>
      <c r="Q365" s="23" t="n"/>
      <c r="R365" s="25" t="inlineStr">
        <is>
          <t>Надежда обожала своего грузинского князя Ладошу: поселила его у себя в квартире, окружила вниманием и заботой, написала за него диссертацию. Защита прошла с блеском, девушка уже слышала свадебные колокола. Но Ладоша женился на другой, а Надю попросили уступить  ему свою должность. Разобиженная девушка помчалась на Волгу залечивать раны в старом, любимом, унаследованном от тетки доме. Но покоя она здесь не нашла: ночью в дом залез какой-то тип, оказавшийся, правда, симпатичным художником, ожил старинный портрет, еще и привидение объявилось – было от чего сойти с ума, но Надя — крепкий орешек, она во всем разберется...</t>
        </is>
      </c>
      <c r="S365" s="26">
        <f>HYPERLINK("http://www.cnpol.ru/covers/11973.jpg","фото на сайте")</f>
        <v/>
      </c>
    </row>
    <row r="366" ht="50.1" customHeight="1" s="3">
      <c r="A366" s="23" t="n"/>
      <c r="B366" s="24" t="inlineStr">
        <is>
          <t>10682</t>
        </is>
      </c>
      <c r="C366" s="23" t="inlineStr">
        <is>
          <t>ГОРОД</t>
        </is>
      </c>
      <c r="D366" s="23" t="inlineStr">
        <is>
          <t>Градова И.</t>
        </is>
      </c>
      <c r="E366" s="23" t="inlineStr">
        <is>
          <t>Пять причин улыбнуться</t>
        </is>
      </c>
      <c r="F366" s="23" t="inlineStr">
        <is>
          <t>        </t>
        </is>
      </c>
      <c r="G366" s="23" t="n">
        <v>486</v>
      </c>
      <c r="H366" s="23" t="n">
        <v>10</v>
      </c>
      <c r="I366" s="23" t="n">
        <v>16</v>
      </c>
      <c r="J366" s="23" t="inlineStr">
        <is>
          <t>978-5-9524-3840-8</t>
        </is>
      </c>
      <c r="K366" s="23" t="inlineStr">
        <is>
          <t>84x108 1/32</t>
        </is>
      </c>
      <c r="L366" s="23" t="inlineStr">
        <is>
          <t>тв</t>
        </is>
      </c>
      <c r="M366" s="23" t="n">
        <v>255</v>
      </c>
      <c r="N366" s="23" t="n">
        <v>2008</v>
      </c>
      <c r="O366" s="23" t="n">
        <v>268</v>
      </c>
      <c r="P366" s="23" t="n"/>
      <c r="Q366" s="23" t="n"/>
      <c r="R366" s="25" t="n"/>
      <c r="S366" s="26">
        <f>HYPERLINK("http://www.cnpol.ru/covers/10682.jpg","фото на сайте")</f>
        <v/>
      </c>
    </row>
    <row r="367" ht="50.1" customHeight="1" s="3">
      <c r="A367" s="23" t="n"/>
      <c r="B367" s="24" t="inlineStr">
        <is>
          <t>2049</t>
        </is>
      </c>
      <c r="C367" s="23" t="inlineStr">
        <is>
          <t>ГОРОСКОП</t>
        </is>
      </c>
      <c r="D367" s="23" t="inlineStr">
        <is>
          <t>Величко</t>
        </is>
      </c>
      <c r="E367" s="23" t="inlineStr">
        <is>
          <t>Астрология повседневной жизни</t>
        </is>
      </c>
      <c r="F367" s="23" t="inlineStr">
        <is>
          <t>        </t>
        </is>
      </c>
      <c r="G367" s="23" t="n">
        <v>143</v>
      </c>
      <c r="H367" s="23" t="n">
        <v>10</v>
      </c>
      <c r="I367" s="23" t="n">
        <v>12</v>
      </c>
      <c r="J367" s="23" t="inlineStr">
        <is>
          <t>5-227-00857-4</t>
        </is>
      </c>
      <c r="K367" s="23" t="inlineStr">
        <is>
          <t>70x100 1/32</t>
        </is>
      </c>
      <c r="L367" s="23" t="inlineStr">
        <is>
          <t>тв</t>
        </is>
      </c>
      <c r="M367" s="23" t="inlineStr">
        <is>
          <t>    </t>
        </is>
      </c>
      <c r="N367" s="23" t="inlineStr">
        <is>
          <t>    </t>
        </is>
      </c>
      <c r="O367" s="23" t="inlineStr">
        <is>
          <t>     </t>
        </is>
      </c>
      <c r="P367" s="23" t="n"/>
      <c r="Q367" s="23" t="n"/>
      <c r="R367" s="25" t="inlineStr">
        <is>
          <t>Книга авторитетного астролога, широко известного по многочисленным публикациям и телепередачам, - это не только увлекательный рассказ о том, как астрология помогает жить в гармонии с собой и окружающим миром, но и советы и рекомендации на все случаи жизни, будь то здоровье или воспитание детей, любовь или работа, покупки или отдых на дачном участке. Лунные таблицы и другой справочный материал помогут вам выбирать оптимальное время для любых дел. Книгу Ф.Величко можно считать самоучителем счастливой жизнидля вас и ваших близких.</t>
        </is>
      </c>
      <c r="S367" s="26">
        <f>HYPERLINK("http://www.cnpol.ru/covers/2049.jpg","фото на сайте")</f>
        <v/>
      </c>
    </row>
    <row r="368" ht="50.1" customHeight="1" s="3">
      <c r="A368" s="23" t="n"/>
      <c r="B368" s="24" t="inlineStr">
        <is>
          <t>3847</t>
        </is>
      </c>
      <c r="C368" s="23" t="inlineStr">
        <is>
          <t>ГОРОСКОП</t>
        </is>
      </c>
      <c r="D368" s="23" t="inlineStr">
        <is>
          <t>Величко</t>
        </is>
      </c>
      <c r="E368" s="23" t="inlineStr">
        <is>
          <t>Астрология повседневной жизни</t>
        </is>
      </c>
      <c r="F368" s="23" t="inlineStr">
        <is>
          <t>        </t>
        </is>
      </c>
      <c r="G368" s="23" t="n">
        <v>300</v>
      </c>
      <c r="H368" s="23" t="n">
        <v>10</v>
      </c>
      <c r="I368" s="23" t="n">
        <v>12</v>
      </c>
      <c r="J368" s="23" t="inlineStr">
        <is>
          <t>5-227-00857-4</t>
        </is>
      </c>
      <c r="K368" s="23" t="inlineStr">
        <is>
          <t>70x100 1/32</t>
        </is>
      </c>
      <c r="L368" s="23" t="inlineStr">
        <is>
          <t>тв</t>
        </is>
      </c>
      <c r="M368" s="23" t="n">
        <v>444</v>
      </c>
      <c r="N368" s="23" t="n">
        <v>2003</v>
      </c>
      <c r="O368" s="23" t="n">
        <v>244</v>
      </c>
      <c r="P368" s="23" t="n"/>
      <c r="Q368" s="23" t="n"/>
      <c r="R368" s="25" t="inlineStr">
        <is>
          <t>Книга авторитетного астролога, широко известного по многочисленным публикациям и телепередачам, - это не только увлекательный рассказ о том, как астрология помогает жить в гармонии с собой и окружающим миром, но и советы и рекомендации на все случаи жизни, будь то здоровье или воспитание детей, любовь или работа, покупки или отдых на дачном участке. Лунные таблицы и другой справочный материал помогут вам выбирать оптимальное время для любых дел. Книгу Ф.Величко можно считать самоучителем счастливой жизнидля вас и ваших близких.</t>
        </is>
      </c>
      <c r="S368" s="26">
        <f>HYPERLINK("http://www.cnpol.ru/covers/3847.jpg","фото на сайте")</f>
        <v/>
      </c>
    </row>
    <row r="369" ht="50.1" customHeight="1" s="3">
      <c r="A369" s="23" t="n"/>
      <c r="B369" s="24" t="inlineStr">
        <is>
          <t>4645</t>
        </is>
      </c>
      <c r="C369" s="23" t="inlineStr">
        <is>
          <t>ГОРОСКОП</t>
        </is>
      </c>
      <c r="D369" s="23" t="inlineStr">
        <is>
          <t>Фирсов</t>
        </is>
      </c>
      <c r="E369" s="23" t="inlineStr">
        <is>
          <t>Лунный календарь</t>
        </is>
      </c>
      <c r="F369" s="23" t="inlineStr">
        <is>
          <t>        </t>
        </is>
      </c>
      <c r="G369" s="23" t="n">
        <v>300</v>
      </c>
      <c r="H369" s="23" t="n">
        <v>22</v>
      </c>
      <c r="I369" s="23" t="n">
        <v>14</v>
      </c>
      <c r="J369" s="23" t="inlineStr">
        <is>
          <t>5-9524-0850-8</t>
        </is>
      </c>
      <c r="K369" s="23" t="inlineStr">
        <is>
          <t>70x100 1/32</t>
        </is>
      </c>
      <c r="L369" s="23" t="inlineStr">
        <is>
          <t>тв</t>
        </is>
      </c>
      <c r="M369" s="23" t="n">
        <v>383</v>
      </c>
      <c r="N369" s="23" t="n">
        <v>2004</v>
      </c>
      <c r="O369" s="23" t="n">
        <v>224</v>
      </c>
      <c r="P369" s="23" t="n"/>
      <c r="Q369" s="23" t="n"/>
      <c r="R369" s="25" t="inlineStr">
        <is>
          <t>Эта книга о характере женщины и о том, какую роль играет в нем Луна. Проследив путь серебряного диска по знакам зодиака, вы сделаете много неожиданных открытий. Почему именно так складываются отношения с матерью, отцом и сверстниками? Кто станет вашим супругом? Сколько раз вы выйдете замуж? Сколько детей у вас будет и какая семья получится? Как вы воспринимаете мужчин и относитесь к своей роли жены и матери? Что вы думаете о карьере и какая профессия вам подходит? Судьбы известных женщин станут для кого-то ориентиром, кому-то подсказкой и помогут ответить на важный жизненный вопрос.</t>
        </is>
      </c>
      <c r="S369" s="26">
        <f>HYPERLINK("http://www.cnpol.ru/covers/4645.jpg","фото на сайте")</f>
        <v/>
      </c>
    </row>
    <row r="370" ht="50.1" customHeight="1" s="3">
      <c r="A370" s="23" t="n"/>
      <c r="B370" s="24" t="inlineStr">
        <is>
          <t>4481</t>
        </is>
      </c>
      <c r="C370" s="23" t="inlineStr">
        <is>
          <t>ГР</t>
        </is>
      </c>
      <c r="D370" s="23" t="inlineStr">
        <is>
          <t>Николь К.</t>
        </is>
      </c>
      <c r="E370" s="23" t="inlineStr">
        <is>
          <t>Дом на Ястребином мысу</t>
        </is>
      </c>
      <c r="F370" s="23" t="inlineStr">
        <is>
          <t>        </t>
        </is>
      </c>
      <c r="G370" s="23" t="n">
        <v>62</v>
      </c>
      <c r="H370" s="23" t="n">
        <v>10</v>
      </c>
      <c r="I370" s="23" t="n">
        <v>32</v>
      </c>
      <c r="J370" s="23" t="inlineStr">
        <is>
          <t>5-9524-0766-8</t>
        </is>
      </c>
      <c r="K370" s="23" t="inlineStr">
        <is>
          <t>70x90 1/32</t>
        </is>
      </c>
      <c r="L370" s="23" t="inlineStr">
        <is>
          <t>мяг</t>
        </is>
      </c>
      <c r="M370" s="23" t="n">
        <v>221</v>
      </c>
      <c r="N370" s="23" t="n">
        <v>2004</v>
      </c>
      <c r="O370" s="23" t="n">
        <v>94</v>
      </c>
      <c r="P370" s="23" t="n"/>
      <c r="Q370" s="23" t="n"/>
      <c r="R370" s="25" t="inlineStr">
        <is>
          <t>Джейн Берроуз необходимо побыть в одиночестве и привести в порядок мысли. Она отправляется на малолюдное побережье в дом, доставшийся ей в наследство. И здесь начинают происходить странные явления - но ночам слышен скрип половиц и появляются мерцающие огни...</t>
        </is>
      </c>
      <c r="S370" s="26">
        <f>HYPERLINK("http://www.cnpol.ru/covers/4481.jpg","фото на сайте")</f>
        <v/>
      </c>
    </row>
    <row r="371" ht="50.1" customHeight="1" s="3">
      <c r="A371" s="23" t="n"/>
      <c r="B371" s="24" t="inlineStr">
        <is>
          <t>4648</t>
        </is>
      </c>
      <c r="C371" s="23" t="inlineStr">
        <is>
          <t>ГР</t>
        </is>
      </c>
      <c r="D371" s="23" t="inlineStr">
        <is>
          <t>Росс К.</t>
        </is>
      </c>
      <c r="E371" s="23" t="inlineStr">
        <is>
          <t>Раненое сердце</t>
        </is>
      </c>
      <c r="F371" s="23" t="inlineStr">
        <is>
          <t>        </t>
        </is>
      </c>
      <c r="G371" s="23" t="n">
        <v>97</v>
      </c>
      <c r="H371" s="23" t="n">
        <v>10</v>
      </c>
      <c r="I371" s="23" t="n">
        <v>40</v>
      </c>
      <c r="J371" s="23" t="inlineStr">
        <is>
          <t>5-9524-0901-6</t>
        </is>
      </c>
      <c r="K371" s="23" t="inlineStr">
        <is>
          <t>70x90 1/32</t>
        </is>
      </c>
      <c r="L371" s="23" t="inlineStr">
        <is>
          <t>мяг</t>
        </is>
      </c>
      <c r="M371" s="23" t="n">
        <v>188</v>
      </c>
      <c r="N371" s="23" t="n">
        <v>2004</v>
      </c>
      <c r="O371" s="23" t="n">
        <v>84</v>
      </c>
      <c r="P371" s="23" t="n"/>
      <c r="Q371" s="23" t="n"/>
      <c r="R371" s="25" t="n"/>
      <c r="S371" s="26">
        <f>HYPERLINK("http://www.cnpol.ru/covers/4648.jpg","фото на сайте")</f>
        <v/>
      </c>
    </row>
    <row r="372" ht="50.1" customHeight="1" s="3">
      <c r="A372" s="23" t="n"/>
      <c r="B372" s="24" t="inlineStr">
        <is>
          <t>4638</t>
        </is>
      </c>
      <c r="C372" s="23" t="inlineStr">
        <is>
          <t>ГР</t>
        </is>
      </c>
      <c r="D372" s="23" t="inlineStr">
        <is>
          <t>Хит Ш.</t>
        </is>
      </c>
      <c r="E372" s="23" t="inlineStr">
        <is>
          <t>Соколиный замок</t>
        </is>
      </c>
      <c r="F372" s="23" t="inlineStr">
        <is>
          <t>        </t>
        </is>
      </c>
      <c r="G372" s="23" t="n">
        <v>97</v>
      </c>
      <c r="H372" s="23" t="n">
        <v>10</v>
      </c>
      <c r="I372" s="23" t="n">
        <v>32</v>
      </c>
      <c r="J372" s="23" t="inlineStr">
        <is>
          <t>5-9524-0871-0</t>
        </is>
      </c>
      <c r="K372" s="23" t="inlineStr">
        <is>
          <t>70x90 1/32</t>
        </is>
      </c>
      <c r="L372" s="23" t="inlineStr">
        <is>
          <t>мяг</t>
        </is>
      </c>
      <c r="M372" s="23" t="n">
        <v>216</v>
      </c>
      <c r="N372" s="23" t="n">
        <v>2004</v>
      </c>
      <c r="O372" s="23" t="n">
        <v>94</v>
      </c>
      <c r="P372" s="23" t="n"/>
      <c r="Q372" s="23" t="n"/>
      <c r="R372" s="25" t="n"/>
      <c r="S372" s="26">
        <f>HYPERLINK("http://www.cnpol.ru/covers/4638.jpg","фото на сайте")</f>
        <v/>
      </c>
    </row>
    <row r="373" ht="50.1" customHeight="1" s="3">
      <c r="A373" s="23" t="n"/>
      <c r="B373" s="24" t="inlineStr">
        <is>
          <t>4706</t>
        </is>
      </c>
      <c r="C373" s="23" t="inlineStr">
        <is>
          <t>ГР</t>
        </is>
      </c>
      <c r="D373" s="23" t="inlineStr">
        <is>
          <t>Нун Э.</t>
        </is>
      </c>
      <c r="E373" s="23" t="inlineStr">
        <is>
          <t>Темный кипарис</t>
        </is>
      </c>
      <c r="F373" s="23" t="inlineStr">
        <is>
          <t>        </t>
        </is>
      </c>
      <c r="G373" s="23" t="n">
        <v>97</v>
      </c>
      <c r="H373" s="23" t="n">
        <v>10</v>
      </c>
      <c r="I373" s="23" t="n">
        <v>30</v>
      </c>
      <c r="J373" s="23" t="inlineStr">
        <is>
          <t>5-9524-0095-7</t>
        </is>
      </c>
      <c r="K373" s="23" t="inlineStr">
        <is>
          <t>70x90 1/32</t>
        </is>
      </c>
      <c r="L373" s="23" t="inlineStr">
        <is>
          <t>мяг</t>
        </is>
      </c>
      <c r="M373" s="23" t="n">
        <v>205</v>
      </c>
      <c r="N373" s="23" t="n">
        <v>2004</v>
      </c>
      <c r="O373" s="23" t="n">
        <v>86</v>
      </c>
      <c r="P373" s="23" t="n"/>
      <c r="Q373" s="23" t="n"/>
      <c r="R373" s="25" t="n"/>
      <c r="S373" s="26">
        <f>HYPERLINK("http://www.cnpol.ru/covers/4706.jpg","фото на сайте")</f>
        <v/>
      </c>
    </row>
    <row r="374" ht="50.1" customHeight="1" s="3">
      <c r="A374" s="23" t="n"/>
      <c r="B374" s="24" t="inlineStr">
        <is>
          <t>3596</t>
        </is>
      </c>
      <c r="C374" s="23" t="inlineStr">
        <is>
          <t>ГР</t>
        </is>
      </c>
      <c r="D374" s="23" t="inlineStr">
        <is>
          <t>Нун Э.</t>
        </is>
      </c>
      <c r="E374" s="23" t="inlineStr">
        <is>
          <t>Темный кипарис</t>
        </is>
      </c>
      <c r="F374" s="23" t="inlineStr">
        <is>
          <t>        </t>
        </is>
      </c>
      <c r="G374" s="23" t="n">
        <v>51</v>
      </c>
      <c r="H374" s="23" t="n">
        <v>10</v>
      </c>
      <c r="I374" s="23" t="n">
        <v>22</v>
      </c>
      <c r="J374" s="23" t="inlineStr">
        <is>
          <t>5-9524-0095-7</t>
        </is>
      </c>
      <c r="K374" s="23" t="inlineStr">
        <is>
          <t>70x90 1/32</t>
        </is>
      </c>
      <c r="L374" s="23" t="inlineStr">
        <is>
          <t>мяг</t>
        </is>
      </c>
      <c r="M374" s="23" t="inlineStr">
        <is>
          <t>    </t>
        </is>
      </c>
      <c r="N374" s="23" t="inlineStr">
        <is>
          <t>    </t>
        </is>
      </c>
      <c r="O374" s="23" t="inlineStr">
        <is>
          <t>     </t>
        </is>
      </c>
      <c r="P374" s="23" t="n"/>
      <c r="Q374" s="23" t="n"/>
      <c r="R374" s="25" t="n"/>
      <c r="S374" s="26">
        <f>HYPERLINK("http://www.cnpol.ru/covers/3596.jpg","фото на сайте")</f>
        <v/>
      </c>
    </row>
    <row r="375" ht="50.1" customHeight="1" s="3">
      <c r="A375" s="23" t="n"/>
      <c r="B375" s="24" t="inlineStr">
        <is>
          <t>3990</t>
        </is>
      </c>
      <c r="C375" s="23" t="inlineStr">
        <is>
          <t>ГР</t>
        </is>
      </c>
      <c r="D375" s="23" t="inlineStr">
        <is>
          <t>Майклз Б.</t>
        </is>
      </c>
      <c r="E375" s="23" t="inlineStr">
        <is>
          <t>Хозяин черной башни</t>
        </is>
      </c>
      <c r="F375" s="23" t="inlineStr">
        <is>
          <t>        </t>
        </is>
      </c>
      <c r="G375" s="23" t="n">
        <v>51</v>
      </c>
      <c r="H375" s="23" t="n">
        <v>10</v>
      </c>
      <c r="I375" s="23" t="n">
        <v>32</v>
      </c>
      <c r="J375" s="23" t="inlineStr">
        <is>
          <t>5-9524-0421-9</t>
        </is>
      </c>
      <c r="K375" s="23" t="inlineStr">
        <is>
          <t>70x90 1/32</t>
        </is>
      </c>
      <c r="L375" s="23" t="inlineStr">
        <is>
          <t>мяг</t>
        </is>
      </c>
      <c r="M375" s="23" t="inlineStr">
        <is>
          <t>    </t>
        </is>
      </c>
      <c r="N375" s="23" t="inlineStr">
        <is>
          <t>    </t>
        </is>
      </c>
      <c r="O375" s="23" t="inlineStr">
        <is>
          <t>     </t>
        </is>
      </c>
      <c r="P375" s="23" t="n"/>
      <c r="Q375" s="23" t="n"/>
      <c r="R375" s="25" t="n"/>
      <c r="S375" s="26">
        <f>HYPERLINK("http://www.cnpol.ru/covers/3990.jpg","фото на сайте")</f>
        <v/>
      </c>
    </row>
    <row r="376" ht="50.1" customHeight="1" s="3">
      <c r="A376" s="23" t="inlineStr">
        <is>
          <t>Н</t>
        </is>
      </c>
      <c r="B376" s="24" t="inlineStr">
        <is>
          <t>22015</t>
        </is>
      </c>
      <c r="C376" s="23" t="inlineStr">
        <is>
          <t>ГРЭМ</t>
        </is>
      </c>
      <c r="D376" s="23" t="inlineStr">
        <is>
          <t>Грэм Х.</t>
        </is>
      </c>
      <c r="E376" s="23" t="inlineStr">
        <is>
          <t>Идущий в ночи</t>
        </is>
      </c>
      <c r="F376" s="23" t="inlineStr">
        <is>
          <t>        </t>
        </is>
      </c>
      <c r="G376" s="23" t="n">
        <v>983</v>
      </c>
      <c r="H376" s="23" t="n">
        <v>10</v>
      </c>
      <c r="I376" s="23" t="n">
        <v>10</v>
      </c>
      <c r="J376" s="23" t="inlineStr">
        <is>
          <t>978-5-227-11226-2</t>
        </is>
      </c>
      <c r="K376" s="23" t="inlineStr">
        <is>
          <t>84x108 1/32</t>
        </is>
      </c>
      <c r="L376" s="23" t="inlineStr">
        <is>
          <t>тв</t>
        </is>
      </c>
      <c r="M376" s="23" t="n">
        <v>315</v>
      </c>
      <c r="N376" s="23" t="n">
        <v>2024</v>
      </c>
      <c r="O376" s="23" t="n">
        <v>364</v>
      </c>
      <c r="P376" s="23" t="n"/>
      <c r="Q376" s="23" t="n"/>
      <c r="R376" s="25" t="inlineStr">
        <is>
          <t>В Лас-Вегасе мало чем можно удивить пресыщенную толпу, швыряющую на кон свои судьбы. Но синеглазая рыжеволосая красавица, виртуозно бросающая кости, невольно притягивала всеобщее внимание. Она выигрывала, но внезапно какой-то гигант, свалившись на нее, залил девушку своей кровью: в спине у него торчала рукоятка ножа. Лишь одно слово произнес он перед смертью. И это слово связало воедино судьбы живых и мертвых, живущих в этом и том мирах. Прошлое и настоящее сразились в решающей схватке, чтобы идущие в ночи — Джесси и Диллон — смогли снять печать Зла со старого, забытого Богом и людьми городка...</t>
        </is>
      </c>
      <c r="S376" s="26">
        <f>HYPERLINK("http://www.cnpol.ru/covers/22015.jpg","фото на сайте")</f>
        <v/>
      </c>
    </row>
    <row r="377" ht="50.1" customHeight="1" s="3">
      <c r="A377" s="23" t="inlineStr">
        <is>
          <t>Н</t>
        </is>
      </c>
      <c r="B377" s="24" t="inlineStr">
        <is>
          <t>21962</t>
        </is>
      </c>
      <c r="C377" s="23" t="inlineStr">
        <is>
          <t>ГРЭМ</t>
        </is>
      </c>
      <c r="D377" s="23" t="inlineStr">
        <is>
          <t>Грэм Х.</t>
        </is>
      </c>
      <c r="E377" s="23" t="inlineStr">
        <is>
          <t>Ночь призраков</t>
        </is>
      </c>
      <c r="F377" s="23" t="inlineStr">
        <is>
          <t>        </t>
        </is>
      </c>
      <c r="G377" s="23" t="n">
        <v>935</v>
      </c>
      <c r="H377" s="23" t="n">
        <v>10</v>
      </c>
      <c r="I377" s="23" t="n">
        <v>10</v>
      </c>
      <c r="J377" s="23" t="inlineStr">
        <is>
          <t>978-5-227-11231-6</t>
        </is>
      </c>
      <c r="K377" s="23" t="inlineStr">
        <is>
          <t>84x108 1/32</t>
        </is>
      </c>
      <c r="L377" s="23" t="inlineStr">
        <is>
          <t>тв</t>
        </is>
      </c>
      <c r="M377" s="23" t="n">
        <v>255</v>
      </c>
      <c r="N377" s="23" t="n">
        <v>2024</v>
      </c>
      <c r="O377" s="23" t="n">
        <v>317</v>
      </c>
      <c r="P377" s="23" t="n"/>
      <c r="Q377" s="23" t="n"/>
      <c r="R377" s="25" t="inlineStr">
        <is>
          <t>Съемки кровавого фильма ужасов на океанском острове Южный Бимини подошли к концу. Члены съемочной группы наслаждались заслуженным отдыхом, пили шампанское, валялись на песке, любовались закатом, как вдруг раздался ужасный, леденящий душу крик. А потом из темноты появилась Джорджия, актриса, исполнившая главную роль. Полумертвая от страха, она рассказала, что ее партнер по фильму, красавец Трэвис, убит на пляже кем-то поднявшимся из песка. Она заявила, что не останется на острове, и осветитель группы вызвался увезти ее на лодке. Никто не поверил Джорджии, но на следующее утро произошло нечто такое, от чего кровь застыла в жилах у всех, кто остался на острове...</t>
        </is>
      </c>
      <c r="S377" s="26">
        <f>HYPERLINK("http://www.cnpol.ru/covers/21962.jpg","фото на сайте")</f>
        <v/>
      </c>
    </row>
    <row r="378" ht="50.1" customHeight="1" s="3">
      <c r="A378" s="23" t="inlineStr">
        <is>
          <t>Н</t>
        </is>
      </c>
      <c r="B378" s="24" t="inlineStr">
        <is>
          <t>21925</t>
        </is>
      </c>
      <c r="C378" s="23" t="inlineStr">
        <is>
          <t>ГРЭМ</t>
        </is>
      </c>
      <c r="D378" s="23" t="inlineStr">
        <is>
          <t>Грэм Х.</t>
        </is>
      </c>
      <c r="E378" s="23" t="inlineStr">
        <is>
          <t>Призрачная тень</t>
        </is>
      </c>
      <c r="F378" s="23" t="inlineStr">
        <is>
          <t>        </t>
        </is>
      </c>
      <c r="G378" s="23" t="n">
        <v>935</v>
      </c>
      <c r="H378" s="23" t="n">
        <v>10</v>
      </c>
      <c r="I378" s="23" t="n">
        <v>10</v>
      </c>
      <c r="J378" s="23" t="inlineStr">
        <is>
          <t>978-5-227-11191-3</t>
        </is>
      </c>
      <c r="K378" s="23" t="inlineStr">
        <is>
          <t>84x108 1/32</t>
        </is>
      </c>
      <c r="L378" s="23" t="inlineStr">
        <is>
          <t>тв</t>
        </is>
      </c>
      <c r="M378" s="23" t="n">
        <v>255</v>
      </c>
      <c r="N378" s="23" t="n">
        <v>2024</v>
      </c>
      <c r="O378" s="23" t="n">
        <v>312</v>
      </c>
      <c r="P378" s="23" t="n"/>
      <c r="Q378" s="23" t="n"/>
      <c r="R378" s="25" t="inlineStr">
        <is>
          <t>В Ки-Уэсте — городе отдыхающих и туристов — готовится карнавал. Кейти О’Хара — хозяйка бара и музея диковинных экспонатов наподобие музея мадам Тюссо — воодушевлена: она ждет наплыва посетителей. Но тут случается непредвиденное: в музее в одной из композиций обнаружен женский труп. Кейти и ее друзья в панике. Начавшееся полицейское расследование идет своим чередом, но пока вопросов больше, чем ответов. Ситуация усугубляется тем, что Кейти начинают мерещиться призраки, которые явно хотят ей поведать что-то очень важное...</t>
        </is>
      </c>
      <c r="S378" s="26">
        <f>HYPERLINK("http://www.cnpol.ru/covers/21925.jpg","фото на сайте")</f>
        <v/>
      </c>
    </row>
    <row r="379" ht="50.1" customHeight="1" s="3">
      <c r="A379" s="23" t="inlineStr">
        <is>
          <t>Н</t>
        </is>
      </c>
      <c r="B379" s="24" t="inlineStr">
        <is>
          <t>22014</t>
        </is>
      </c>
      <c r="C379" s="23" t="inlineStr">
        <is>
          <t>ГРЭМ</t>
        </is>
      </c>
      <c r="D379" s="23" t="inlineStr">
        <is>
          <t>Грэм Х.</t>
        </is>
      </c>
      <c r="E379" s="23" t="inlineStr">
        <is>
          <t>Приходит ночь</t>
        </is>
      </c>
      <c r="F379" s="23" t="inlineStr">
        <is>
          <t>        </t>
        </is>
      </c>
      <c r="G379" s="23" t="n">
        <v>983</v>
      </c>
      <c r="H379" s="23" t="n">
        <v>10</v>
      </c>
      <c r="I379" s="23" t="n">
        <v>10</v>
      </c>
      <c r="J379" s="23" t="inlineStr">
        <is>
          <t>978-5-227-11225-5</t>
        </is>
      </c>
      <c r="K379" s="23" t="inlineStr">
        <is>
          <t>84x108 1/32</t>
        </is>
      </c>
      <c r="L379" s="23" t="inlineStr">
        <is>
          <t>тв</t>
        </is>
      </c>
      <c r="M379" s="23" t="n">
        <v>312</v>
      </c>
      <c r="N379" s="23" t="n">
        <v>2024</v>
      </c>
      <c r="O379" s="23" t="n">
        <v>364</v>
      </c>
      <c r="P379" s="23" t="n"/>
      <c r="Q379" s="23" t="n"/>
      <c r="R379" s="25" t="inlineStr">
        <is>
          <t>Фотограф может не знать, какие секреты хранят его снимки. Брин Келлер оказалась во власти шантажа после того, как провела фотосессию для музыканта Ли Кондора и его группы. Неизвестный похитил ее маленького племянника, требуя в качестве выкупа все фотографии и негативы с той съемки. Кондор не мог оставить Брин, опекающую трех сорванцов, один на один с такой проблемой. Музыкант обладал даром, доставшимся от предков-индейцев. Он умел сливаться с темнотой, передвигаться с легкостью оленя, видеть с зоркостью орла. Только разгадать тайну фотоснимков ни ему, ни Брин не удавалось. Но все меняется, когда приходит ночь...</t>
        </is>
      </c>
      <c r="S379" s="26">
        <f>HYPERLINK("http://www.cnpol.ru/covers/22014.jpg","фото на сайте")</f>
        <v/>
      </c>
    </row>
    <row r="380" ht="50.1" customHeight="1" s="3">
      <c r="A380" s="23" t="inlineStr">
        <is>
          <t>Н</t>
        </is>
      </c>
      <c r="B380" s="24" t="inlineStr">
        <is>
          <t>21927</t>
        </is>
      </c>
      <c r="C380" s="23" t="inlineStr">
        <is>
          <t>ГРЭМ</t>
        </is>
      </c>
      <c r="D380" s="23" t="inlineStr">
        <is>
          <t>Грэм Х.</t>
        </is>
      </c>
      <c r="E380" s="23" t="inlineStr">
        <is>
          <t>Смертельная жатва</t>
        </is>
      </c>
      <c r="F380" s="23" t="inlineStr">
        <is>
          <t>        </t>
        </is>
      </c>
      <c r="G380" s="23" t="n">
        <v>935</v>
      </c>
      <c r="H380" s="23" t="n">
        <v>10</v>
      </c>
      <c r="I380" s="23" t="n">
        <v>10</v>
      </c>
      <c r="J380" s="23" t="inlineStr">
        <is>
          <t>978-5-227-11189-0</t>
        </is>
      </c>
      <c r="K380" s="23" t="inlineStr">
        <is>
          <t>84x108 1/32</t>
        </is>
      </c>
      <c r="L380" s="23" t="inlineStr">
        <is>
          <t>тв</t>
        </is>
      </c>
      <c r="M380" s="23" t="n">
        <v>249</v>
      </c>
      <c r="N380" s="23" t="n">
        <v>2024</v>
      </c>
      <c r="O380" s="23" t="n">
        <v>312</v>
      </c>
      <c r="P380" s="23" t="n"/>
      <c r="Q380" s="23" t="n"/>
      <c r="R380" s="25" t="inlineStr">
        <is>
          <t>После того как на кукурузном поле обнаружили жуткое пугало – труп молодой женщины, прибитый к доскам, – жители городка Салем вспомнили старинную легенду о Сенокосце. Человек огромных размеров с венком из опавших листьев на голове в преддверии праздника урожая собирает свою жатву – души красивых девушек. На Хеллоуин без вести пропала Мэри Джонстон. Ее убитый горем муж попросил своего друга, частного детектива Джереми Флинна, помочь разыскать девушку. Флинн не суеверен, тогда как его подруга, писательница Ровенна Кавано, серьезно заинтересовалась верованиями Салема. Но когда было найдено еще несколько обезображенных тел, фигура Сенокосца стала обретать реальность. Последней его жертвой должна стать сама королева урожая, роль которой в этом году исполняет Ровенна...</t>
        </is>
      </c>
      <c r="S380" s="26">
        <f>HYPERLINK("http://www.cnpol.ru/covers/21927.jpg","фото на сайте")</f>
        <v/>
      </c>
    </row>
    <row r="381" ht="50.1" customHeight="1" s="3">
      <c r="A381" s="23" t="inlineStr">
        <is>
          <t>Н</t>
        </is>
      </c>
      <c r="B381" s="24" t="inlineStr">
        <is>
          <t>21959</t>
        </is>
      </c>
      <c r="C381" s="23" t="inlineStr">
        <is>
          <t>ГРЭМ</t>
        </is>
      </c>
      <c r="D381" s="23" t="inlineStr">
        <is>
          <t>Грэм Х.</t>
        </is>
      </c>
      <c r="E381" s="23" t="inlineStr">
        <is>
          <t>Смертельная ночь</t>
        </is>
      </c>
      <c r="F381" s="23" t="inlineStr">
        <is>
          <t>        </t>
        </is>
      </c>
      <c r="G381" s="23" t="n">
        <v>935</v>
      </c>
      <c r="H381" s="23" t="n">
        <v>10</v>
      </c>
      <c r="I381" s="23" t="n">
        <v>10</v>
      </c>
      <c r="J381" s="23" t="inlineStr">
        <is>
          <t>978-5-227-11199-9</t>
        </is>
      </c>
      <c r="K381" s="23" t="inlineStr">
        <is>
          <t>84x108 1/32</t>
        </is>
      </c>
      <c r="L381" s="23" t="inlineStr">
        <is>
          <t>тв</t>
        </is>
      </c>
      <c r="M381" s="23" t="n">
        <v>255</v>
      </c>
      <c r="N381" s="23" t="n">
        <v>2024</v>
      </c>
      <c r="O381" s="23" t="n">
        <v>320</v>
      </c>
      <c r="P381" s="23" t="n"/>
      <c r="Q381" s="23" t="n"/>
      <c r="R381" s="25" t="inlineStr">
        <is>
          <t>Вместе с плантацией в Новом Орлеане братья Флинн получили в наследство фамильный дом с призраками и фантастической легендой. Эйдан Флинн, детектив и старший из братьев, скептически относится к слухам о привидениях. Лишь после того, как он познакомился с Кендалл Монтгомери — красивой рыжеволосой предсказательницей — и нашел на своем участке человеческие кости, ему захотелось изучить историю семьи. Эйдан и Кендалл, пытаясь разгадать тайну плантации, не подозревают, что ввязались в схватку с неуловимым жестоким противником и подвергают свою жизнь смертельной опасности...</t>
        </is>
      </c>
      <c r="S381" s="26">
        <f>HYPERLINK("http://www.cnpol.ru/covers/21959.jpg","фото на сайте")</f>
        <v/>
      </c>
    </row>
    <row r="382" ht="50.1" customHeight="1" s="3">
      <c r="A382" s="23" t="inlineStr">
        <is>
          <t>Н</t>
        </is>
      </c>
      <c r="B382" s="24" t="inlineStr">
        <is>
          <t>21926</t>
        </is>
      </c>
      <c r="C382" s="23" t="inlineStr">
        <is>
          <t>ГРЭМ</t>
        </is>
      </c>
      <c r="D382" s="23" t="inlineStr">
        <is>
          <t>Грэм Х.</t>
        </is>
      </c>
      <c r="E382" s="23" t="inlineStr">
        <is>
          <t>Смертельный дар</t>
        </is>
      </c>
      <c r="F382" s="23" t="inlineStr">
        <is>
          <t>        </t>
        </is>
      </c>
      <c r="G382" s="23" t="n">
        <v>970</v>
      </c>
      <c r="H382" s="23" t="n">
        <v>10</v>
      </c>
      <c r="I382" s="23" t="n">
        <v>10</v>
      </c>
      <c r="J382" s="23" t="inlineStr">
        <is>
          <t>978-5-227-11190-6</t>
        </is>
      </c>
      <c r="K382" s="23" t="inlineStr">
        <is>
          <t>84x108 1/32</t>
        </is>
      </c>
      <c r="L382" s="23" t="inlineStr">
        <is>
          <t>тв</t>
        </is>
      </c>
      <c r="M382" s="23" t="n">
        <v>287</v>
      </c>
      <c r="N382" s="23" t="n">
        <v>2024</v>
      </c>
      <c r="O382" s="23" t="n">
        <v>345</v>
      </c>
      <c r="P382" s="23" t="n"/>
      <c r="Q382" s="23" t="n"/>
      <c r="R382" s="25" t="inlineStr">
        <is>
          <t>Беда пришла не одна. Богатый бизнесмен Шон О’Райли улетел в Дублин с молодой (слишком молодой, как считает Кэт, взрослая дочь новобрачного) женой Амандой, там он едва не умер и оказался в больнице. Кэт убеждена: ее отца пыталась убить Аманда. Эдди Рэй, бывалый моряк, лучший друг и партнер Шона, вышел в море с таинственным пассажиром и бесследно исчез, поиски ни к чему не привели. Прилетевший в Дублин Зак Флинн, частный детектив и воспитанник О’Райли, подозревает и Аманду, и молодую, очень привлекательную медсестру Шона Каэр. И Кэт, и ее тетя Брайди, и даже Зак Флинн, несмотря на весь свой здравый смысл, — все они чувствуют, что вокруг сгущаются черные тени зла...</t>
        </is>
      </c>
      <c r="S382" s="26">
        <f>HYPERLINK("http://www.cnpol.ru/covers/21926.jpg","фото на сайте")</f>
        <v/>
      </c>
    </row>
    <row r="383" ht="50.1" customHeight="1" s="3">
      <c r="A383" s="23" t="n"/>
      <c r="B383" s="24" t="inlineStr">
        <is>
          <t>11409</t>
        </is>
      </c>
      <c r="C383" s="23" t="inlineStr">
        <is>
          <t>ГРЭНДЖЕР</t>
        </is>
      </c>
      <c r="D383" s="23" t="inlineStr">
        <is>
          <t>Грэнджер Э.</t>
        </is>
      </c>
      <c r="E383" s="23" t="inlineStr">
        <is>
          <t>Хорошее время для убийства</t>
        </is>
      </c>
      <c r="F383" s="23" t="inlineStr">
        <is>
          <t>        </t>
        </is>
      </c>
      <c r="G383" s="23" t="n">
        <v>534</v>
      </c>
      <c r="H383" s="23" t="n">
        <v>10</v>
      </c>
      <c r="I383" s="23" t="n">
        <v>16</v>
      </c>
      <c r="J383" s="23" t="inlineStr">
        <is>
          <t>978-5-9524-4387-7</t>
        </is>
      </c>
      <c r="K383" s="23" t="inlineStr">
        <is>
          <t>84x108 1/32</t>
        </is>
      </c>
      <c r="L383" s="23" t="inlineStr">
        <is>
          <t>тв</t>
        </is>
      </c>
      <c r="M383" s="23" t="n">
        <v>253</v>
      </c>
      <c r="N383" s="23" t="n">
        <v>2010</v>
      </c>
      <c r="O383" s="23" t="n">
        <v>258</v>
      </c>
      <c r="P383" s="23" t="n"/>
      <c r="Q383" s="23" t="n"/>
      <c r="R383" s="25" t="n"/>
      <c r="S383" s="26">
        <f>HYPERLINK("http://www.cnpol.ru/covers/11409.jpg","фото на сайте")</f>
        <v/>
      </c>
    </row>
    <row r="384" ht="50.1" customHeight="1" s="3">
      <c r="A384" s="23" t="n"/>
      <c r="B384" s="24" t="inlineStr">
        <is>
          <t>3078</t>
        </is>
      </c>
      <c r="C384" s="23" t="inlineStr">
        <is>
          <t>ГФ</t>
        </is>
      </c>
      <c r="D384" s="23" t="inlineStr">
        <is>
          <t>Янковский Д.</t>
        </is>
      </c>
      <c r="E384" s="23" t="inlineStr">
        <is>
          <t>Нелинейная зависимость</t>
        </is>
      </c>
      <c r="F384" s="23" t="inlineStr">
        <is>
          <t>        </t>
        </is>
      </c>
      <c r="G384" s="23" t="n">
        <v>300</v>
      </c>
      <c r="H384" s="23" t="n">
        <v>10</v>
      </c>
      <c r="I384" s="23" t="n">
        <v>12</v>
      </c>
      <c r="J384" s="23" t="inlineStr">
        <is>
          <t>5-227-01651-8</t>
        </is>
      </c>
      <c r="K384" s="23" t="inlineStr">
        <is>
          <t>84x108 1/32</t>
        </is>
      </c>
      <c r="L384" s="23" t="inlineStr">
        <is>
          <t>тв</t>
        </is>
      </c>
      <c r="M384" s="23" t="n">
        <v>445</v>
      </c>
      <c r="N384" s="23" t="n">
        <v>2002</v>
      </c>
      <c r="O384" s="23" t="n">
        <v>358</v>
      </c>
      <c r="P384" s="23" t="n"/>
      <c r="Q384" s="23" t="n"/>
      <c r="R384" s="25" t="n"/>
      <c r="S384" s="26">
        <f>HYPERLINK("http://www.cnpol.ru/covers/3078.jpg","фото на сайте")</f>
        <v/>
      </c>
    </row>
    <row r="385" ht="50.1" customHeight="1" s="3">
      <c r="A385" s="23" t="n"/>
      <c r="B385" s="24" t="inlineStr">
        <is>
          <t>3182</t>
        </is>
      </c>
      <c r="C385" s="23" t="inlineStr">
        <is>
          <t>ГФ</t>
        </is>
      </c>
      <c r="D385" s="23" t="inlineStr">
        <is>
          <t>Янковский Д.</t>
        </is>
      </c>
      <c r="E385" s="23" t="inlineStr">
        <is>
          <t>Побочный эффект</t>
        </is>
      </c>
      <c r="F385" s="23" t="inlineStr">
        <is>
          <t>        </t>
        </is>
      </c>
      <c r="G385" s="23" t="n">
        <v>300</v>
      </c>
      <c r="H385" s="23" t="n">
        <v>10</v>
      </c>
      <c r="I385" s="23" t="n">
        <v>12</v>
      </c>
      <c r="J385" s="23" t="inlineStr">
        <is>
          <t>5-227-01713-1</t>
        </is>
      </c>
      <c r="K385" s="23" t="inlineStr">
        <is>
          <t>84x108 1/32</t>
        </is>
      </c>
      <c r="L385" s="23" t="inlineStr">
        <is>
          <t>тв</t>
        </is>
      </c>
      <c r="M385" s="23" t="n">
        <v>446</v>
      </c>
      <c r="N385" s="23" t="n">
        <v>2002</v>
      </c>
      <c r="O385" s="23" t="n">
        <v>332</v>
      </c>
      <c r="P385" s="23" t="n"/>
      <c r="Q385" s="23" t="n"/>
      <c r="R385" s="25" t="n"/>
      <c r="S385" s="26">
        <f>HYPERLINK("http://www.cnpol.ru/covers/3182.jpg","фото на сайте")</f>
        <v/>
      </c>
    </row>
    <row r="386" ht="50.1" customHeight="1" s="3">
      <c r="A386" s="23" t="n"/>
      <c r="B386" s="24" t="inlineStr">
        <is>
          <t>5977</t>
        </is>
      </c>
      <c r="C386" s="23" t="inlineStr">
        <is>
          <t>ГШ</t>
        </is>
      </c>
      <c r="D386" s="23" t="inlineStr">
        <is>
          <t>Котляр</t>
        </is>
      </c>
      <c r="E386" s="23" t="inlineStr">
        <is>
          <t>В моем саду</t>
        </is>
      </c>
      <c r="F386" s="23" t="inlineStr">
        <is>
          <t>        </t>
        </is>
      </c>
      <c r="G386" s="23" t="n">
        <v>129</v>
      </c>
      <c r="H386" s="23" t="n">
        <v>10</v>
      </c>
      <c r="I386" s="23" t="n">
        <v>52</v>
      </c>
      <c r="J386" s="23" t="inlineStr">
        <is>
          <t>5-9524-1558-X</t>
        </is>
      </c>
      <c r="K386" s="23" t="inlineStr">
        <is>
          <t>60x70 1/16</t>
        </is>
      </c>
      <c r="L386" s="23" t="inlineStr">
        <is>
          <t>картон</t>
        </is>
      </c>
      <c r="M386" s="23" t="n">
        <v>14</v>
      </c>
      <c r="N386" s="23" t="n">
        <v>2005</v>
      </c>
      <c r="O386" s="23" t="n">
        <v>120</v>
      </c>
      <c r="P386" s="23" t="n"/>
      <c r="Q386" s="23" t="n"/>
      <c r="R386" s="25" t="inlineStr">
        <is>
          <t>Яркие детские книжки. Преднозначены для детей дошкольного возраста. В игровой форме книги знакомят маленьких читателей с окружающим миром.</t>
        </is>
      </c>
      <c r="S386" s="26">
        <f>HYPERLINK("http://www.cnpol.ru/covers/5977.jpg","фото на сайте")</f>
        <v/>
      </c>
    </row>
    <row r="387" ht="50.1" customHeight="1" s="3">
      <c r="A387" s="23" t="n"/>
      <c r="B387" s="24" t="inlineStr">
        <is>
          <t>5978</t>
        </is>
      </c>
      <c r="C387" s="23" t="inlineStr">
        <is>
          <t>ГШ</t>
        </is>
      </c>
      <c r="D387" s="23" t="inlineStr">
        <is>
          <t>Котляр</t>
        </is>
      </c>
      <c r="E387" s="23" t="inlineStr">
        <is>
          <t>Звериная карусель</t>
        </is>
      </c>
      <c r="F387" s="23" t="inlineStr">
        <is>
          <t>        </t>
        </is>
      </c>
      <c r="G387" s="23" t="n">
        <v>129</v>
      </c>
      <c r="H387" s="23" t="n">
        <v>10</v>
      </c>
      <c r="I387" s="23" t="n">
        <v>52</v>
      </c>
      <c r="J387" s="23" t="inlineStr">
        <is>
          <t>5-9524-1557-1</t>
        </is>
      </c>
      <c r="K387" s="23" t="inlineStr">
        <is>
          <t>60x70 1/16</t>
        </is>
      </c>
      <c r="L387" s="23" t="inlineStr">
        <is>
          <t>картон</t>
        </is>
      </c>
      <c r="M387" s="23" t="n">
        <v>14</v>
      </c>
      <c r="N387" s="23" t="n">
        <v>2005</v>
      </c>
      <c r="O387" s="23" t="n">
        <v>122</v>
      </c>
      <c r="P387" s="23" t="n"/>
      <c r="Q387" s="23" t="n"/>
      <c r="R387" s="25" t="inlineStr">
        <is>
          <t>Яркие детские книжки. Преднозначены для детей дошкольного возраста. В игровой форме книги знакомят маленьких читателей с окружающим миром.</t>
        </is>
      </c>
      <c r="S387" s="26">
        <f>HYPERLINK("http://www.cnpol.ru/covers/5978.jpg","фото на сайте")</f>
        <v/>
      </c>
    </row>
    <row r="388" ht="50.1" customHeight="1" s="3">
      <c r="A388" s="23" t="n"/>
      <c r="B388" s="24" t="inlineStr">
        <is>
          <t>5980</t>
        </is>
      </c>
      <c r="C388" s="23" t="inlineStr">
        <is>
          <t>ГШ</t>
        </is>
      </c>
      <c r="D388" s="23" t="inlineStr">
        <is>
          <t>Котляр</t>
        </is>
      </c>
      <c r="E388" s="23" t="inlineStr">
        <is>
          <t>Птицы разные бывают</t>
        </is>
      </c>
      <c r="F388" s="23" t="inlineStr">
        <is>
          <t>        </t>
        </is>
      </c>
      <c r="G388" s="23" t="n">
        <v>129</v>
      </c>
      <c r="H388" s="23" t="n">
        <v>10</v>
      </c>
      <c r="I388" s="23" t="n">
        <v>52</v>
      </c>
      <c r="J388" s="23" t="inlineStr">
        <is>
          <t>5-9524-1664-0</t>
        </is>
      </c>
      <c r="K388" s="23" t="inlineStr">
        <is>
          <t>60x70 1/16</t>
        </is>
      </c>
      <c r="L388" s="23" t="inlineStr">
        <is>
          <t>картон</t>
        </is>
      </c>
      <c r="M388" s="23" t="n">
        <v>14</v>
      </c>
      <c r="N388" s="23" t="n">
        <v>2005</v>
      </c>
      <c r="O388" s="23" t="n">
        <v>124</v>
      </c>
      <c r="P388" s="23" t="n"/>
      <c r="Q388" s="23" t="n"/>
      <c r="R388" s="25" t="n"/>
      <c r="S388" s="26">
        <f>HYPERLINK("http://www.cnpol.ru/covers/5980.jpg","фото на сайте")</f>
        <v/>
      </c>
    </row>
    <row r="389" ht="50.1" customHeight="1" s="3">
      <c r="A389" s="23" t="n"/>
      <c r="B389" s="24" t="inlineStr">
        <is>
          <t>5998</t>
        </is>
      </c>
      <c r="C389" s="23" t="inlineStr">
        <is>
          <t>ГШ</t>
        </is>
      </c>
      <c r="D389" s="23" t="inlineStr">
        <is>
          <t>Котляр</t>
        </is>
      </c>
      <c r="E389" s="23" t="inlineStr">
        <is>
          <t>Рыба меч</t>
        </is>
      </c>
      <c r="F389" s="23" t="inlineStr">
        <is>
          <t>        </t>
        </is>
      </c>
      <c r="G389" s="23" t="n">
        <v>129</v>
      </c>
      <c r="H389" s="23" t="n">
        <v>10</v>
      </c>
      <c r="I389" s="23" t="n">
        <v>52</v>
      </c>
      <c r="J389" s="23" t="inlineStr">
        <is>
          <t>5-9524-1559-8</t>
        </is>
      </c>
      <c r="K389" s="23" t="inlineStr">
        <is>
          <t>60x70 1/16</t>
        </is>
      </c>
      <c r="L389" s="23" t="inlineStr">
        <is>
          <t>картон</t>
        </is>
      </c>
      <c r="M389" s="23" t="n">
        <v>14</v>
      </c>
      <c r="N389" s="23" t="n">
        <v>2005</v>
      </c>
      <c r="O389" s="23" t="n">
        <v>122</v>
      </c>
      <c r="P389" s="23" t="n"/>
      <c r="Q389" s="23" t="n"/>
      <c r="R389" s="25" t="n"/>
      <c r="S389" s="26">
        <f>HYPERLINK("http://www.cnpol.ru/covers/5998.jpg","фото на сайте")</f>
        <v/>
      </c>
    </row>
    <row r="390" ht="50.1" customHeight="1" s="3">
      <c r="A390" s="23" t="n"/>
      <c r="B390" s="24" t="inlineStr">
        <is>
          <t>13959</t>
        </is>
      </c>
      <c r="C390" s="23" t="inlineStr">
        <is>
          <t>ДД</t>
        </is>
      </c>
      <c r="D390" s="23" t="inlineStr">
        <is>
          <t>Троиси Л.</t>
        </is>
      </c>
      <c r="E390" s="23" t="inlineStr">
        <is>
          <t>Девочка-дракон кн.2 Дерево Идхунн</t>
        </is>
      </c>
      <c r="F390" s="23" t="inlineStr">
        <is>
          <t>        </t>
        </is>
      </c>
      <c r="G390" s="23" t="n">
        <v>428</v>
      </c>
      <c r="H390" s="23" t="n">
        <v>10</v>
      </c>
      <c r="I390" s="23" t="n">
        <v>16</v>
      </c>
      <c r="J390" s="23" t="inlineStr">
        <is>
          <t>978-5-227-03964-4</t>
        </is>
      </c>
      <c r="K390" s="23" t="inlineStr">
        <is>
          <t>84x108 1/32</t>
        </is>
      </c>
      <c r="L390" s="23" t="inlineStr">
        <is>
          <t>тв</t>
        </is>
      </c>
      <c r="M390" s="23" t="n">
        <v>255</v>
      </c>
      <c r="N390" s="23" t="n">
        <v>2012</v>
      </c>
      <c r="O390" s="23" t="n">
        <v>238</v>
      </c>
      <c r="P390" s="23" t="n"/>
      <c r="Q390" s="23" t="n"/>
      <c r="R390" s="25" t="inlineStr">
        <is>
          <t>София принадлежит к избранным потомкам древнего рода Драконидов, призванным защищать мир от жестокого Нидхогра, крылатой виверны. Она хранит в себе душу Тубана — самого сильного дракона исчезнувшей страны. Покинув виллу профессора, София вместе с Лидией, такой же Драконидой, как она, оказывается в Беневенто. Именно в этой земле пустило свои корни драгоценное дерево Идхунн. Здесь Софии предстоит научиться верить в свои силы и познать любовь…</t>
        </is>
      </c>
      <c r="S390" s="26">
        <f>HYPERLINK("http://www.cnpol.ru/covers/13959.jpg","фото на сайте")</f>
        <v/>
      </c>
    </row>
    <row r="391" ht="50.1" customHeight="1" s="3">
      <c r="A391" s="23" t="n"/>
      <c r="B391" s="24" t="inlineStr">
        <is>
          <t>19600</t>
        </is>
      </c>
      <c r="C391" s="23" t="inlineStr">
        <is>
          <t>ДЕТЕКТИВ</t>
        </is>
      </c>
      <c r="D391" s="23" t="inlineStr">
        <is>
          <t>Ёкояма Х.</t>
        </is>
      </c>
      <c r="E391" s="23" t="n">
        <v>64</v>
      </c>
      <c r="F391" s="23" t="inlineStr">
        <is>
          <t>        </t>
        </is>
      </c>
      <c r="G391" s="23" t="n">
        <v>330</v>
      </c>
      <c r="H391" s="23" t="n">
        <v>10</v>
      </c>
      <c r="I391" s="23" t="n">
        <v>6</v>
      </c>
      <c r="J391" s="23" t="inlineStr">
        <is>
          <t>978-5-227-09384-4</t>
        </is>
      </c>
      <c r="K391" s="23" t="inlineStr">
        <is>
          <t>75x100 1/32</t>
        </is>
      </c>
      <c r="L391" s="23" t="inlineStr">
        <is>
          <t>мяг</t>
        </is>
      </c>
      <c r="M391" s="23" t="n">
        <v>576</v>
      </c>
      <c r="N391" s="23" t="n">
        <v>2021</v>
      </c>
      <c r="O391" s="23" t="n">
        <v>280</v>
      </c>
      <c r="P391" s="23" t="n"/>
      <c r="Q391" s="23" t="n"/>
      <c r="R391" s="25" t="inlineStr">
        <is>
          <t>В небольшом городе недалеко от Токио похищена и убита девочка. Спустя четырнадцать лет за год до истечения срока давности генеральный комиссар полиции намеревается нанести визит безутешному отцу и принести извинения за то, что преступник так и не был найден. Визит большого начальника будоражит полицейское управление и заставляет всех участников расследования вернуться к старому делу. Внезапно происходит новое ­похищение, на этот раз — юной девушки, причем злоумышленник в точности повторяет дело четырнадцатилетней давности…</t>
        </is>
      </c>
      <c r="S391" s="26">
        <f>HYPERLINK("http://www.cnpol.ru/covers/19600.jpg","фото на сайте")</f>
        <v/>
      </c>
    </row>
    <row r="392" ht="50.1" customHeight="1" s="3">
      <c r="A392" s="23" t="inlineStr">
        <is>
          <t>Д</t>
        </is>
      </c>
      <c r="B392" s="24" t="inlineStr">
        <is>
          <t>21233</t>
        </is>
      </c>
      <c r="C392" s="23" t="inlineStr">
        <is>
          <t>ДЕТЕКТИВ</t>
        </is>
      </c>
      <c r="D392" s="23" t="inlineStr">
        <is>
          <t>Фитцек С.</t>
        </is>
      </c>
      <c r="E392" s="23" t="inlineStr">
        <is>
          <t>Аэрофобия 7А</t>
        </is>
      </c>
      <c r="F392" s="23" t="inlineStr">
        <is>
          <t>        </t>
        </is>
      </c>
      <c r="G392" s="23" t="n">
        <v>330</v>
      </c>
      <c r="H392" s="23" t="n">
        <v>10</v>
      </c>
      <c r="I392" s="23" t="n">
        <v>18</v>
      </c>
      <c r="J392" s="23" t="inlineStr">
        <is>
          <t>978-5-227-10748-0</t>
        </is>
      </c>
      <c r="K392" s="23" t="inlineStr">
        <is>
          <t>75x100 1/32</t>
        </is>
      </c>
      <c r="L392" s="23" t="inlineStr">
        <is>
          <t>мяг</t>
        </is>
      </c>
      <c r="M392" s="23" t="n">
        <v>319</v>
      </c>
      <c r="N392" s="23" t="n">
        <v>2024</v>
      </c>
      <c r="O392" s="23" t="n">
        <v>161</v>
      </c>
      <c r="P392" s="23" t="n"/>
      <c r="Q392" s="23" t="n"/>
      <c r="R392" s="25" t="inlineStr">
        <is>
          <t>Доктор Матс Крюгер не мог отказать дочери Неле в просьбе быть с ней, когда родится ее первенец, и скрепя сердце решился на длительный полет из Буэнос-Айреса в Берлин. Доктор панически боялся летать и не ждал ничего хорошего от этого путешествия, но и в самом страшном сне он не мог представить, каким кошмаром оно для него обернется. На высоте девять тысяч метров ему сообщили, что его беременная дочь похищена, а он должен отыскать в самолете свою бывшую пациентку и спровоцировать ее на безумные действия, иначе Неле умрет. В замкнутом пространстве самолета Матс решает задачу, как спасти дочь и не совершить преступление, а на земле ему пытается помочь женщина, которая когда-то его любила…</t>
        </is>
      </c>
      <c r="S392" s="26">
        <f>HYPERLINK("http://www.cnpol.ru/covers/21233.jpg","фото на сайте")</f>
        <v/>
      </c>
    </row>
    <row r="393" ht="50.1" customHeight="1" s="3">
      <c r="A393" s="23" t="n"/>
      <c r="B393" s="24" t="inlineStr">
        <is>
          <t>18632</t>
        </is>
      </c>
      <c r="C393" s="23" t="inlineStr">
        <is>
          <t>ДЕТЕКТИВ</t>
        </is>
      </c>
      <c r="D393" s="23" t="inlineStr">
        <is>
          <t>Марклунд Л.</t>
        </is>
      </c>
      <c r="E393" s="23" t="inlineStr">
        <is>
          <t>Бесследно исчезнувшая</t>
        </is>
      </c>
      <c r="F393" s="23" t="inlineStr">
        <is>
          <t>        </t>
        </is>
      </c>
      <c r="G393" s="23" t="n">
        <v>330</v>
      </c>
      <c r="H393" s="23" t="n">
        <v>10</v>
      </c>
      <c r="I393" s="23" t="n">
        <v>20</v>
      </c>
      <c r="J393" s="23" t="inlineStr">
        <is>
          <t>978-5-227-08559-7</t>
        </is>
      </c>
      <c r="K393" s="23" t="inlineStr">
        <is>
          <t>75x100 1/32</t>
        </is>
      </c>
      <c r="L393" s="23" t="inlineStr">
        <is>
          <t>мяг</t>
        </is>
      </c>
      <c r="M393" s="23" t="n">
        <v>320</v>
      </c>
      <c r="N393" s="23" t="n">
        <v>2019</v>
      </c>
      <c r="O393" s="23" t="n">
        <v>160</v>
      </c>
      <c r="P393" s="23" t="n"/>
      <c r="Q393" s="23" t="n"/>
      <c r="R393" s="25" t="inlineStr">
        <is>
          <t>Промозглым дождливым майским днем в собственном доме в пригороде Стокгольма найден без сознания недавно ушедший в отставку политик Ингемар Лерберг. На его теле — следы чудовищных пыток. Репортер крупной столичной газеты Анника Бенгтзон, известная острыми материалами и расследованиями, заинтересовалась происшествием. Профессиональная интуиция подсказывает ей, что дело обещает быть интересным и запутанным. Лерберг в коме и вряд ли выживет, а бесследное исчезновение его жены удивительно напоминает историю, произошедшую с другой женщиной много лет назад...</t>
        </is>
      </c>
      <c r="S393" s="26">
        <f>HYPERLINK("http://www.cnpol.ru/covers/18632.jpg","фото на сайте")</f>
        <v/>
      </c>
    </row>
    <row r="394" ht="50.1" customHeight="1" s="3">
      <c r="A394" s="23" t="inlineStr">
        <is>
          <t>Н</t>
        </is>
      </c>
      <c r="B394" s="24" t="inlineStr">
        <is>
          <t>21089</t>
        </is>
      </c>
      <c r="C394" s="23" t="inlineStr">
        <is>
          <t>ДЕТЕКТИВ</t>
        </is>
      </c>
      <c r="D394" s="23" t="inlineStr">
        <is>
          <t>Гуденкауф Х.</t>
        </is>
      </c>
      <c r="E394" s="23" t="inlineStr">
        <is>
          <t>Бремя молчания</t>
        </is>
      </c>
      <c r="F394" s="23" t="inlineStr">
        <is>
          <t>        </t>
        </is>
      </c>
      <c r="G394" s="23" t="n">
        <v>330</v>
      </c>
      <c r="H394" s="23" t="n">
        <v>10</v>
      </c>
      <c r="I394" s="23" t="n">
        <v>9</v>
      </c>
      <c r="J394" s="23" t="inlineStr">
        <is>
          <t>978-5-227-10217-1</t>
        </is>
      </c>
      <c r="K394" s="23" t="inlineStr">
        <is>
          <t>75x100 1/32</t>
        </is>
      </c>
      <c r="L394" s="23" t="inlineStr">
        <is>
          <t>мяг</t>
        </is>
      </c>
      <c r="M394" s="23" t="n">
        <v>287</v>
      </c>
      <c r="N394" s="23" t="n">
        <v>2024</v>
      </c>
      <c r="O394" s="23" t="n">
        <v>144</v>
      </c>
      <c r="P394" s="23" t="n"/>
      <c r="Q394" s="23" t="n"/>
      <c r="R394" s="25" t="inlineStr">
        <is>
          <t>В Уиллоу-Крик, маленьком городке штата Айова, пропали две семилетние девочки — Калли Кларк и ее лучшая подруга Петра Грегори. Отец Калли — алкоголик, который, напившись, избивает жену и старшего сына Бена. Несколько лет назад после особенно безобразной сцены Калли перестает говорить, и ее «голосом» становится Петра._x000D_
Поиском подруг занимается помощник шерифа Лорас Луис. Он боится, что девочек похитил опасный маньяк, который год назад при сходных обстоятельствах изнасиловал и убил десятилетнюю девочку. Тогда преступника найти не удалось...</t>
        </is>
      </c>
      <c r="S394" s="26">
        <f>HYPERLINK("http://www.cnpol.ru/covers/21089.jpg","фото на сайте")</f>
        <v/>
      </c>
    </row>
    <row r="395" ht="50.1" customHeight="1" s="3">
      <c r="A395" s="23" t="n"/>
      <c r="B395" s="24" t="inlineStr">
        <is>
          <t>19637</t>
        </is>
      </c>
      <c r="C395" s="23" t="inlineStr">
        <is>
          <t>ДЕТЕКТИВ</t>
        </is>
      </c>
      <c r="D395" s="23" t="inlineStr">
        <is>
          <t>Мартильи К.</t>
        </is>
      </c>
      <c r="E395" s="23" t="inlineStr">
        <is>
          <t>Выбор Зигмунда</t>
        </is>
      </c>
      <c r="F395" s="23" t="inlineStr">
        <is>
          <t>        </t>
        </is>
      </c>
      <c r="G395" s="23" t="n">
        <v>330</v>
      </c>
      <c r="H395" s="23" t="n">
        <v>10</v>
      </c>
      <c r="I395" s="23" t="n">
        <v>10</v>
      </c>
      <c r="J395" s="23" t="inlineStr">
        <is>
          <t>978-5-227-09383-7</t>
        </is>
      </c>
      <c r="K395" s="23" t="inlineStr">
        <is>
          <t>75x100 1/32</t>
        </is>
      </c>
      <c r="L395" s="23" t="inlineStr">
        <is>
          <t>мяг</t>
        </is>
      </c>
      <c r="M395" s="23" t="n">
        <v>320</v>
      </c>
      <c r="N395" s="23" t="n">
        <v>2021</v>
      </c>
      <c r="O395" s="23" t="n">
        <v>162</v>
      </c>
      <c r="P395" s="23" t="n"/>
      <c r="Q395" s="23" t="n"/>
      <c r="R395" s="25" t="inlineStr">
        <is>
          <t>Профессор Зигмунд Фрейд, знаменитый психолог и отец психоанализа, получает от папы римского Льва Тринадцатого приглашение приехать в Рим и провести за хорошее вознаграждение одно важное исследование. Профессору нужны деньги, к тому же он  давно мечтает побывать в Риме. И он отправляется в путь. Папа хочет, чтобы профессор обследовал методом психоанализа трех самых влиятельных кардиналов, которых Лев считает наиболее вероятными своими преемниками. Старец чувствует, что доживает последние дни, и считает своим долгом не допустить, чтобы после его смерти на папский престол был избран недостойный человек. А причины для беспокойства  вполне реальные: совсем недавно под одним из окон Ватиканского дворца были найдены тела  погибших юноши и девушки. Двойное самоубийство сомнительно. Но если произошло убийство, не замешан ли в этом кто­то из иерархов? Начинается увлекательная и порой рискованная игра, правила которой несколько раз меняются с течением времени…</t>
        </is>
      </c>
      <c r="S395" s="26">
        <f>HYPERLINK("http://www.cnpol.ru/covers/19637.jpg","фото на сайте")</f>
        <v/>
      </c>
    </row>
    <row r="396" ht="50.1" customHeight="1" s="3">
      <c r="A396" s="23" t="n"/>
      <c r="B396" s="24" t="inlineStr">
        <is>
          <t>18185</t>
        </is>
      </c>
      <c r="C396" s="23" t="inlineStr">
        <is>
          <t>ДЕТЕКТИВ</t>
        </is>
      </c>
      <c r="D396" s="23" t="inlineStr">
        <is>
          <t>Марклунд Л.</t>
        </is>
      </c>
      <c r="E396" s="23" t="inlineStr">
        <is>
          <t>Громкое дело</t>
        </is>
      </c>
      <c r="F396" s="23" t="inlineStr">
        <is>
          <t>        </t>
        </is>
      </c>
      <c r="G396" s="23" t="n">
        <v>330</v>
      </c>
      <c r="H396" s="23" t="n">
        <v>10</v>
      </c>
      <c r="I396" s="23" t="n">
        <v>18</v>
      </c>
      <c r="J396" s="23" t="inlineStr">
        <is>
          <t>978-5-227-08035-6</t>
        </is>
      </c>
      <c r="K396" s="23" t="inlineStr">
        <is>
          <t>75x100 1/32</t>
        </is>
      </c>
      <c r="L396" s="23" t="inlineStr">
        <is>
          <t>мяг</t>
        </is>
      </c>
      <c r="M396" s="23" t="n">
        <v>384</v>
      </c>
      <c r="N396" s="23" t="n">
        <v>2018</v>
      </c>
      <c r="O396" s="23" t="n">
        <v>192</v>
      </c>
      <c r="P396" s="23" t="n"/>
      <c r="Q396" s="23" t="n"/>
      <c r="R396" s="25" t="inlineStr">
        <is>
          <t>"В разгар шведской зимы молодая мать найдена убитой в сугробе среди деревьев за детским садом, куда утром отвела сына... Почти на экваторе, в изнуряющей жаре Кении, похищен правительственный чиновник...
По роду деятельности журналист Анника Бенгтзон не впервые сталкивается с запутанными преступлениями, порожденными самыми темными сторонами человеческой души. На ее счету несколько криминальных драм, в расследовании которых пришлось принимать участие. И все-таки в этот раз все складывается совсем иначе. Гораздо страшнее и мучительнее. Ведь дело не только громкое, но и глубоко личное.
"</t>
        </is>
      </c>
      <c r="S396" s="26">
        <f>HYPERLINK("http://www.cnpol.ru/covers/18185.jpg","фото на сайте")</f>
        <v/>
      </c>
    </row>
    <row r="397" ht="50.1" customHeight="1" s="3">
      <c r="A397" s="23" t="inlineStr">
        <is>
          <t>Д</t>
        </is>
      </c>
      <c r="B397" s="24" t="inlineStr">
        <is>
          <t>22304</t>
        </is>
      </c>
      <c r="C397" s="23" t="inlineStr">
        <is>
          <t>ДЕТЕКТИВ</t>
        </is>
      </c>
      <c r="D397" s="23" t="inlineStr">
        <is>
          <t>Фитцек С.</t>
        </is>
      </c>
      <c r="E397" s="23" t="inlineStr">
        <is>
          <t>Двадцать третий пассажир</t>
        </is>
      </c>
      <c r="F397" s="23" t="inlineStr">
        <is>
          <t>        </t>
        </is>
      </c>
      <c r="G397" s="23" t="n">
        <v>330</v>
      </c>
      <c r="H397" s="23" t="n">
        <v>10</v>
      </c>
      <c r="I397" s="23" t="n">
        <v>10</v>
      </c>
      <c r="J397" s="23" t="inlineStr">
        <is>
          <t>978-5-227-09430-8</t>
        </is>
      </c>
      <c r="K397" s="23" t="inlineStr">
        <is>
          <t>75x100 1/32</t>
        </is>
      </c>
      <c r="L397" s="23" t="inlineStr">
        <is>
          <t>мяг</t>
        </is>
      </c>
      <c r="M397" s="23" t="n">
        <v>351</v>
      </c>
      <c r="N397" s="23" t="n">
        <v>2021</v>
      </c>
      <c r="O397" s="23" t="n">
        <v>173</v>
      </c>
      <c r="P397" s="23" t="n"/>
      <c r="Q397" s="23" t="n"/>
      <c r="R397" s="25" t="inlineStr">
        <is>
          <t>Пять лет назад у полицейского агента Мартина Шварца без вести пропали жена и сын, путешествующие на круизном лайнере «Султан морей». Тогда круизная компания отстаивала версию суицида. Однако Мартин в это не верил. И вот ему звонит пассажирка того самого лайнера и заявляет, что он должен немедленно явиться на борт «Султана морей», у нее есть доказательства того, что его жена не по своей воле бросилась в море. Более того, возможно, его сын еще жив, а на лайнере происходят странные вещи. Бросив все дела, Мартин отправляется в нежеланное путешествие, преисполненный решимости докопаться до истины…</t>
        </is>
      </c>
      <c r="S397" s="26">
        <f>HYPERLINK("http://www.cnpol.ru/covers/22304.jpg","фото на сайте")</f>
        <v/>
      </c>
    </row>
    <row r="398" ht="50.1" customHeight="1" s="3">
      <c r="A398" s="23" t="n"/>
      <c r="B398" s="24" t="inlineStr">
        <is>
          <t>19389</t>
        </is>
      </c>
      <c r="C398" s="23" t="inlineStr">
        <is>
          <t>ДЕТЕКТИВ</t>
        </is>
      </c>
      <c r="D398" s="23" t="inlineStr">
        <is>
          <t>Бонда К.</t>
        </is>
      </c>
      <c r="E398" s="23" t="inlineStr">
        <is>
          <t>Девушка полночи</t>
        </is>
      </c>
      <c r="F398" s="23" t="inlineStr">
        <is>
          <t>        </t>
        </is>
      </c>
      <c r="G398" s="23" t="n">
        <v>330</v>
      </c>
      <c r="H398" s="23" t="n">
        <v>10</v>
      </c>
      <c r="I398" s="23" t="n">
        <v>12</v>
      </c>
      <c r="J398" s="23" t="inlineStr">
        <is>
          <t>978-5-227-09223-6</t>
        </is>
      </c>
      <c r="K398" s="23" t="inlineStr">
        <is>
          <t>75x100 1/32</t>
        </is>
      </c>
      <c r="L398" s="23" t="inlineStr">
        <is>
          <t>мяг</t>
        </is>
      </c>
      <c r="M398" s="23" t="n">
        <v>544</v>
      </c>
      <c r="N398" s="23" t="n">
        <v>2020</v>
      </c>
      <c r="O398" s="23" t="n">
        <v>270</v>
      </c>
      <c r="P398" s="23" t="n"/>
      <c r="Q398" s="23" t="n"/>
      <c r="R398" s="25" t="inlineStr">
        <is>
          <t>Специалист по психологическим портретам преступников Саша Залусская возвращается в Польшу после семи лет работы в Лондоне. Она не хочет снова служить в полиции, откуда ушла, пережив личную драму. Однако не может и отказаться от поручения спецслужб помочь владельцу музыкального клуба в Сопоте, который подозревает, что партнер по бизнесу и популярный певец намеревается его убить. Саша только начинает собирать факты, когда и в самом деле происходит убийство, но жертвой оказался подозреваемый в злом умысле музыкант. Саша вынуждена принять вызов и участвовать в расследовании. Вскоре становится ясно, что убийство в клубе связано с трагическими событиями двадцатилетней давности. И одним из ключей к разгадке может быть песня, написанная много лет назад.</t>
        </is>
      </c>
      <c r="S398" s="26">
        <f>HYPERLINK("http://www.cnpol.ru/covers/19389.jpg","фото на сайте")</f>
        <v/>
      </c>
    </row>
    <row r="399" ht="50.1" customHeight="1" s="3">
      <c r="A399" s="23" t="inlineStr">
        <is>
          <t>Н</t>
        </is>
      </c>
      <c r="B399" s="24" t="inlineStr">
        <is>
          <t>21170</t>
        </is>
      </c>
      <c r="C399" s="23" t="inlineStr">
        <is>
          <t>ДЕТЕКТИВ</t>
        </is>
      </c>
      <c r="D399" s="23" t="inlineStr">
        <is>
          <t>Юнгстедт М.</t>
        </is>
      </c>
      <c r="E399" s="23" t="inlineStr">
        <is>
          <t>Другое лицо</t>
        </is>
      </c>
      <c r="F399" s="23" t="inlineStr">
        <is>
          <t>        </t>
        </is>
      </c>
      <c r="G399" s="23" t="n">
        <v>330</v>
      </c>
      <c r="H399" s="23" t="n">
        <v>10</v>
      </c>
      <c r="I399" s="23" t="n">
        <v>20</v>
      </c>
      <c r="J399" s="23" t="inlineStr">
        <is>
          <t>978-5-227-10604-9</t>
        </is>
      </c>
      <c r="K399" s="23" t="inlineStr">
        <is>
          <t>75x100 1/32</t>
        </is>
      </c>
      <c r="L399" s="23" t="inlineStr">
        <is>
          <t>мяг</t>
        </is>
      </c>
      <c r="M399" s="23" t="n">
        <v>287</v>
      </c>
      <c r="N399" s="23" t="n">
        <v>2024</v>
      </c>
      <c r="O399" s="23" t="n">
        <v>145</v>
      </c>
      <c r="P399" s="23" t="n"/>
      <c r="Q399" s="23" t="n"/>
      <c r="R399" s="25" t="inlineStr">
        <is>
          <t>Известный архитектор Хенрик Дальман, добропорядочный гражданин и отец большого семейства, найден мертвым в своем доме в курортном поселке Люгарн на шведском острове Готланд. Голым он был прикован к своей кровати и задушен. Сначала предположили, что имела место изощренная сексуальная игра, которая по неосторожности привела к смерти. Но следователь Андерс Кнутас и его помощница Карин Якобссон сразу в этом усомнились. И окончательно утвердились во мнении, что имело место убийство, после того как некоторое время спустя похожее преступление произошло на материке. История становится все более запутанной, ведь жертв ничто не объединяет, разве только неизвестная жгучая красотка, в чьей душе царит кромешная тьма. Собственное расследование громких убийств ведет и репортер Юхан Берг, который также попадает в смертельную ловушку.</t>
        </is>
      </c>
      <c r="S399" s="26">
        <f>HYPERLINK("http://www.cnpol.ru/covers/21170.jpg","фото на сайте")</f>
        <v/>
      </c>
    </row>
    <row r="400" ht="50.1" customHeight="1" s="3">
      <c r="A400" s="23" t="n"/>
      <c r="B400" s="24" t="inlineStr">
        <is>
          <t>19845</t>
        </is>
      </c>
      <c r="C400" s="23" t="inlineStr">
        <is>
          <t>ДЕТЕКТИВ</t>
        </is>
      </c>
      <c r="D400" s="23" t="inlineStr">
        <is>
          <t>Марклунд Л.</t>
        </is>
      </c>
      <c r="E400" s="23" t="inlineStr">
        <is>
          <t>Дурная кровь</t>
        </is>
      </c>
      <c r="F400" s="23" t="inlineStr">
        <is>
          <t>        </t>
        </is>
      </c>
      <c r="G400" s="23" t="n">
        <v>330</v>
      </c>
      <c r="H400" s="23" t="n">
        <v>10</v>
      </c>
      <c r="I400" s="23" t="n">
        <v>20</v>
      </c>
      <c r="J400" s="23" t="inlineStr">
        <is>
          <t>978-5-227-09638-8</t>
        </is>
      </c>
      <c r="K400" s="23" t="inlineStr">
        <is>
          <t>75x100 1/32</t>
        </is>
      </c>
      <c r="L400" s="23" t="inlineStr">
        <is>
          <t>мяг</t>
        </is>
      </c>
      <c r="M400" s="23" t="n">
        <v>319</v>
      </c>
      <c r="N400" s="23" t="n">
        <v>2021</v>
      </c>
      <c r="O400" s="23" t="n">
        <v>162</v>
      </c>
      <c r="P400" s="23" t="n"/>
      <c r="Q400" s="23" t="n"/>
      <c r="R400" s="25" t="inlineStr">
        <is>
          <t>Маньяк­психопат, жестоко расправляющийся со своими жертвами, зарывает в лесу последнее тело. Впереди у него долгожданные перемены в судьбе, в предвкушении которых он наслаждается потрясающим ощущением свободы и безнаказанности. А в это время Анника Бенгтзон, журналист стокгольмской газеты «Квельспрессен», известная своими сенсационными криминальными материалами, интересуется судебными слушаниями по поводу серии убийств, прокатившихся по всей Европе. В них, возможно, виновен взятый под стражу убийца­изувер Ивар Берглунд. Анника не подозревает, что косвенное участие в этом расследовании чревато для нее самой и ее близких смертельной опасностью</t>
        </is>
      </c>
      <c r="S400" s="26">
        <f>HYPERLINK("http://www.cnpol.ru/covers/19845.jpg","фото на сайте")</f>
        <v/>
      </c>
    </row>
    <row r="401" ht="50.1" customHeight="1" s="3">
      <c r="A401" s="23" t="n"/>
      <c r="B401" s="24" t="inlineStr">
        <is>
          <t>17954</t>
        </is>
      </c>
      <c r="C401" s="23" t="inlineStr">
        <is>
          <t>ДЕТЕКТИВ</t>
        </is>
      </c>
      <c r="D401" s="23" t="inlineStr">
        <is>
          <t>Грэхам П.</t>
        </is>
      </c>
      <c r="E401" s="23" t="inlineStr">
        <is>
          <t>Евангелие от Сатаны</t>
        </is>
      </c>
      <c r="F401" s="23" t="inlineStr">
        <is>
          <t>        </t>
        </is>
      </c>
      <c r="G401" s="23" t="n">
        <v>374</v>
      </c>
      <c r="H401" s="23" t="n">
        <v>10</v>
      </c>
      <c r="I401" s="23" t="n">
        <v>12</v>
      </c>
      <c r="J401" s="23" t="inlineStr">
        <is>
          <t>978-5-227-08032-5</t>
        </is>
      </c>
      <c r="K401" s="23" t="inlineStr">
        <is>
          <t>75x100 1/32</t>
        </is>
      </c>
      <c r="L401" s="23" t="inlineStr">
        <is>
          <t>мяг</t>
        </is>
      </c>
      <c r="M401" s="23" t="n">
        <v>544</v>
      </c>
      <c r="N401" s="23" t="n">
        <v>2018</v>
      </c>
      <c r="O401" s="23" t="n">
        <v>272</v>
      </c>
      <c r="P401" s="23" t="n"/>
      <c r="Q401" s="23" t="n"/>
      <c r="R401" s="25" t="inlineStr">
        <is>
          <t>Специальный агент ФБР Мария Паркес, специалист по составлению психологических портретов, неутомимо идет по следу серийных убийц. Мария обладает даром медиума, каждую ночь она видит во сне убийства, точно передачи в прямом эфире, не имея возможности предотвратить ужасное действо. Благодаря своему дару она уже выследила несколько душегубов. На этот раз пропала помощница шерифа Рейчел, которая занималась расследованием исчезновения четырех молодых официанток. Следы ­Рейчел приводят Марию в лес, к развалинам старой церкви. То, что она увидела там, в подземелье, заставило ее похолодеть...</t>
        </is>
      </c>
      <c r="S401" s="26">
        <f>HYPERLINK("http://www.cnpol.ru/covers/17954.jpg","фото на сайте")</f>
        <v/>
      </c>
    </row>
    <row r="402" ht="50.1" customHeight="1" s="3">
      <c r="A402" s="23" t="n"/>
      <c r="B402" s="24" t="inlineStr">
        <is>
          <t>20292</t>
        </is>
      </c>
      <c r="C402" s="23" t="inlineStr">
        <is>
          <t>ДЕТЕКТИВ</t>
        </is>
      </c>
      <c r="D402" s="23" t="inlineStr">
        <is>
          <t>Бёгле Н.</t>
        </is>
      </c>
      <c r="E402" s="23" t="inlineStr">
        <is>
          <t>Заговор</t>
        </is>
      </c>
      <c r="F402" s="23" t="inlineStr">
        <is>
          <t>        </t>
        </is>
      </c>
      <c r="G402" s="23" t="n">
        <v>330</v>
      </c>
      <c r="H402" s="23" t="n">
        <v>10</v>
      </c>
      <c r="I402" s="23" t="n">
        <v>9</v>
      </c>
      <c r="J402" s="23" t="inlineStr">
        <is>
          <t>978-5-227-10081-8</t>
        </is>
      </c>
      <c r="K402" s="23" t="inlineStr">
        <is>
          <t>75x100 1/32</t>
        </is>
      </c>
      <c r="L402" s="23" t="inlineStr">
        <is>
          <t>мяг</t>
        </is>
      </c>
      <c r="M402" s="23" t="n">
        <v>383</v>
      </c>
      <c r="N402" s="23" t="n">
        <v>2022</v>
      </c>
      <c r="O402" s="23" t="n">
        <v>194</v>
      </c>
      <c r="P402" s="23" t="n"/>
      <c r="Q402" s="23" t="n"/>
      <c r="R402" s="25" t="inlineStr">
        <is>
          <t>Обстоятельства жестокого убийства премьер­министра Катрины Хагебак были настолько странными, что все члены следственной группы пришли в замешательство. Инспектор Сара Геринген — лучший из лучших детективов Норвегии, в самом начале следствия вынуждена была признать, что впервые в своей карьере имеет дело с жертвой, сделавшей все, чтобы уничтожить улики, с помощью которых возможно было найти и предать суду убийцу. Сара была потрясена, придя к необъяснимому выводу: последние минуты своей жизни премьер­министр Катрина Хагебак посвятила защите личности убийцы.</t>
        </is>
      </c>
      <c r="S402" s="26">
        <f>HYPERLINK("http://www.cnpol.ru/covers/20292.jpg","фото на сайте")</f>
        <v/>
      </c>
    </row>
    <row r="403" ht="50.1" customHeight="1" s="3">
      <c r="A403" s="23" t="n"/>
      <c r="B403" s="24" t="inlineStr">
        <is>
          <t>20498</t>
        </is>
      </c>
      <c r="C403" s="23" t="inlineStr">
        <is>
          <t>ДЕТЕКТИВ</t>
        </is>
      </c>
      <c r="D403" s="23" t="inlineStr">
        <is>
          <t>Перссон Лейф Г.В.</t>
        </is>
      </c>
      <c r="E403" s="23" t="inlineStr">
        <is>
          <t>Застенчивый убийца</t>
        </is>
      </c>
      <c r="F403" s="23" t="inlineStr">
        <is>
          <t>        </t>
        </is>
      </c>
      <c r="G403" s="23" t="n">
        <v>330</v>
      </c>
      <c r="H403" s="23" t="n">
        <v>10</v>
      </c>
      <c r="I403" s="23" t="n">
        <v>10</v>
      </c>
      <c r="J403" s="23" t="inlineStr">
        <is>
          <t>978-5-227-10186-0</t>
        </is>
      </c>
      <c r="K403" s="23" t="inlineStr">
        <is>
          <t>75x100 1/32</t>
        </is>
      </c>
      <c r="L403" s="23" t="inlineStr">
        <is>
          <t>мяг</t>
        </is>
      </c>
      <c r="M403" s="23" t="n">
        <v>415</v>
      </c>
      <c r="N403" s="23" t="n">
        <v>2023</v>
      </c>
      <c r="O403" s="23" t="n">
        <v>200</v>
      </c>
      <c r="P403" s="23" t="n"/>
      <c r="Q403" s="23" t="n"/>
      <c r="R403" s="25" t="inlineStr">
        <is>
          <t>Ларс Мартин Юханссон — легенда шведской полиции, детектив от Бога, три года назад ушедший на пенсию, — попал в больницу с сердечным приступом. День за днем возвращаясь к жизни, он, неожиданно для самого себя, начинает негласное расследование одного из самых гнусных преступлений — изнасилования и убийства девятилетней девочки. Юханссон узнает все подробности бездарного ведения следствия и отлично понимает, почему убийца не был найден. Бывшего шефа полиции не останавливает то, что преступление было совершено двадцать пять лет назад, он знает, что раскроет его и убийца будет наказан.</t>
        </is>
      </c>
      <c r="S403" s="26">
        <f>HYPERLINK("http://www.cnpol.ru/covers/20498.jpg","фото на сайте")</f>
        <v/>
      </c>
    </row>
    <row r="404" ht="50.1" customHeight="1" s="3">
      <c r="A404" s="23" t="inlineStr">
        <is>
          <t>Д</t>
        </is>
      </c>
      <c r="B404" s="24" t="inlineStr">
        <is>
          <t>21669</t>
        </is>
      </c>
      <c r="C404" s="23" t="inlineStr">
        <is>
          <t>ДЕТЕКТИВ</t>
        </is>
      </c>
      <c r="D404" s="23" t="inlineStr">
        <is>
          <t>Герритсен Т.</t>
        </is>
      </c>
      <c r="E404" s="23" t="inlineStr">
        <is>
          <t>Звонок после полуночи</t>
        </is>
      </c>
      <c r="F404" s="23" t="inlineStr">
        <is>
          <t>        </t>
        </is>
      </c>
      <c r="G404" s="23" t="n">
        <v>330</v>
      </c>
      <c r="H404" s="23" t="n">
        <v>10</v>
      </c>
      <c r="I404" s="23" t="n">
        <v>10</v>
      </c>
      <c r="J404" s="23" t="inlineStr">
        <is>
          <t>978-5-227-11050-3</t>
        </is>
      </c>
      <c r="K404" s="23" t="inlineStr">
        <is>
          <t>75x100 1/32</t>
        </is>
      </c>
      <c r="L404" s="23" t="inlineStr">
        <is>
          <t>мяг</t>
        </is>
      </c>
      <c r="M404" s="23" t="n">
        <v>255</v>
      </c>
      <c r="N404" s="23" t="n">
        <v>2024</v>
      </c>
      <c r="O404" s="23" t="n">
        <v>134</v>
      </c>
      <c r="P404" s="23" t="n"/>
      <c r="Q404" s="23" t="n"/>
      <c r="R404" s="25" t="inlineStr">
        <is>
          <t>Полночный звонок телефона разбудил и испугал Сару Фонтейн. Она ждала звонка своего мужа из Лондона, но вместо этого услышала в трубке совершенно незнакомый голос. Ник О’Хара из департамента иностранных дел США принес ей страшную новость — ее молодой муж Джеффри Фонтейн погиб при пожаре в одном из отелей Берлина... Но Сара убеждена, что ее муж жив! И они вместе с Ником перевернут всю Европу, разыскивая его! Пытаясь остановить опасного убийцу, они попадают в сеть таинственного международного шпионажа, рискуя всем, чтобы получить ответы на свои вопросы...</t>
        </is>
      </c>
      <c r="S404" s="26">
        <f>HYPERLINK("http://www.cnpol.ru/covers/21669.jpg","фото на сайте")</f>
        <v/>
      </c>
    </row>
    <row r="405" ht="50.1" customHeight="1" s="3">
      <c r="A405" s="23" t="n"/>
      <c r="B405" s="24" t="inlineStr">
        <is>
          <t>20388</t>
        </is>
      </c>
      <c r="C405" s="23" t="inlineStr">
        <is>
          <t>ДЕТЕКТИВ</t>
        </is>
      </c>
      <c r="D405" s="23" t="inlineStr">
        <is>
          <t>Фитцек С.</t>
        </is>
      </c>
      <c r="E405" s="23" t="inlineStr">
        <is>
          <t>Инквизитор</t>
        </is>
      </c>
      <c r="F405" s="23" t="inlineStr">
        <is>
          <t>        </t>
        </is>
      </c>
      <c r="G405" s="23" t="n">
        <v>330</v>
      </c>
      <c r="H405" s="23" t="n">
        <v>10</v>
      </c>
      <c r="I405" s="23" t="n">
        <v>12</v>
      </c>
      <c r="J405" s="23" t="inlineStr">
        <is>
          <t>978-5-227-10128-0</t>
        </is>
      </c>
      <c r="K405" s="23" t="inlineStr">
        <is>
          <t>75x100 1/32</t>
        </is>
      </c>
      <c r="L405" s="23" t="inlineStr">
        <is>
          <t>мяг</t>
        </is>
      </c>
      <c r="M405" s="23" t="n">
        <v>256</v>
      </c>
      <c r="N405" s="23" t="n">
        <v>2022</v>
      </c>
      <c r="O405" s="23" t="n">
        <v>134</v>
      </c>
      <c r="P405" s="23" t="n"/>
      <c r="Q405" s="23" t="n"/>
      <c r="R405" s="25" t="n"/>
      <c r="S405" s="26">
        <f>HYPERLINK("http://www.cnpol.ru/covers/20388.jpg","фото на сайте")</f>
        <v/>
      </c>
    </row>
    <row r="406" ht="50.1" customHeight="1" s="3">
      <c r="A406" s="23" t="inlineStr">
        <is>
          <t>Д</t>
        </is>
      </c>
      <c r="B406" s="24" t="inlineStr">
        <is>
          <t>21539</t>
        </is>
      </c>
      <c r="C406" s="23" t="inlineStr">
        <is>
          <t>ДЕТЕКТИВ</t>
        </is>
      </c>
      <c r="D406" s="23" t="inlineStr">
        <is>
          <t>Фитцек С.</t>
        </is>
      </c>
      <c r="E406" s="23" t="inlineStr">
        <is>
          <t>Инквизитор</t>
        </is>
      </c>
      <c r="F406" s="23" t="inlineStr">
        <is>
          <t>        </t>
        </is>
      </c>
      <c r="G406" s="23" t="n">
        <v>330</v>
      </c>
      <c r="H406" s="23" t="n">
        <v>10</v>
      </c>
      <c r="I406" s="23" t="n">
        <v>10</v>
      </c>
      <c r="J406" s="23" t="inlineStr">
        <is>
          <t>978-5-227-10966-8</t>
        </is>
      </c>
      <c r="K406" s="23" t="inlineStr">
        <is>
          <t>75x100 1/32</t>
        </is>
      </c>
      <c r="L406" s="23" t="inlineStr">
        <is>
          <t>мяг</t>
        </is>
      </c>
      <c r="M406" s="23" t="n">
        <v>255</v>
      </c>
      <c r="N406" s="23" t="n">
        <v>2022</v>
      </c>
      <c r="O406" s="23" t="n">
        <v>132</v>
      </c>
      <c r="P406" s="23" t="n"/>
      <c r="Q406" s="23" t="n"/>
      <c r="R406" s="25" t="inlineStr">
        <is>
          <t>Три женщины — молодые, красивые, жизнерадостные — неожиданно исчезают. А когда их наконец находят, они морально сломлены, словно заживо похоронены в собственном теле. И это последствия всего одной недели пребывания во власти психопата, которого пресса окрестила Инквизитором. Перед самым Рождеством Инквизитор снова активизируется — и, как специально, в фешенебельной психиатрической клинике. Незадолго до того, как из-за снежного шторма клиника оказывается отрезанной от внешнего мира, врачи и пациенты со страхом сознают, что к ним доставили никем не узнанного преступника. Невольные узники отчаянно пытаются защитить друг друга. Но в ночь ужаса Инквизитор заставит их почувствовать, что никому не спастись…</t>
        </is>
      </c>
      <c r="S406" s="26">
        <f>HYPERLINK("http://www.cnpol.ru/covers/21539.jpg","фото на сайте")</f>
        <v/>
      </c>
    </row>
    <row r="407" ht="50.1" customHeight="1" s="3">
      <c r="A407" s="23" t="n"/>
      <c r="B407" s="24" t="inlineStr">
        <is>
          <t>19393</t>
        </is>
      </c>
      <c r="C407" s="23" t="inlineStr">
        <is>
          <t>ДЕТЕКТИВ</t>
        </is>
      </c>
      <c r="D407" s="23" t="inlineStr">
        <is>
          <t>Аспе П.</t>
        </is>
      </c>
      <c r="E407" s="23" t="inlineStr">
        <is>
          <t>Квадрат тамплиеров</t>
        </is>
      </c>
      <c r="F407" s="23" t="inlineStr">
        <is>
          <t>        </t>
        </is>
      </c>
      <c r="G407" s="23" t="n">
        <v>330</v>
      </c>
      <c r="H407" s="23" t="n">
        <v>10</v>
      </c>
      <c r="I407" s="23" t="n">
        <v>24</v>
      </c>
      <c r="J407" s="23" t="inlineStr">
        <is>
          <t>978-5-227-09219-9</t>
        </is>
      </c>
      <c r="K407" s="23" t="inlineStr">
        <is>
          <t>75x100 1/32</t>
        </is>
      </c>
      <c r="L407" s="23" t="inlineStr">
        <is>
          <t>мяг</t>
        </is>
      </c>
      <c r="M407" s="23" t="n">
        <v>288</v>
      </c>
      <c r="N407" s="23" t="n">
        <v>2020</v>
      </c>
      <c r="O407" s="23" t="n">
        <v>148</v>
      </c>
      <c r="P407" s="23" t="n"/>
      <c r="Q407" s="23" t="n"/>
      <c r="R407" s="25" t="inlineStr">
        <is>
          <t>В прекрасном по­европейски спокойном городе Брюгге произошло более чем странное происшествие: двое неизвестных проникли в роскошный магазин «Дегроф. Бриллианты и ювелирные изделия», но, ничего не похитив, собрали драгоценности стоимостью двадцать пять миллионов евро и опустили в соляную кислоту. В записке, адресованной владельцу магазина, было написано пять таинственных слов на латыни. Комиссар полиции Ван­Ин, профессионал и детектив от Бога, убежден: непонятный поступок зло­умышленников — лишь предупреждение, готовятся новые преступления, и направлены они против Дегрофа. А причину надо искать в прошлом этого человека…</t>
        </is>
      </c>
      <c r="S407" s="26">
        <f>HYPERLINK("http://www.cnpol.ru/covers/19393.jpg","фото на сайте")</f>
        <v/>
      </c>
    </row>
    <row r="408" ht="50.1" customHeight="1" s="3">
      <c r="A408" s="23" t="n"/>
      <c r="B408" s="24" t="inlineStr">
        <is>
          <t>17906</t>
        </is>
      </c>
      <c r="C408" s="23" t="inlineStr">
        <is>
          <t>ДЕТЕКТИВ</t>
        </is>
      </c>
      <c r="D408" s="23" t="inlineStr">
        <is>
          <t>Мейер Д.</t>
        </is>
      </c>
      <c r="E408" s="23" t="inlineStr">
        <is>
          <t>Кобра</t>
        </is>
      </c>
      <c r="F408" s="23" t="inlineStr">
        <is>
          <t>        </t>
        </is>
      </c>
      <c r="G408" s="23" t="n">
        <v>330</v>
      </c>
      <c r="H408" s="23" t="n">
        <v>10</v>
      </c>
      <c r="I408" s="23" t="n">
        <v>18</v>
      </c>
      <c r="J408" s="23" t="inlineStr">
        <is>
          <t>978-5-227-07330-3</t>
        </is>
      </c>
      <c r="K408" s="23" t="inlineStr">
        <is>
          <t>75x100 1/32</t>
        </is>
      </c>
      <c r="L408" s="23" t="inlineStr">
        <is>
          <t>мяг</t>
        </is>
      </c>
      <c r="M408" s="23" t="n">
        <v>384</v>
      </c>
      <c r="N408" s="23" t="n">
        <v>2018</v>
      </c>
      <c r="O408" s="23" t="n">
        <v>194</v>
      </c>
      <c r="P408" s="23" t="n"/>
      <c r="Q408" s="23" t="n"/>
      <c r="R408" s="25" t="inlineStr">
        <is>
          <t>В гостевом доме на винодельческой ферме убиты три человека и, возможно, похи­щен четвертый. Три жертвы, три контрольных выстрела в голову и рядом с трупами гильзы с необычной гравировкой в виде змеи. Судя по всему, кровавая баня — дело рук профессионала. Вскоре преступник устраивает побоище в самом центре Кейптауна, и ситуация накаляется до предела. Расследование поручено капитану Бенни Грисселу и его команде детективов из отдела тяжких преступлений.</t>
        </is>
      </c>
      <c r="S408" s="26">
        <f>HYPERLINK("http://www.cnpol.ru/covers/17906.jpg","фото на сайте")</f>
        <v/>
      </c>
    </row>
    <row r="409" ht="50.1" customHeight="1" s="3">
      <c r="A409" s="23" t="inlineStr">
        <is>
          <t>Д</t>
        </is>
      </c>
      <c r="B409" s="24" t="inlineStr">
        <is>
          <t>21241</t>
        </is>
      </c>
      <c r="C409" s="23" t="inlineStr">
        <is>
          <t>ДЕТЕКТИВ</t>
        </is>
      </c>
      <c r="D409" s="23" t="inlineStr">
        <is>
          <t>Бёгле Н.</t>
        </is>
      </c>
      <c r="E409" s="23" t="inlineStr">
        <is>
          <t>Крик</t>
        </is>
      </c>
      <c r="F409" s="23" t="inlineStr">
        <is>
          <t>        </t>
        </is>
      </c>
      <c r="G409" s="23" t="n">
        <v>375</v>
      </c>
      <c r="H409" s="23" t="n">
        <v>10</v>
      </c>
      <c r="I409" s="23" t="n">
        <v>7</v>
      </c>
      <c r="J409" s="23" t="inlineStr">
        <is>
          <t>978-5-227-10751-0</t>
        </is>
      </c>
      <c r="K409" s="23" t="inlineStr">
        <is>
          <t>75x100 1/32</t>
        </is>
      </c>
      <c r="L409" s="23" t="inlineStr">
        <is>
          <t>мяг</t>
        </is>
      </c>
      <c r="M409" s="23" t="n">
        <v>415</v>
      </c>
      <c r="N409" s="23" t="n">
        <v>2024</v>
      </c>
      <c r="O409" s="23" t="n">
        <v>131</v>
      </c>
      <c r="P409" s="23" t="n"/>
      <c r="Q409" s="23" t="n"/>
      <c r="R409" s="25" t="inlineStr">
        <is>
          <t>Психиатрическая больница «Гёустад» в Осло. На рассвете холодного зимнего дня одного из пациентов находят задушенным. Рот его открыт в безмолвном крике. Приехавшая на место происшествия инспектор полиции Сара Геринген сразу поняла, что столкнулась с делом из ряда вон выходящим. Вопросы возникают один за другим: что за странный шрам в виде числа 488 на лбу жертвы? Откуда взялись зловещие рисунки на стенах больничной палаты, где его содержали? Почему руководство больницы почти не обладает информацией о личности человека, который провел там больше тридцати лет? Так для Сары началось запутанное и крайне опасное расследование, которое заставит ее немало помотаться по миру: Париж, Лондон, вулканический остров Вознесения, заброшенные шахты Миннесоты, Ницца... Напарником ее окажется французский журналист Кристофер Кларенс, вместе с которым ей предстоит открыть ошеломляющую правду, похороненную в сверхсекретных лабораториях.</t>
        </is>
      </c>
      <c r="S409" s="26">
        <f>HYPERLINK("http://www.cnpol.ru/covers/21241.jpg","фото на сайте")</f>
        <v/>
      </c>
    </row>
    <row r="410" ht="50.1" customHeight="1" s="3">
      <c r="A410" s="23" t="n"/>
      <c r="B410" s="24" t="inlineStr">
        <is>
          <t>17296</t>
        </is>
      </c>
      <c r="C410" s="23" t="inlineStr">
        <is>
          <t>ДЕТЕКТИВ</t>
        </is>
      </c>
      <c r="D410" s="23" t="inlineStr">
        <is>
          <t>Мейер Д.</t>
        </is>
      </c>
      <c r="E410" s="23" t="inlineStr">
        <is>
          <t>Кровавый след</t>
        </is>
      </c>
      <c r="F410" s="23" t="inlineStr">
        <is>
          <t>        </t>
        </is>
      </c>
      <c r="G410" s="23" t="n">
        <v>391</v>
      </c>
      <c r="H410" s="23" t="n">
        <v>10</v>
      </c>
      <c r="I410" s="23" t="n">
        <v>12</v>
      </c>
      <c r="J410" s="23" t="inlineStr">
        <is>
          <t>978-5-227-07160-6</t>
        </is>
      </c>
      <c r="K410" s="23" t="inlineStr">
        <is>
          <t>75x100 1/32</t>
        </is>
      </c>
      <c r="L410" s="23" t="inlineStr">
        <is>
          <t>мяг</t>
        </is>
      </c>
      <c r="M410" s="23" t="n">
        <v>576</v>
      </c>
      <c r="N410" s="23" t="n">
        <v>2017</v>
      </c>
      <c r="O410" s="23" t="n">
        <v>280</v>
      </c>
      <c r="P410" s="23" t="n"/>
      <c r="Q410" s="23" t="n"/>
      <c r="R410" s="25" t="inlineStr">
        <is>
          <t>Устав от измен мужа и капризов эгоистичного сына, Милла Страхан уходит из семьи, чтобы начать новую жизнь. По счастливому, как ей кажется, стечению обстоятельств она быстро устраивается на работу и не сразу понимает, что ­попала в разведывательную организацию… Бывший телохранитель Леммер соглашается провезти через границу черных носорогов, а в итоге попадает в переделку с бандитами… Частный де­тектив Матт Яуберт ведет розыск сотрудника автобусной компании… Кажется, что эти сюжетные линии никак не связаны между собой, но они непременно сойдутся, да так, что кульминация романа окажется настоящим сюрпризом для читателя.</t>
        </is>
      </c>
      <c r="S410" s="26">
        <f>HYPERLINK("http://www.cnpol.ru/covers/17296.jpg","фото на сайте")</f>
        <v/>
      </c>
    </row>
    <row r="411" ht="50.1" customHeight="1" s="3">
      <c r="A411" s="23" t="inlineStr">
        <is>
          <t>Д</t>
        </is>
      </c>
      <c r="B411" s="24" t="inlineStr">
        <is>
          <t>21046</t>
        </is>
      </c>
      <c r="C411" s="23" t="inlineStr">
        <is>
          <t>ДЕТЕКТИВ</t>
        </is>
      </c>
      <c r="D411" s="23" t="inlineStr">
        <is>
          <t>Герритсен Т.</t>
        </is>
      </c>
      <c r="E411" s="23" t="inlineStr">
        <is>
          <t>Кто украл мое сердце</t>
        </is>
      </c>
      <c r="F411" s="23" t="inlineStr">
        <is>
          <t>        </t>
        </is>
      </c>
      <c r="G411" s="23" t="n">
        <v>330</v>
      </c>
      <c r="H411" s="23" t="n">
        <v>10</v>
      </c>
      <c r="I411" s="23" t="n">
        <v>24</v>
      </c>
      <c r="J411" s="23" t="inlineStr">
        <is>
          <t>978-5-227-10603-2</t>
        </is>
      </c>
      <c r="K411" s="23" t="inlineStr">
        <is>
          <t>75x100 1/32</t>
        </is>
      </c>
      <c r="L411" s="23" t="inlineStr">
        <is>
          <t>мяг</t>
        </is>
      </c>
      <c r="M411" s="23" t="n">
        <v>256</v>
      </c>
      <c r="N411" s="23" t="n">
        <v>2024</v>
      </c>
      <c r="O411" s="23" t="n">
        <v>130</v>
      </c>
      <c r="P411" s="23" t="n"/>
      <c r="Q411" s="23" t="n"/>
      <c r="R411" s="25" t="inlineStr">
        <is>
          <t>Клеа Рейс едва не погибла от взрыва на корабле, перевозившем коллекцию произведений искусства. В полиции ей не верят, так как она сидела в тюрьме и вообще у нее темное прошлое. Чтобы доказать правоту своих слов, Клеа решает украсть у богатого англичанина старинный кинжал, который якобы находился на корабле. Во время кражи она сталкивается с Джорданом Тэвистоком, настоящим джентльменом из почтенного английского рода, который тоже намерен кое-что украсть, а именно нескромные любовные письма своей приятельницы. Молодые люди конечно же уверены в случайности своей встречи, но судьбу не проведешь...</t>
        </is>
      </c>
      <c r="S411" s="26">
        <f>HYPERLINK("http://www.cnpol.ru/covers/21046.jpg","фото на сайте")</f>
        <v/>
      </c>
    </row>
    <row r="412" ht="50.1" customHeight="1" s="3">
      <c r="A412" s="23" t="n"/>
      <c r="B412" s="24" t="inlineStr">
        <is>
          <t>17505</t>
        </is>
      </c>
      <c r="C412" s="23" t="inlineStr">
        <is>
          <t>ДЕТЕКТИВ</t>
        </is>
      </c>
      <c r="D412" s="23" t="inlineStr">
        <is>
          <t>Филлипс С.</t>
        </is>
      </c>
      <c r="E412" s="23" t="inlineStr">
        <is>
          <t>Ледяной урожай</t>
        </is>
      </c>
      <c r="F412" s="23" t="inlineStr">
        <is>
          <t>        </t>
        </is>
      </c>
      <c r="G412" s="23" t="n">
        <v>330</v>
      </c>
      <c r="H412" s="23" t="n">
        <v>10</v>
      </c>
      <c r="I412" s="23" t="n">
        <v>36</v>
      </c>
      <c r="J412" s="23" t="inlineStr">
        <is>
          <t>978-5-227-07591-8</t>
        </is>
      </c>
      <c r="K412" s="23" t="inlineStr">
        <is>
          <t>75x100 1/32</t>
        </is>
      </c>
      <c r="L412" s="23" t="inlineStr">
        <is>
          <t>мяг</t>
        </is>
      </c>
      <c r="M412" s="23" t="n">
        <v>192</v>
      </c>
      <c r="N412" s="23" t="n">
        <v>2017</v>
      </c>
      <c r="O412" s="23" t="n">
        <v>102</v>
      </c>
      <c r="P412" s="23" t="n"/>
      <c r="Q412" s="23" t="n"/>
      <c r="R412" s="25" t="inlineStr">
        <is>
          <t>Чарли Арглист, в прошлом адвокат, а в настоящее время совладелец сети развлекательных заведений, решил выйти из дела, прихватив кассу. Побег разработан до мелочей. Но в последний момент, когда до отлета самолета остались считаные часы, случается непредвиденное: исчезает подельник Чарли, его близкий друг Вик Кавано. Чарли бросается на поиски Вика…</t>
        </is>
      </c>
      <c r="S412" s="26">
        <f>HYPERLINK("http://www.cnpol.ru/covers/17505.jpg","фото на сайте")</f>
        <v/>
      </c>
    </row>
    <row r="413" ht="50.1" customHeight="1" s="3">
      <c r="A413" s="23" t="n"/>
      <c r="B413" s="24" t="inlineStr">
        <is>
          <t>18554</t>
        </is>
      </c>
      <c r="C413" s="23" t="inlineStr">
        <is>
          <t>ДЕТЕКТИВ</t>
        </is>
      </c>
      <c r="D413" s="23" t="inlineStr">
        <is>
          <t>Джеймс П.</t>
        </is>
      </c>
      <c r="E413" s="23" t="inlineStr">
        <is>
          <t>Люби меня мертвым</t>
        </is>
      </c>
      <c r="F413" s="23" t="inlineStr">
        <is>
          <t>        </t>
        </is>
      </c>
      <c r="G413" s="23" t="n">
        <v>330</v>
      </c>
      <c r="H413" s="23" t="n">
        <v>10</v>
      </c>
      <c r="I413" s="23" t="n">
        <v>14</v>
      </c>
      <c r="J413" s="23" t="inlineStr">
        <is>
          <t>978-5-227-08522-1</t>
        </is>
      </c>
      <c r="K413" s="23" t="inlineStr">
        <is>
          <t>75x100 1/32</t>
        </is>
      </c>
      <c r="L413" s="23" t="inlineStr">
        <is>
          <t>мяг</t>
        </is>
      </c>
      <c r="M413" s="23" t="n">
        <v>480</v>
      </c>
      <c r="N413" s="23" t="n">
        <v>2019</v>
      </c>
      <c r="O413" s="23" t="n">
        <v>240</v>
      </c>
      <c r="P413" s="23" t="n"/>
      <c r="Q413" s="23" t="n"/>
      <c r="R413" s="25" t="inlineStr">
        <is>
          <t>Суперинтендент Рой Грейс — шеф отдела тяжких преступлений — получает ин­фор­мацию о появлении в Брайтоне киллера по кличке Зуб и некоей Джоди Бентли, ­подозреваемой в контакте с мафией. Грейс со своей командой сыщиков­профессионалов начинает за непрошеными гостями  слежку. Но вскоре дело принимает неожиданный оборот: в течение одной недели два жителя города  укушены ядовитой змеей.  Грейс пони­мает — это не просто совпадение. Нужно копать глубже, поскольку известно, что муж Джоди Бентли также умер от змеиного яда и смерть эта весьма подозрительна.</t>
        </is>
      </c>
      <c r="S413" s="26">
        <f>HYPERLINK("http://www.cnpol.ru/covers/18554.jpg","фото на сайте")</f>
        <v/>
      </c>
    </row>
    <row r="414" ht="50.1" customHeight="1" s="3">
      <c r="A414" s="23" t="n"/>
      <c r="B414" s="24" t="inlineStr">
        <is>
          <t>17615</t>
        </is>
      </c>
      <c r="C414" s="23" t="inlineStr">
        <is>
          <t>ДЕТЕКТИВ</t>
        </is>
      </c>
      <c r="D414" s="23" t="inlineStr">
        <is>
          <t>Джеймс П.</t>
        </is>
      </c>
      <c r="E414" s="23" t="inlineStr">
        <is>
          <t>Мертвое время</t>
        </is>
      </c>
      <c r="F414" s="23" t="inlineStr">
        <is>
          <t>        </t>
        </is>
      </c>
      <c r="G414" s="23" t="n">
        <v>330</v>
      </c>
      <c r="H414" s="23" t="n">
        <v>10</v>
      </c>
      <c r="I414" s="23" t="n">
        <v>14</v>
      </c>
      <c r="J414" s="23" t="inlineStr">
        <is>
          <t>978-5-227-07602-1</t>
        </is>
      </c>
      <c r="K414" s="23" t="inlineStr">
        <is>
          <t>75x100 1/32</t>
        </is>
      </c>
      <c r="L414" s="23" t="inlineStr">
        <is>
          <t>мяг</t>
        </is>
      </c>
      <c r="M414" s="23" t="n">
        <v>416</v>
      </c>
      <c r="N414" s="23" t="n">
        <v>2017</v>
      </c>
      <c r="O414" s="23" t="n">
        <v>202</v>
      </c>
      <c r="P414" s="23" t="n"/>
      <c r="Q414" s="23" t="n"/>
      <c r="R414" s="25" t="n"/>
      <c r="S414" s="26">
        <f>HYPERLINK("http://www.cnpol.ru/covers/17615.jpg","фото на сайте")</f>
        <v/>
      </c>
    </row>
    <row r="415" ht="50.1" customHeight="1" s="3">
      <c r="A415" s="23" t="n"/>
      <c r="B415" s="24" t="inlineStr">
        <is>
          <t>18662</t>
        </is>
      </c>
      <c r="C415" s="23" t="inlineStr">
        <is>
          <t>ДЕТЕКТИВ</t>
        </is>
      </c>
      <c r="D415" s="23" t="inlineStr">
        <is>
          <t>Марклунд Л.</t>
        </is>
      </c>
      <c r="E415" s="23" t="inlineStr">
        <is>
          <t>Место под солнцем</t>
        </is>
      </c>
      <c r="F415" s="23" t="inlineStr">
        <is>
          <t>        </t>
        </is>
      </c>
      <c r="G415" s="23" t="n">
        <v>330</v>
      </c>
      <c r="H415" s="23" t="n">
        <v>10</v>
      </c>
      <c r="I415" s="23" t="n">
        <v>12</v>
      </c>
      <c r="J415" s="23" t="inlineStr">
        <is>
          <t>978-5-227-08560-3</t>
        </is>
      </c>
      <c r="K415" s="23" t="inlineStr">
        <is>
          <t>75x100 1/32</t>
        </is>
      </c>
      <c r="L415" s="23" t="inlineStr">
        <is>
          <t>мяг</t>
        </is>
      </c>
      <c r="M415" s="23" t="n">
        <v>544</v>
      </c>
      <c r="N415" s="23" t="n">
        <v>2019</v>
      </c>
      <c r="O415" s="23" t="n">
        <v>270</v>
      </c>
      <c r="P415" s="23" t="n"/>
      <c r="Q415" s="23" t="n"/>
      <c r="R415" s="25" t="n"/>
      <c r="S415" s="26">
        <f>HYPERLINK("http://www.cnpol.ru/covers/18662.jpg","фото на сайте")</f>
        <v/>
      </c>
    </row>
    <row r="416" ht="50.1" customHeight="1" s="3">
      <c r="A416" s="23" t="inlineStr">
        <is>
          <t>Д</t>
        </is>
      </c>
      <c r="B416" s="24" t="inlineStr">
        <is>
          <t>22041</t>
        </is>
      </c>
      <c r="C416" s="23" t="inlineStr">
        <is>
          <t>ДЕТЕКТИВ</t>
        </is>
      </c>
      <c r="D416" s="23" t="inlineStr">
        <is>
          <t>Грубер А.</t>
        </is>
      </c>
      <c r="E416" s="23" t="inlineStr">
        <is>
          <t>Метка смерти</t>
        </is>
      </c>
      <c r="F416" s="23" t="inlineStr">
        <is>
          <t>        </t>
        </is>
      </c>
      <c r="G416" s="23" t="n">
        <v>361</v>
      </c>
      <c r="H416" s="23" t="n">
        <v>10</v>
      </c>
      <c r="I416" s="23" t="n">
        <v>6</v>
      </c>
      <c r="J416" s="23" t="inlineStr">
        <is>
          <t>978-5-227-11235-4</t>
        </is>
      </c>
      <c r="K416" s="23" t="inlineStr">
        <is>
          <t>75x100 1/32</t>
        </is>
      </c>
      <c r="L416" s="23" t="inlineStr">
        <is>
          <t>мяг</t>
        </is>
      </c>
      <c r="M416" s="23" t="n">
        <v>479</v>
      </c>
      <c r="N416" s="23" t="n">
        <v>2025</v>
      </c>
      <c r="O416" s="23" t="n">
        <v>240</v>
      </c>
      <c r="P416" s="23" t="n"/>
      <c r="Q416" s="23" t="n"/>
      <c r="R416" s="25" t="inlineStr">
        <is>
          <t>Комиссар уголовной полиции Сабина Немез крайне удивлена, встретив в главном здании БКА в Висбадене женщину в монашеской одежде, которая заявляет о желании признаться в преступлении. И не кому-либо, а исключительно коллеге Сабины Мартену С. Снейдеру. Но после бурной дискуссии с новым руководителем БКА он уволился, поэтому заменить его приходится Сабине. От услышанного у нее перехватывает дыхание: безобидная на первый взгляд женщина заявляет, что в следующие семь дней совершит семь убийств – о мотиве и способе она хранит молчание. Пожилую монахиню задерживают, а в БКА начинается суматоха — особенно после того, как Сабине, несмотря на все усилия, не удается предотвратить первое убийство. Очень скоро становится ясно, что за всем этим скрывается исключительно изощренный план, который заинтриговывает и Снейдера. Он возвращается в БКА и вместе с Сабиной ввязывается в игру монахини, не подозревая, в какие темные бездны вовлечет его в этот раз непредсказуемая соперница...</t>
        </is>
      </c>
      <c r="S416" s="26">
        <f>HYPERLINK("http://www.cnpol.ru/covers/22041.jpg","фото на сайте")</f>
        <v/>
      </c>
    </row>
    <row r="417" ht="50.1" customHeight="1" s="3">
      <c r="A417" s="23" t="n"/>
      <c r="B417" s="24" t="inlineStr">
        <is>
          <t>18230</t>
        </is>
      </c>
      <c r="C417" s="23" t="inlineStr">
        <is>
          <t>ДЕТЕКТИВ</t>
        </is>
      </c>
      <c r="D417" s="23" t="inlineStr">
        <is>
          <t>Кубика М</t>
        </is>
      </c>
      <c r="E417" s="23" t="inlineStr">
        <is>
          <t>Милая девочка</t>
        </is>
      </c>
      <c r="F417" s="23" t="inlineStr">
        <is>
          <t>        </t>
        </is>
      </c>
      <c r="G417" s="23" t="n">
        <v>330</v>
      </c>
      <c r="H417" s="23" t="n">
        <v>10</v>
      </c>
      <c r="I417" s="23" t="n">
        <v>20</v>
      </c>
      <c r="J417" s="23" t="inlineStr">
        <is>
          <t>978-5-227-08148-3</t>
        </is>
      </c>
      <c r="K417" s="23" t="inlineStr">
        <is>
          <t>75x100 1/32</t>
        </is>
      </c>
      <c r="L417" s="23" t="inlineStr">
        <is>
          <t>мяг</t>
        </is>
      </c>
      <c r="M417" s="23" t="n">
        <v>320</v>
      </c>
      <c r="N417" s="23" t="n">
        <v>2018</v>
      </c>
      <c r="O417" s="23" t="n">
        <v>164</v>
      </c>
      <c r="P417" s="23" t="n"/>
      <c r="Q417" s="23" t="n"/>
      <c r="R417" s="25" t="n"/>
      <c r="S417" s="26">
        <f>HYPERLINK("http://www.cnpol.ru/covers/18230.jpg","фото на сайте")</f>
        <v/>
      </c>
    </row>
    <row r="418" ht="50.1" customHeight="1" s="3">
      <c r="A418" s="23" t="n"/>
      <c r="B418" s="24" t="inlineStr">
        <is>
          <t>18022</t>
        </is>
      </c>
      <c r="C418" s="23" t="inlineStr">
        <is>
          <t>ДЕТЕКТИВ</t>
        </is>
      </c>
      <c r="D418" s="23" t="inlineStr">
        <is>
          <t>Джеймс П.</t>
        </is>
      </c>
      <c r="E418" s="23" t="inlineStr">
        <is>
          <t>Многоликое зло</t>
        </is>
      </c>
      <c r="F418" s="23" t="inlineStr">
        <is>
          <t>        </t>
        </is>
      </c>
      <c r="G418" s="23" t="n">
        <v>330</v>
      </c>
      <c r="H418" s="23" t="n">
        <v>10</v>
      </c>
      <c r="I418" s="23" t="n">
        <v>20</v>
      </c>
      <c r="J418" s="23" t="inlineStr">
        <is>
          <t>978-5-227-08034-9</t>
        </is>
      </c>
      <c r="K418" s="23" t="inlineStr">
        <is>
          <t>75x100 1/32</t>
        </is>
      </c>
      <c r="L418" s="23" t="inlineStr">
        <is>
          <t>мяг</t>
        </is>
      </c>
      <c r="M418" s="23" t="n">
        <v>352</v>
      </c>
      <c r="N418" s="23" t="n">
        <v>2018</v>
      </c>
      <c r="O418" s="23" t="n">
        <v>174</v>
      </c>
      <c r="P418" s="23" t="n"/>
      <c r="Q418" s="23" t="n"/>
      <c r="R418" s="25" t="n"/>
      <c r="S418" s="26">
        <f>HYPERLINK("http://www.cnpol.ru/covers/18022.jpg","фото на сайте")</f>
        <v/>
      </c>
    </row>
    <row r="419" ht="50.1" customHeight="1" s="3">
      <c r="A419" s="23" t="n"/>
      <c r="B419" s="24" t="inlineStr">
        <is>
          <t>19778</t>
        </is>
      </c>
      <c r="C419" s="23" t="inlineStr">
        <is>
          <t>ДЕТЕКТИВ</t>
        </is>
      </c>
      <c r="D419" s="23" t="inlineStr">
        <is>
          <t>Перссон Лейф Г.В.</t>
        </is>
      </c>
      <c r="E419" s="23" t="inlineStr">
        <is>
          <t>Можно ли умереть дважды?</t>
        </is>
      </c>
      <c r="F419" s="23" t="inlineStr">
        <is>
          <t>        </t>
        </is>
      </c>
      <c r="G419" s="23" t="n">
        <v>330</v>
      </c>
      <c r="H419" s="23" t="n">
        <v>10</v>
      </c>
      <c r="I419" s="23" t="n">
        <v>7</v>
      </c>
      <c r="J419" s="23" t="inlineStr">
        <is>
          <t>978-5-227-09596-1</t>
        </is>
      </c>
      <c r="K419" s="23" t="inlineStr">
        <is>
          <t>75x100 1/32</t>
        </is>
      </c>
      <c r="L419" s="23" t="inlineStr">
        <is>
          <t>мяг</t>
        </is>
      </c>
      <c r="M419" s="23" t="n">
        <v>448</v>
      </c>
      <c r="N419" s="23" t="n">
        <v>2021</v>
      </c>
      <c r="O419" s="23" t="n">
        <v>220</v>
      </c>
      <c r="P419" s="23" t="n"/>
      <c r="Q419" s="23" t="n"/>
      <c r="R419" s="25" t="n"/>
      <c r="S419" s="26">
        <f>HYPERLINK("http://www.cnpol.ru/covers/19778.jpg","фото на сайте")</f>
        <v/>
      </c>
    </row>
    <row r="420" ht="50.1" customHeight="1" s="3">
      <c r="A420" s="23" t="inlineStr">
        <is>
          <t>Д</t>
        </is>
      </c>
      <c r="B420" s="24" t="inlineStr">
        <is>
          <t>21667</t>
        </is>
      </c>
      <c r="C420" s="23" t="inlineStr">
        <is>
          <t>ДЕТЕКТИВ</t>
        </is>
      </c>
      <c r="D420" s="23" t="inlineStr">
        <is>
          <t>Герритсен Т.</t>
        </is>
      </c>
      <c r="E420" s="23" t="inlineStr">
        <is>
          <t>Надежда умирает последней</t>
        </is>
      </c>
      <c r="F420" s="23" t="inlineStr">
        <is>
          <t>        </t>
        </is>
      </c>
      <c r="G420" s="23" t="n">
        <v>330</v>
      </c>
      <c r="H420" s="23" t="n">
        <v>10</v>
      </c>
      <c r="I420" s="23" t="n">
        <v>10</v>
      </c>
      <c r="J420" s="23" t="inlineStr">
        <is>
          <t>978-5-227-11043-5</t>
        </is>
      </c>
      <c r="K420" s="23" t="inlineStr">
        <is>
          <t>75x100 1/32</t>
        </is>
      </c>
      <c r="L420" s="23" t="inlineStr">
        <is>
          <t>мяг</t>
        </is>
      </c>
      <c r="M420" s="23" t="n">
        <v>287</v>
      </c>
      <c r="N420" s="23" t="n">
        <v>2024</v>
      </c>
      <c r="O420" s="23" t="n">
        <v>149</v>
      </c>
      <c r="P420" s="23" t="n"/>
      <c r="Q420" s="23" t="n"/>
      <c r="R420" s="25" t="inlineStr">
        <is>
          <t>Билл Мэйтленд по прозвищу Дикарь Билл, отважный человек и первоклассный летчик, летал в самое пекло и возвращался как ни в чем не бывало. Но однажды его самолет разбился в джунглях Вьетнама. Дикарь Билл пропал без вести. Спустя двадцать лет его дочь, Вилли Мэйтленд, отправилась на поиски отца. Военные чины, уверенные в том, что Мэйтленд погиб, не смогли убедить ее в бессмысленности затеи. Ни угрозы, ни покушения на ее жизнь не остановили девушку. Армейский чиновник США, Гай Барнард, тоже разыскивает пропавшего летчика. Смелый, умный и обаятельный человек, отлично знающий Вьетнам, Барнард предлагает Вилли помощь и поддержку. В отчаянной гонке со смертью в чужой стране они не сразу понимают, что их связывает нечто большее, чем общая цель путешествия...</t>
        </is>
      </c>
      <c r="S420" s="26">
        <f>HYPERLINK("http://www.cnpol.ru/covers/21667.jpg","фото на сайте")</f>
        <v/>
      </c>
    </row>
    <row r="421" ht="50.1" customHeight="1" s="3">
      <c r="A421" s="23" t="inlineStr">
        <is>
          <t>Д</t>
        </is>
      </c>
      <c r="B421" s="24" t="inlineStr">
        <is>
          <t>21915</t>
        </is>
      </c>
      <c r="C421" s="23" t="inlineStr">
        <is>
          <t>ДЕТЕКТИВ</t>
        </is>
      </c>
      <c r="D421" s="23" t="inlineStr">
        <is>
          <t>Фитцек С.</t>
        </is>
      </c>
      <c r="E421" s="23" t="inlineStr">
        <is>
          <t>Ночь вне закона</t>
        </is>
      </c>
      <c r="F421" s="23" t="inlineStr">
        <is>
          <t>        </t>
        </is>
      </c>
      <c r="G421" s="23" t="n">
        <v>330</v>
      </c>
      <c r="H421" s="23" t="n">
        <v>10</v>
      </c>
      <c r="I421" s="23" t="n">
        <v>10</v>
      </c>
      <c r="J421" s="23" t="inlineStr">
        <is>
          <t>978-5-227-10300-0</t>
        </is>
      </c>
      <c r="K421" s="23" t="inlineStr">
        <is>
          <t>75x100 1/32</t>
        </is>
      </c>
      <c r="L421" s="23" t="inlineStr">
        <is>
          <t>мяг</t>
        </is>
      </c>
      <c r="M421" s="23" t="n">
        <v>287</v>
      </c>
      <c r="N421" s="23" t="n">
        <v>2023</v>
      </c>
      <c r="O421" s="23" t="n">
        <v>702</v>
      </c>
      <c r="P421" s="23" t="n"/>
      <c r="Q421" s="23" t="n"/>
      <c r="R421" s="25" t="inlineStr">
        <is>
          <t>Ночь вне закона — так называется лотерея смерти, набирающая популярность в Интернете. Каждый желающий сообщает имя человека, которого считает недостойным жить. Результат объявляют в символичное время — 8 августа в 8:08 вечера. Теперь известны две жертвы, на которых объявлена охота. Этих людей можно не только безнаказанно убить, но еще и получить за это приз — 10 миллионов евро. Беньямин Рюман, безработный музыкант неудачник, неожиданно для себя понимает, что он — один из обре­ченных. Попав в отчаянное положение, он вынужден продолжать участвовать в безумной игре, так как в противном случае от яда умрет его дочь.</t>
        </is>
      </c>
      <c r="S421" s="26">
        <f>HYPERLINK("http://www.cnpol.ru/covers/21915.jpg","фото на сайте")</f>
        <v/>
      </c>
    </row>
    <row r="422" ht="50.1" customHeight="1" s="3">
      <c r="A422" s="23" t="inlineStr">
        <is>
          <t>Д</t>
        </is>
      </c>
      <c r="B422" s="24" t="inlineStr">
        <is>
          <t>21710</t>
        </is>
      </c>
      <c r="C422" s="23" t="inlineStr">
        <is>
          <t>ДЕТЕКТИВ</t>
        </is>
      </c>
      <c r="D422" s="23" t="inlineStr">
        <is>
          <t>Фитцек С.</t>
        </is>
      </c>
      <c r="E422" s="23" t="inlineStr">
        <is>
          <t>Осколок</t>
        </is>
      </c>
      <c r="F422" s="23" t="inlineStr">
        <is>
          <t>        </t>
        </is>
      </c>
      <c r="G422" s="23" t="n">
        <v>330</v>
      </c>
      <c r="H422" s="23" t="n">
        <v>10</v>
      </c>
      <c r="I422" s="23" t="n">
        <v>9</v>
      </c>
      <c r="J422" s="23" t="inlineStr">
        <is>
          <t>978-5-227-10377-2</t>
        </is>
      </c>
      <c r="K422" s="23" t="inlineStr">
        <is>
          <t>84x108 1/32 (обл)</t>
        </is>
      </c>
      <c r="L422" s="23" t="inlineStr">
        <is>
          <t>мяг</t>
        </is>
      </c>
      <c r="M422" s="23" t="n">
        <v>287</v>
      </c>
      <c r="N422" s="23" t="n">
        <v>2023</v>
      </c>
      <c r="O422" s="23" t="n">
        <v>146</v>
      </c>
      <c r="P422" s="23" t="n"/>
      <c r="Q422" s="23" t="n"/>
      <c r="R422" s="25" t="inlineStr">
        <is>
          <t>Намного сильнее, чем от застрявшего в голове осколка, Марк Лукас страдает от душевной боли из-за автомобильной аварии, виновником которой стал, потому что в ней погибла его жена и нерожденный ребенок. Марк обретает надежду вернуться к жизни, когда узнает о психиатрическом эксперименте, который мог бы избавить его от нестерпимых, мучительных воспоминаний. Но после первого визита в клинику с ним происходит нечто пугающе странное. Список контактов в телефоне оказывается пуст. Ключ от квартиры Марка больше не подходит к замку. На табличке обозначено чужое имя. А когда на его звонок дверь открывается изнутри, Марк попадает в свой самый жуткий кошмар…</t>
        </is>
      </c>
      <c r="S422" s="26">
        <f>HYPERLINK("http://www.cnpol.ru/covers/21710.jpg","фото на сайте")</f>
        <v/>
      </c>
    </row>
    <row r="423" ht="50.1" customHeight="1" s="3">
      <c r="A423" s="23" t="inlineStr">
        <is>
          <t>Д</t>
        </is>
      </c>
      <c r="B423" s="24" t="inlineStr">
        <is>
          <t>21779</t>
        </is>
      </c>
      <c r="C423" s="23" t="inlineStr">
        <is>
          <t>ДЕТЕКТИВ</t>
        </is>
      </c>
      <c r="D423" s="23" t="inlineStr">
        <is>
          <t>Бёгле Н.</t>
        </is>
      </c>
      <c r="E423" s="23" t="inlineStr">
        <is>
          <t>Остров Дьявола</t>
        </is>
      </c>
      <c r="F423" s="23" t="inlineStr">
        <is>
          <t>        </t>
        </is>
      </c>
      <c r="G423" s="23" t="n">
        <v>330</v>
      </c>
      <c r="H423" s="23" t="n">
        <v>10</v>
      </c>
      <c r="I423" s="23" t="n">
        <v>30</v>
      </c>
      <c r="J423" s="23" t="inlineStr">
        <is>
          <t>978-5-227-11128-9</t>
        </is>
      </c>
      <c r="K423" s="23" t="inlineStr">
        <is>
          <t>75x100 1/32</t>
        </is>
      </c>
      <c r="L423" s="23" t="inlineStr">
        <is>
          <t>мяг</t>
        </is>
      </c>
      <c r="M423" s="23" t="n">
        <v>222</v>
      </c>
      <c r="N423" s="23" t="n">
        <v>2025</v>
      </c>
      <c r="O423" s="23" t="n">
        <v>116</v>
      </c>
      <c r="P423" s="23" t="n"/>
      <c r="Q423" s="23" t="n"/>
      <c r="R423" s="25" t="inlineStr">
        <is>
          <t>Инспектор норвежской полиции Сара Геринген оправдана после года, проведенного в тюрьме по обвинению в служебном преступлении. В день, когда ей предстоит выйти на свободу, на нее обрушивается новый удар: зверски убит ее отец. Перед смертью его жестоко пытали, руки изуродованы, в животе найден ключ, а труп посыпан странным белым порошком. Полицейский начальник Сары предлагает ей заняться поисками убийцы. Однако по закону в случае происшествий с родственниками это недопустимо, и формально руководить расследованием он назначает молодого офицера Адриана Колла. Это сотрудничество приносит первые успехи. Инициативный Колл обращает внимание Сары на важные детали, и вскоре они попадают в затерянный в лесу старый особняк. Отсюда начинается  полный испытаний путь Сары к разгадке ужасающей семейной тайны.</t>
        </is>
      </c>
      <c r="S423" s="26">
        <f>HYPERLINK("http://www.cnpol.ru/covers/21779.jpg","фото на сайте")</f>
        <v/>
      </c>
    </row>
    <row r="424" ht="50.1" customHeight="1" s="3">
      <c r="A424" s="23" t="n"/>
      <c r="B424" s="24" t="inlineStr">
        <is>
          <t>17614</t>
        </is>
      </c>
      <c r="C424" s="23" t="inlineStr">
        <is>
          <t>ДЕТЕКТИВ</t>
        </is>
      </c>
      <c r="D424" s="23" t="inlineStr">
        <is>
          <t>Пирс Р.</t>
        </is>
      </c>
      <c r="E424" s="23" t="inlineStr">
        <is>
          <t>От имени государства</t>
        </is>
      </c>
      <c r="F424" s="23" t="inlineStr">
        <is>
          <t>        </t>
        </is>
      </c>
      <c r="G424" s="23" t="n">
        <v>330</v>
      </c>
      <c r="H424" s="23" t="n">
        <v>10</v>
      </c>
      <c r="I424" s="23" t="n">
        <v>14</v>
      </c>
      <c r="J424" s="23" t="inlineStr">
        <is>
          <t>978-5-227-07622-9</t>
        </is>
      </c>
      <c r="K424" s="23" t="inlineStr">
        <is>
          <t>75x100 1/32</t>
        </is>
      </c>
      <c r="L424" s="23" t="inlineStr">
        <is>
          <t>мяг</t>
        </is>
      </c>
      <c r="M424" s="23" t="n">
        <v>448</v>
      </c>
      <c r="N424" s="23" t="n">
        <v>2017</v>
      </c>
      <c r="O424" s="23" t="n">
        <v>220</v>
      </c>
      <c r="P424" s="23" t="n"/>
      <c r="Q424" s="23" t="n"/>
      <c r="R424" s="25" t="n"/>
      <c r="S424" s="26">
        <f>HYPERLINK("http://www.cnpol.ru/covers/17614.jpg","фото на сайте")</f>
        <v/>
      </c>
    </row>
    <row r="425" ht="50.1" customHeight="1" s="3">
      <c r="A425" s="23" t="inlineStr">
        <is>
          <t>Д</t>
        </is>
      </c>
      <c r="B425" s="24" t="inlineStr">
        <is>
          <t>21614</t>
        </is>
      </c>
      <c r="C425" s="23" t="inlineStr">
        <is>
          <t>ДЕТЕКТИВ</t>
        </is>
      </c>
      <c r="D425" s="23" t="inlineStr">
        <is>
          <t>Фитцек С.</t>
        </is>
      </c>
      <c r="E425" s="23" t="inlineStr">
        <is>
          <t>Отрезанный</t>
        </is>
      </c>
      <c r="F425" s="23" t="inlineStr">
        <is>
          <t>        </t>
        </is>
      </c>
      <c r="G425" s="23" t="n">
        <v>375</v>
      </c>
      <c r="H425" s="23" t="n">
        <v>10</v>
      </c>
      <c r="I425" s="23" t="n">
        <v>8</v>
      </c>
      <c r="J425" s="23" t="inlineStr">
        <is>
          <t>978-5-227-11034-3</t>
        </is>
      </c>
      <c r="K425" s="23" t="inlineStr">
        <is>
          <t>75x100 1/32</t>
        </is>
      </c>
      <c r="L425" s="23" t="inlineStr">
        <is>
          <t>мяг</t>
        </is>
      </c>
      <c r="M425" s="23" t="n">
        <v>383</v>
      </c>
      <c r="N425" s="23" t="n">
        <v>2023</v>
      </c>
      <c r="O425" s="23" t="n">
        <v>196</v>
      </c>
      <c r="P425" s="23" t="n"/>
      <c r="Q425" s="23" t="n"/>
      <c r="R425" s="25" t="inlineStr">
        <is>
          <t>Ведущий судмедэксперт Федерального ведомства уголовной полиции Германии Пауль Херцфельд нашел в голове чудовищно изуродованного женского трупа записку с номером телефона своей дочери Ханны. Оказывается, девочка похищена, и злоумышленник с извращенным сознанием вовлекает Пауля в смертельно опасную игру, оставляя призрачную надежду спасти дочь. Очередное указание о дальнейших действиях спрятано еще в одном трупе, который находится на северном острове Гельголанд. Однако Херцфельд не имеет шансов получить информацию. Мощный циклон отрезал остров от материка, население уже эвакуировали. Среди немногих, кто остался, художница комиксов Линда. Она и обнаружила на пляже мертвеца. Отчаявшийся отец пытается уговорить ее провести вскрытие по его телефонным инструкциям. Но Линда никогда не касалась скальпеля. Не говоря уже о том, чтобы рассекать человеческое тело...</t>
        </is>
      </c>
      <c r="S425" s="26">
        <f>HYPERLINK("http://www.cnpol.ru/covers/21614.jpg","фото на сайте")</f>
        <v/>
      </c>
    </row>
    <row r="426" ht="50.1" customHeight="1" s="3">
      <c r="A426" s="23" t="n"/>
      <c r="B426" s="24" t="inlineStr">
        <is>
          <t>19981</t>
        </is>
      </c>
      <c r="C426" s="23" t="inlineStr">
        <is>
          <t>ДЕТЕКТИВ</t>
        </is>
      </c>
      <c r="D426" s="23" t="inlineStr">
        <is>
          <t>Бонда К.</t>
        </is>
      </c>
      <c r="E426" s="23" t="inlineStr">
        <is>
          <t>Очкарик</t>
        </is>
      </c>
      <c r="F426" s="23" t="inlineStr">
        <is>
          <t>        </t>
        </is>
      </c>
      <c r="G426" s="23" t="n">
        <v>437</v>
      </c>
      <c r="H426" s="23" t="n">
        <v>10</v>
      </c>
      <c r="I426" s="23" t="n">
        <v>10</v>
      </c>
      <c r="J426" s="23" t="inlineStr">
        <is>
          <t>978-5-227-09633-3</t>
        </is>
      </c>
      <c r="K426" s="23" t="inlineStr">
        <is>
          <t>75x100 1/32</t>
        </is>
      </c>
      <c r="L426" s="23" t="inlineStr">
        <is>
          <t>мяг</t>
        </is>
      </c>
      <c r="M426" s="23" t="n">
        <v>639</v>
      </c>
      <c r="N426" s="23" t="n">
        <v>2021</v>
      </c>
      <c r="O426" s="23" t="n">
        <v>700</v>
      </c>
      <c r="P426" s="23" t="n"/>
      <c r="Q426" s="23" t="n"/>
      <c r="R426" s="25" t="n"/>
      <c r="S426" s="26">
        <f>HYPERLINK("http://www.cnpol.ru/covers/19981.jpg","фото на сайте")</f>
        <v/>
      </c>
    </row>
    <row r="427" ht="50.1" customHeight="1" s="3">
      <c r="A427" s="23" t="inlineStr">
        <is>
          <t>Д</t>
        </is>
      </c>
      <c r="B427" s="24" t="inlineStr">
        <is>
          <t>21232</t>
        </is>
      </c>
      <c r="C427" s="23" t="inlineStr">
        <is>
          <t>ДЕТЕКТИВ</t>
        </is>
      </c>
      <c r="D427" s="23" t="inlineStr">
        <is>
          <t>Бёгле Н.</t>
        </is>
      </c>
      <c r="E427" s="23" t="inlineStr">
        <is>
          <t>Пассажир без лица</t>
        </is>
      </c>
      <c r="F427" s="23" t="inlineStr">
        <is>
          <t>        </t>
        </is>
      </c>
      <c r="G427" s="23" t="n">
        <v>330</v>
      </c>
      <c r="H427" s="23" t="n">
        <v>10</v>
      </c>
      <c r="I427" s="23" t="n">
        <v>20</v>
      </c>
      <c r="J427" s="23" t="inlineStr">
        <is>
          <t>978-5-227-10746-6</t>
        </is>
      </c>
      <c r="K427" s="23" t="inlineStr">
        <is>
          <t>75x100 1/32</t>
        </is>
      </c>
      <c r="L427" s="23" t="inlineStr">
        <is>
          <t>мяг</t>
        </is>
      </c>
      <c r="M427" s="23" t="n">
        <v>287</v>
      </c>
      <c r="N427" s="23" t="n">
        <v>2024</v>
      </c>
      <c r="O427" s="23" t="n">
        <v>148</v>
      </c>
      <c r="P427" s="23" t="n"/>
      <c r="Q427" s="23" t="n"/>
      <c r="R427" s="25" t="inlineStr">
        <is>
          <t>«Ты ищешь не одна». Это анонимное послание, оставленное на коврике у входной двери, произвело эффект сильнее удара электрошокера. Инспектор шотландской полиции Грейс Кемпбелл поняла, что на этот раз у нее нет выбора. Она должна открыть давно запертую дверь тайной комнаты, расположенной в глубине ее квартиры. И встретиться лицом к лицу с жуткой историей, которая преследовала ее столько лет…</t>
        </is>
      </c>
      <c r="S427" s="26">
        <f>HYPERLINK("http://www.cnpol.ru/covers/21232.jpg","фото на сайте")</f>
        <v/>
      </c>
    </row>
    <row r="428" ht="50.1" customHeight="1" s="3">
      <c r="A428" s="23" t="n"/>
      <c r="B428" s="24" t="inlineStr">
        <is>
          <t>20703</t>
        </is>
      </c>
      <c r="C428" s="23" t="inlineStr">
        <is>
          <t>ДЕТЕКТИВ</t>
        </is>
      </c>
      <c r="D428" s="23" t="inlineStr">
        <is>
          <t>Фитцек С.</t>
        </is>
      </c>
      <c r="E428" s="23" t="inlineStr">
        <is>
          <t>Пациент особой клиники</t>
        </is>
      </c>
      <c r="F428" s="23" t="inlineStr">
        <is>
          <t>        </t>
        </is>
      </c>
      <c r="G428" s="23" t="n">
        <v>330</v>
      </c>
      <c r="H428" s="23" t="n">
        <v>10</v>
      </c>
      <c r="I428" s="23" t="n">
        <v>16</v>
      </c>
      <c r="J428" s="23" t="inlineStr">
        <is>
          <t>978-5-227-10379-6</t>
        </is>
      </c>
      <c r="K428" s="23" t="inlineStr">
        <is>
          <t>75x100 1/32</t>
        </is>
      </c>
      <c r="L428" s="23" t="inlineStr">
        <is>
          <t>мяг</t>
        </is>
      </c>
      <c r="M428" s="23" t="n">
        <v>352</v>
      </c>
      <c r="N428" s="23" t="n">
        <v>2023</v>
      </c>
      <c r="O428" s="23" t="n">
        <v>172</v>
      </c>
      <c r="P428" s="23" t="n"/>
      <c r="Q428" s="23" t="n"/>
      <c r="R428" s="25" t="inlineStr">
        <is>
          <t>У Тилля Беркхоффа бесследно пропадает сын Макс. Все улики свидетельствуют о том, что мальчик стал жертвой маньяка Гвидо Трамница. Преступник арестован полицией и признался в похищении и убийстве нескольких маленьких детей. Место их захоронения серийный убийца  указал, однако о судьбе Макса хранит упорное молчание. Суд признает садиста невменяемым и отправляет его в строго охраняемую  психиатрическую лечебницу. Следствию известно о том, что психопат вел дневник, где описывал все, что сделал с жертвами, но найти записи не удалось. Отчаявшийся отец обращается за содействием к знакомому сотруднику полиции, и тот делает ему невероятное предложение: стать пациентом этой особой клиники. Так он сможет оказаться ближе к детоубийце и заставить его признаться. Того, чем обернется эта отчаянная попытка, не ожидал никто.</t>
        </is>
      </c>
      <c r="S428" s="26">
        <f>HYPERLINK("http://www.cnpol.ru/covers/20703.jpg","фото на сайте")</f>
        <v/>
      </c>
    </row>
    <row r="429" ht="50.1" customHeight="1" s="3">
      <c r="A429" s="23" t="inlineStr">
        <is>
          <t>Д</t>
        </is>
      </c>
      <c r="B429" s="24" t="inlineStr">
        <is>
          <t>21825</t>
        </is>
      </c>
      <c r="C429" s="23" t="inlineStr">
        <is>
          <t>ДЕТЕКТИВ</t>
        </is>
      </c>
      <c r="D429" s="23" t="inlineStr">
        <is>
          <t>Фитцек С.</t>
        </is>
      </c>
      <c r="E429" s="23" t="inlineStr">
        <is>
          <t>Пациент особой клиники</t>
        </is>
      </c>
      <c r="F429" s="23" t="inlineStr">
        <is>
          <t>        </t>
        </is>
      </c>
      <c r="G429" s="23" t="n">
        <v>330</v>
      </c>
      <c r="H429" s="23" t="n">
        <v>10</v>
      </c>
      <c r="I429" s="23" t="n">
        <v>8</v>
      </c>
      <c r="J429" s="23" t="inlineStr">
        <is>
          <t>978-5-227-11135-7</t>
        </is>
      </c>
      <c r="K429" s="23" t="inlineStr">
        <is>
          <t>75x100 1/32</t>
        </is>
      </c>
      <c r="L429" s="23" t="inlineStr">
        <is>
          <t>мяг</t>
        </is>
      </c>
      <c r="M429" s="23" t="n">
        <v>351</v>
      </c>
      <c r="N429" s="23" t="n">
        <v>2025</v>
      </c>
      <c r="O429" s="23" t="n">
        <v>176</v>
      </c>
      <c r="P429" s="23" t="n"/>
      <c r="Q429" s="23" t="n"/>
      <c r="R429" s="25" t="inlineStr">
        <is>
          <t>Серийный убийца Гвидо Трамниц арестован, признан невменяемым и теперь отбывает срок в психиатрической лечебнице-тюрьме строгого режима. Он уже признался в двух зверских убийствах детей и указал полиции, где спрятал их изуродованные трупы. Однако есть еще один ребенок – шестилетний Макс, пропавший три месяца назад. Следователь, ведущий дело и обладающий лишь косвенными доказательствами, уверен, что это похищение – дело рук Трамница, но маньяк упорно молчит по совету своего адвоката…_x000D_
Отец Макса – Тилль Беркхофф – не желает сидеть сложа руки и решается на опасный эксперимент. В качестве фиктивного пациента он проникает в психиатрическую больницу, где содержат Трамница. Мужчина надеется расколоть маньяка. Он уверен, что нет ничего хуже неопределенности. Но в стенах, где правят отчаяние и безумие, ему предстоит узнать, что есть вещи гораздо хуже…</t>
        </is>
      </c>
      <c r="S429" s="26">
        <f>HYPERLINK("http://www.cnpol.ru/covers/21825.jpg","фото на сайте")</f>
        <v/>
      </c>
    </row>
    <row r="430" ht="50.1" customHeight="1" s="3">
      <c r="A430" s="23" t="n"/>
      <c r="B430" s="24" t="inlineStr">
        <is>
          <t>20445</t>
        </is>
      </c>
      <c r="C430" s="23" t="inlineStr">
        <is>
          <t>ДЕТЕКТИВ</t>
        </is>
      </c>
      <c r="D430" s="23" t="inlineStr">
        <is>
          <t>Абалос Р.</t>
        </is>
      </c>
      <c r="E430" s="23" t="inlineStr">
        <is>
          <t>Пелена страха</t>
        </is>
      </c>
      <c r="F430" s="23" t="inlineStr">
        <is>
          <t>        </t>
        </is>
      </c>
      <c r="G430" s="23" t="n">
        <v>330</v>
      </c>
      <c r="H430" s="23" t="n">
        <v>10</v>
      </c>
      <c r="I430" s="23" t="n">
        <v>8</v>
      </c>
      <c r="J430" s="23" t="inlineStr">
        <is>
          <t>978-5-227-10187-7</t>
        </is>
      </c>
      <c r="K430" s="23" t="inlineStr">
        <is>
          <t>75x100 1/32</t>
        </is>
      </c>
      <c r="L430" s="23" t="inlineStr">
        <is>
          <t>мяг</t>
        </is>
      </c>
      <c r="M430" s="23" t="n">
        <v>383</v>
      </c>
      <c r="N430" s="23" t="n">
        <v>2022</v>
      </c>
      <c r="O430" s="23" t="n">
        <v>196</v>
      </c>
      <c r="P430" s="23" t="n"/>
      <c r="Q430" s="23" t="n"/>
      <c r="R430" s="25" t="inlineStr">
        <is>
          <t>В Лейпциге у знаменитого памятника Битве народов обнаружены трупы пяти девушек. Сотрудники отдела по расследованию убийств пережили шок, когда увидели место преступления, которое было больше похоже на театральную мизансцену. Тела девушек в эротичном нижнем белье лежали в саркофагах, мастерски изображенных на холстах в трех измерениях, отчего при взгляде сверху у зрителя создавалось впечатление, что перед ним настоящее открытое захоронение. При ближайшем рассмотрении белье тоже оказывается нарисованным на обнаженных телах, на их спинах обнаруживают нарисованные раны, из которых торчат кинжалы со странным символом на рукояти...</t>
        </is>
      </c>
      <c r="S430" s="26">
        <f>HYPERLINK("http://www.cnpol.ru/covers/20445.jpg","фото на сайте")</f>
        <v/>
      </c>
    </row>
    <row r="431" ht="50.1" customHeight="1" s="3">
      <c r="A431" s="23" t="n"/>
      <c r="B431" s="24" t="inlineStr">
        <is>
          <t>16796</t>
        </is>
      </c>
      <c r="C431" s="23" t="inlineStr">
        <is>
          <t>ДЕТЕКТИВ</t>
        </is>
      </c>
      <c r="D431" s="23" t="inlineStr">
        <is>
          <t>Аткинс Э.</t>
        </is>
      </c>
      <c r="E431" s="23" t="inlineStr">
        <is>
          <t>По закону плохих парней</t>
        </is>
      </c>
      <c r="F431" s="23" t="inlineStr">
        <is>
          <t>        </t>
        </is>
      </c>
      <c r="G431" s="23" t="n">
        <v>330</v>
      </c>
      <c r="H431" s="23" t="n">
        <v>10</v>
      </c>
      <c r="I431" s="23" t="n">
        <v>24</v>
      </c>
      <c r="J431" s="23" t="inlineStr">
        <is>
          <t>978-5-227-06770-8</t>
        </is>
      </c>
      <c r="K431" s="23" t="inlineStr">
        <is>
          <t>75x100 1/32</t>
        </is>
      </c>
      <c r="L431" s="23" t="inlineStr">
        <is>
          <t>мяг</t>
        </is>
      </c>
      <c r="M431" s="23" t="n">
        <v>288</v>
      </c>
      <c r="N431" s="23" t="n">
        <v>2016</v>
      </c>
      <c r="O431" s="23" t="n">
        <v>144</v>
      </c>
      <c r="P431" s="23" t="n"/>
      <c r="Q431" s="23" t="n"/>
      <c r="R431" s="25" t="n"/>
      <c r="S431" s="26">
        <f>HYPERLINK("http://www.cnpol.ru/covers/16796.jpg","фото на сайте")</f>
        <v/>
      </c>
    </row>
    <row r="432" ht="50.1" customHeight="1" s="3">
      <c r="A432" s="23" t="inlineStr">
        <is>
          <t>Д</t>
        </is>
      </c>
      <c r="B432" s="24" t="inlineStr">
        <is>
          <t>21613</t>
        </is>
      </c>
      <c r="C432" s="23" t="inlineStr">
        <is>
          <t>ДЕТЕКТИВ</t>
        </is>
      </c>
      <c r="D432" s="23" t="inlineStr">
        <is>
          <t>Герритсен Т.</t>
        </is>
      </c>
      <c r="E432" s="23" t="inlineStr">
        <is>
          <t>По их следам</t>
        </is>
      </c>
      <c r="F432" s="23" t="inlineStr">
        <is>
          <t>        </t>
        </is>
      </c>
      <c r="G432" s="23" t="n">
        <v>330</v>
      </c>
      <c r="H432" s="23" t="n">
        <v>10</v>
      </c>
      <c r="I432" s="23" t="n">
        <v>9</v>
      </c>
      <c r="J432" s="23" t="inlineStr">
        <is>
          <t>978-5-227-11033-6</t>
        </is>
      </c>
      <c r="K432" s="23" t="inlineStr">
        <is>
          <t>75x100 1/32</t>
        </is>
      </c>
      <c r="L432" s="23" t="inlineStr">
        <is>
          <t>мяг</t>
        </is>
      </c>
      <c r="M432" s="23" t="n">
        <v>287</v>
      </c>
      <c r="N432" s="23" t="n">
        <v>2024</v>
      </c>
      <c r="O432" s="23" t="n">
        <v>147</v>
      </c>
      <c r="P432" s="23" t="n"/>
      <c r="Q432" s="23" t="n"/>
      <c r="R432" s="25" t="inlineStr">
        <is>
          <t>Отец и мать Джордана и Берил Тэвисток, агенты британской секретной службы, были убиты в Париже при загадочных обстоятельствах. Осиротевших детей воспитал их дядя Хью, в прошлом также разведчик. На вечеринке в доме дяди от подвыпивших гостей брат и сестра узнают, что двадцать лет назад полиция и спецслужбы пришли к выводу, что предатель Бернард Тэвисток убил свою жену и затем совершил самоубийство. Берил и Джордан уверены в том, что дело было сфабриковано, но как это доказать? Брат и сестра отправляются в Париж, чтобы докопаться до истины и защитить доброе имя своих родителей...</t>
        </is>
      </c>
      <c r="S432" s="26">
        <f>HYPERLINK("http://www.cnpol.ru/covers/21613.jpg","фото на сайте")</f>
        <v/>
      </c>
    </row>
    <row r="433" ht="50.1" customHeight="1" s="3">
      <c r="A433" s="23" t="n"/>
      <c r="B433" s="24" t="inlineStr">
        <is>
          <t>17741</t>
        </is>
      </c>
      <c r="C433" s="23" t="inlineStr">
        <is>
          <t>ДЕТЕКТИВ</t>
        </is>
      </c>
      <c r="D433" s="23" t="inlineStr">
        <is>
          <t>Перссон Лейф Г.В.</t>
        </is>
      </c>
      <c r="E433" s="23" t="inlineStr">
        <is>
          <t>Подлинная история носа Пиноккио</t>
        </is>
      </c>
      <c r="F433" s="23" t="inlineStr">
        <is>
          <t>        </t>
        </is>
      </c>
      <c r="G433" s="23" t="n">
        <v>391</v>
      </c>
      <c r="H433" s="23" t="n">
        <v>10</v>
      </c>
      <c r="I433" s="23" t="n">
        <v>12</v>
      </c>
      <c r="J433" s="23" t="inlineStr">
        <is>
          <t>978-5-227-07329-7</t>
        </is>
      </c>
      <c r="K433" s="23" t="inlineStr">
        <is>
          <t>75x100 1/32</t>
        </is>
      </c>
      <c r="L433" s="23" t="inlineStr">
        <is>
          <t>мяг</t>
        </is>
      </c>
      <c r="M433" s="23" t="n">
        <v>544</v>
      </c>
      <c r="N433" s="23" t="n">
        <v>2017</v>
      </c>
      <c r="O433" s="23" t="n">
        <v>268</v>
      </c>
      <c r="P433" s="23" t="n"/>
      <c r="Q433" s="23" t="n"/>
      <c r="R433" s="25" t="n"/>
      <c r="S433" s="26">
        <f>HYPERLINK("http://www.cnpol.ru/covers/17741.jpg","фото на сайте")</f>
        <v/>
      </c>
    </row>
    <row r="434" ht="50.1" customHeight="1" s="3">
      <c r="A434" s="23" t="n"/>
      <c r="B434" s="24" t="inlineStr">
        <is>
          <t>17572</t>
        </is>
      </c>
      <c r="C434" s="23" t="inlineStr">
        <is>
          <t>ДЕТЕКТИВ</t>
        </is>
      </c>
      <c r="D434" s="23" t="inlineStr">
        <is>
          <t>Марклунд Л.</t>
        </is>
      </c>
      <c r="E434" s="23" t="inlineStr">
        <is>
          <t>Пожизненный срок</t>
        </is>
      </c>
      <c r="F434" s="23" t="inlineStr">
        <is>
          <t>        </t>
        </is>
      </c>
      <c r="G434" s="23" t="n">
        <v>330</v>
      </c>
      <c r="H434" s="23" t="n">
        <v>10</v>
      </c>
      <c r="I434" s="23" t="n">
        <v>16</v>
      </c>
      <c r="J434" s="23" t="inlineStr">
        <is>
          <t>978-5-227-07597-0</t>
        </is>
      </c>
      <c r="K434" s="23" t="inlineStr">
        <is>
          <t>75x100 1/32</t>
        </is>
      </c>
      <c r="L434" s="23" t="inlineStr">
        <is>
          <t>мяг</t>
        </is>
      </c>
      <c r="M434" s="23" t="n">
        <v>416</v>
      </c>
      <c r="N434" s="23" t="n">
        <v>2017</v>
      </c>
      <c r="O434" s="23" t="n">
        <v>204</v>
      </c>
      <c r="P434" s="23" t="n"/>
      <c r="Q434" s="23" t="n"/>
      <c r="R434" s="25" t="n"/>
      <c r="S434" s="26">
        <f>HYPERLINK("http://www.cnpol.ru/covers/17572.jpg","фото на сайте")</f>
        <v/>
      </c>
    </row>
    <row r="435" ht="50.1" customHeight="1" s="3">
      <c r="A435" s="23" t="n"/>
      <c r="B435" s="24" t="inlineStr">
        <is>
          <t>17551</t>
        </is>
      </c>
      <c r="C435" s="23" t="inlineStr">
        <is>
          <t>ДЕТЕКТИВ</t>
        </is>
      </c>
      <c r="D435" s="23" t="inlineStr">
        <is>
          <t>Хайес С.</t>
        </is>
      </c>
      <c r="E435" s="23" t="inlineStr">
        <is>
          <t>Пока ты моя</t>
        </is>
      </c>
      <c r="F435" s="23" t="inlineStr">
        <is>
          <t>        </t>
        </is>
      </c>
      <c r="G435" s="23" t="n">
        <v>330</v>
      </c>
      <c r="H435" s="23" t="n">
        <v>10</v>
      </c>
      <c r="I435" s="23" t="n">
        <v>16</v>
      </c>
      <c r="J435" s="23" t="inlineStr">
        <is>
          <t>978-5-227-07596-3</t>
        </is>
      </c>
      <c r="K435" s="23" t="inlineStr">
        <is>
          <t>75x100 1/32</t>
        </is>
      </c>
      <c r="L435" s="23" t="inlineStr">
        <is>
          <t>мяг</t>
        </is>
      </c>
      <c r="M435" s="23" t="n">
        <v>416</v>
      </c>
      <c r="N435" s="23" t="n">
        <v>2017</v>
      </c>
      <c r="O435" s="23" t="n">
        <v>206</v>
      </c>
      <c r="P435" s="23" t="n"/>
      <c r="Q435" s="23" t="n"/>
      <c r="R435" s="25" t="n"/>
      <c r="S435" s="26">
        <f>HYPERLINK("http://www.cnpol.ru/covers/17551.jpg","фото на сайте")</f>
        <v/>
      </c>
    </row>
    <row r="436" ht="50.1" customHeight="1" s="3">
      <c r="A436" s="23" t="inlineStr">
        <is>
          <t>Д</t>
        </is>
      </c>
      <c r="B436" s="24" t="inlineStr">
        <is>
          <t>21780</t>
        </is>
      </c>
      <c r="C436" s="23" t="inlineStr">
        <is>
          <t>ДЕТЕКТИВ</t>
        </is>
      </c>
      <c r="D436" s="23" t="inlineStr">
        <is>
          <t>Бёгле Н.</t>
        </is>
      </c>
      <c r="E436" s="23" t="inlineStr">
        <is>
          <t>Последнее послание</t>
        </is>
      </c>
      <c r="F436" s="23" t="inlineStr">
        <is>
          <t>        </t>
        </is>
      </c>
      <c r="G436" s="23" t="n">
        <v>330</v>
      </c>
      <c r="H436" s="23" t="n">
        <v>10</v>
      </c>
      <c r="I436" s="23" t="n">
        <v>20</v>
      </c>
      <c r="J436" s="23" t="inlineStr">
        <is>
          <t>978-5-227-11097-8</t>
        </is>
      </c>
      <c r="K436" s="23" t="inlineStr">
        <is>
          <t>75x100 1/32</t>
        </is>
      </c>
      <c r="L436" s="23" t="inlineStr">
        <is>
          <t>мяг</t>
        </is>
      </c>
      <c r="M436" s="23" t="n">
        <v>319</v>
      </c>
      <c r="N436" s="23" t="n">
        <v>2025</v>
      </c>
      <c r="O436" s="23" t="n">
        <v>160</v>
      </c>
      <c r="P436" s="23" t="n"/>
      <c r="Q436" s="23" t="n"/>
      <c r="R436" s="25" t="inlineStr">
        <is>
          <t>В отдаленном шотландском монастыре убит постоялец. Его тело изуродовано самым невероятным образом. Пятеро местных монахов знают погибшего только по имени — Антон. При этом всем известно, что он обзавелся тайным рабочим кабинетом, скрытым в стенах кельи. И здесь обнаружены странные научные материалы. От кого скрывался Антон? Какую истину искал? Почему его ликвидировали с такой варварской жестокостью? Расследование поручают инспектору Грейс Кэмпбелл. И для нее успех дела — единственный шанс вернуться в отдел расследования убийств, откуда ее отчислили за серьезный промах. Грейс пытается восстановить уверенность в себе, не подозревая, что на ее плечах лежит разгадка одной из самых головокружительных тайн человечества.</t>
        </is>
      </c>
      <c r="S436" s="26">
        <f>HYPERLINK("http://www.cnpol.ru/covers/21780.jpg","фото на сайте")</f>
        <v/>
      </c>
    </row>
    <row r="437" ht="50.1" customHeight="1" s="3">
      <c r="A437" s="23" t="n"/>
      <c r="B437" s="24" t="inlineStr">
        <is>
          <t>18728</t>
        </is>
      </c>
      <c r="C437" s="23" t="inlineStr">
        <is>
          <t>ДЕТЕКТИВ</t>
        </is>
      </c>
      <c r="D437" s="23" t="inlineStr">
        <is>
          <t>Даль Х.О.</t>
        </is>
      </c>
      <c r="E437" s="23" t="inlineStr">
        <is>
          <t>Последний расчет</t>
        </is>
      </c>
      <c r="F437" s="23" t="inlineStr">
        <is>
          <t>        </t>
        </is>
      </c>
      <c r="G437" s="23" t="n">
        <v>330</v>
      </c>
      <c r="H437" s="23" t="n">
        <v>10</v>
      </c>
      <c r="I437" s="23" t="n">
        <v>16</v>
      </c>
      <c r="J437" s="23" t="inlineStr">
        <is>
          <t>978-5-227-08682-2</t>
        </is>
      </c>
      <c r="K437" s="23" t="inlineStr">
        <is>
          <t>75x100 1/32</t>
        </is>
      </c>
      <c r="L437" s="23" t="inlineStr">
        <is>
          <t>мяг</t>
        </is>
      </c>
      <c r="M437" s="23" t="n">
        <v>414</v>
      </c>
      <c r="N437" s="23" t="n">
        <v>2019</v>
      </c>
      <c r="O437" s="23" t="n">
        <v>208</v>
      </c>
      <c r="P437" s="23" t="n"/>
      <c r="Q437" s="23" t="n"/>
      <c r="R437" s="25" t="n"/>
      <c r="S437" s="26">
        <f>HYPERLINK("http://www.cnpol.ru/covers/18728.jpg","фото на сайте")</f>
        <v/>
      </c>
    </row>
    <row r="438" ht="50.1" customHeight="1" s="3">
      <c r="A438" s="23" t="n"/>
      <c r="B438" s="24" t="inlineStr">
        <is>
          <t>17617</t>
        </is>
      </c>
      <c r="C438" s="23" t="inlineStr">
        <is>
          <t>ДЕТЕКТИВ</t>
        </is>
      </c>
      <c r="D438" s="23" t="inlineStr">
        <is>
          <t>Марклунд Л.</t>
        </is>
      </c>
      <c r="E438" s="23" t="inlineStr">
        <is>
          <t>Последняя воля Нобеля</t>
        </is>
      </c>
      <c r="F438" s="23" t="inlineStr">
        <is>
          <t>        </t>
        </is>
      </c>
      <c r="G438" s="23" t="n">
        <v>330</v>
      </c>
      <c r="H438" s="23" t="n">
        <v>10</v>
      </c>
      <c r="I438" s="23" t="n">
        <v>16</v>
      </c>
      <c r="J438" s="23" t="inlineStr">
        <is>
          <t>978-5-227-07608-3</t>
        </is>
      </c>
      <c r="K438" s="23" t="inlineStr">
        <is>
          <t>75x100 1/32</t>
        </is>
      </c>
      <c r="L438" s="23" t="inlineStr">
        <is>
          <t>мяг</t>
        </is>
      </c>
      <c r="M438" s="23" t="n">
        <v>448</v>
      </c>
      <c r="N438" s="23" t="n">
        <v>2017</v>
      </c>
      <c r="O438" s="23" t="n">
        <v>212</v>
      </c>
      <c r="P438" s="23" t="n"/>
      <c r="Q438" s="23" t="n"/>
      <c r="R438" s="25" t="n"/>
      <c r="S438" s="26">
        <f>HYPERLINK("http://www.cnpol.ru/covers/17617.jpg","фото на сайте")</f>
        <v/>
      </c>
    </row>
    <row r="439" ht="50.1" customHeight="1" s="3">
      <c r="A439" s="23" t="n"/>
      <c r="B439" s="24" t="inlineStr">
        <is>
          <t>19916</t>
        </is>
      </c>
      <c r="C439" s="23" t="inlineStr">
        <is>
          <t>ДЕТЕКТИВ</t>
        </is>
      </c>
      <c r="D439" s="23" t="inlineStr">
        <is>
          <t>Марклунд Л.</t>
        </is>
      </c>
      <c r="E439" s="23" t="inlineStr">
        <is>
          <t>Прайм-тайм</t>
        </is>
      </c>
      <c r="F439" s="23" t="inlineStr">
        <is>
          <t>        </t>
        </is>
      </c>
      <c r="G439" s="23" t="n">
        <v>330</v>
      </c>
      <c r="H439" s="23" t="n">
        <v>10</v>
      </c>
      <c r="I439" s="23" t="n">
        <v>14</v>
      </c>
      <c r="J439" s="23" t="inlineStr">
        <is>
          <t>978-5-227-09630-2</t>
        </is>
      </c>
      <c r="K439" s="23" t="inlineStr">
        <is>
          <t>75x100 1/32</t>
        </is>
      </c>
      <c r="L439" s="23" t="inlineStr">
        <is>
          <t>мяг</t>
        </is>
      </c>
      <c r="M439" s="23" t="n">
        <v>415</v>
      </c>
      <c r="N439" s="23" t="n">
        <v>2021</v>
      </c>
      <c r="O439" s="23" t="n">
        <v>202</v>
      </c>
      <c r="P439" s="23" t="n"/>
      <c r="Q439" s="23" t="n"/>
      <c r="R439" s="25" t="n"/>
      <c r="S439" s="26">
        <f>HYPERLINK("http://www.cnpol.ru/covers/19916.jpg","фото на сайте")</f>
        <v/>
      </c>
    </row>
    <row r="440" ht="50.1" customHeight="1" s="3">
      <c r="A440" s="23" t="n"/>
      <c r="B440" s="24" t="inlineStr">
        <is>
          <t>20188</t>
        </is>
      </c>
      <c r="C440" s="23" t="inlineStr">
        <is>
          <t>ДЕТЕКТИВ</t>
        </is>
      </c>
      <c r="D440" s="23" t="inlineStr">
        <is>
          <t>Карлден К</t>
        </is>
      </c>
      <c r="E440" s="23" t="inlineStr">
        <is>
          <t>Пророк смерти</t>
        </is>
      </c>
      <c r="F440" s="23" t="inlineStr">
        <is>
          <t>        </t>
        </is>
      </c>
      <c r="G440" s="23" t="n">
        <v>330</v>
      </c>
      <c r="H440" s="23" t="n">
        <v>10</v>
      </c>
      <c r="I440" s="23" t="n">
        <v>20</v>
      </c>
      <c r="J440" s="23" t="inlineStr">
        <is>
          <t>978-5-227-09852-8</t>
        </is>
      </c>
      <c r="K440" s="23" t="inlineStr">
        <is>
          <t>75x100 1/32</t>
        </is>
      </c>
      <c r="L440" s="23" t="inlineStr">
        <is>
          <t>мяг</t>
        </is>
      </c>
      <c r="M440" s="23" t="n">
        <v>319</v>
      </c>
      <c r="N440" s="23" t="n">
        <v>2022</v>
      </c>
      <c r="O440" s="23" t="n">
        <v>270</v>
      </c>
      <c r="P440" s="23" t="n"/>
      <c r="Q440" s="23" t="n"/>
      <c r="R440" s="25" t="n"/>
      <c r="S440" s="26">
        <f>HYPERLINK("http://www.cnpol.ru/covers/20188.jpg","фото на сайте")</f>
        <v/>
      </c>
    </row>
    <row r="441" ht="50.1" customHeight="1" s="3">
      <c r="A441" s="23" t="n"/>
      <c r="B441" s="24" t="inlineStr">
        <is>
          <t>18302</t>
        </is>
      </c>
      <c r="C441" s="23" t="inlineStr">
        <is>
          <t>ДЕТЕКТИВ</t>
        </is>
      </c>
      <c r="D441" s="23" t="inlineStr">
        <is>
          <t>Джеймс П.</t>
        </is>
      </c>
      <c r="E441" s="23" t="inlineStr">
        <is>
          <t>Пусть ты умрешь</t>
        </is>
      </c>
      <c r="F441" s="23" t="inlineStr">
        <is>
          <t>        </t>
        </is>
      </c>
      <c r="G441" s="23" t="n">
        <v>330</v>
      </c>
      <c r="H441" s="23" t="n">
        <v>10</v>
      </c>
      <c r="I441" s="23" t="n">
        <v>16</v>
      </c>
      <c r="J441" s="23" t="inlineStr">
        <is>
          <t>978-5-227-08350-0</t>
        </is>
      </c>
      <c r="K441" s="23" t="inlineStr">
        <is>
          <t>75x100 1/32</t>
        </is>
      </c>
      <c r="L441" s="23" t="inlineStr">
        <is>
          <t>мяг</t>
        </is>
      </c>
      <c r="M441" s="23" t="n">
        <v>418</v>
      </c>
      <c r="N441" s="23" t="n">
        <v>2018</v>
      </c>
      <c r="O441" s="23" t="n">
        <v>206</v>
      </c>
      <c r="P441" s="23" t="n"/>
      <c r="Q441" s="23" t="n"/>
      <c r="R441" s="25" t="n"/>
      <c r="S441" s="26">
        <f>HYPERLINK("http://www.cnpol.ru/covers/18302.jpg","фото на сайте")</f>
        <v/>
      </c>
    </row>
    <row r="442" ht="50.1" customHeight="1" s="3">
      <c r="A442" s="23" t="n"/>
      <c r="B442" s="24" t="inlineStr">
        <is>
          <t>18144</t>
        </is>
      </c>
      <c r="C442" s="23" t="inlineStr">
        <is>
          <t>ДЕТЕКТИВ</t>
        </is>
      </c>
      <c r="D442" s="23" t="inlineStr">
        <is>
          <t>Эббот Р.</t>
        </is>
      </c>
      <c r="E442" s="23" t="inlineStr">
        <is>
          <t>Путь обмана</t>
        </is>
      </c>
      <c r="F442" s="23" t="inlineStr">
        <is>
          <t>        </t>
        </is>
      </c>
      <c r="G442" s="23" t="n">
        <v>330</v>
      </c>
      <c r="H442" s="23" t="n">
        <v>10</v>
      </c>
      <c r="I442" s="23" t="n">
        <v>16</v>
      </c>
      <c r="J442" s="23" t="inlineStr">
        <is>
          <t>978-5-227-08123-0</t>
        </is>
      </c>
      <c r="K442" s="23" t="inlineStr">
        <is>
          <t>75x100 1/32</t>
        </is>
      </c>
      <c r="L442" s="23" t="inlineStr">
        <is>
          <t>мяг</t>
        </is>
      </c>
      <c r="M442" s="23" t="n">
        <v>320</v>
      </c>
      <c r="N442" s="23" t="n">
        <v>2018</v>
      </c>
      <c r="O442" s="23" t="n">
        <v>208</v>
      </c>
      <c r="P442" s="23" t="n"/>
      <c r="Q442" s="23" t="n"/>
      <c r="R442" s="25" t="n"/>
      <c r="S442" s="26">
        <f>HYPERLINK("http://www.cnpol.ru/covers/18144.jpg","фото на сайте")</f>
        <v/>
      </c>
    </row>
    <row r="443" ht="50.1" customHeight="1" s="3">
      <c r="A443" s="23" t="n"/>
      <c r="B443" s="24" t="inlineStr">
        <is>
          <t>17662</t>
        </is>
      </c>
      <c r="C443" s="23" t="inlineStr">
        <is>
          <t>ДЕТЕКТИВ</t>
        </is>
      </c>
      <c r="D443" s="23" t="inlineStr">
        <is>
          <t>Гилтроу Х.</t>
        </is>
      </c>
      <c r="E443" s="23" t="inlineStr">
        <is>
          <t>Расстояние</t>
        </is>
      </c>
      <c r="F443" s="23" t="inlineStr">
        <is>
          <t>        </t>
        </is>
      </c>
      <c r="G443" s="23" t="n">
        <v>330</v>
      </c>
      <c r="H443" s="23" t="n">
        <v>10</v>
      </c>
      <c r="I443" s="23" t="n">
        <v>20</v>
      </c>
      <c r="J443" s="23" t="inlineStr">
        <is>
          <t>978-5-227-07623-6</t>
        </is>
      </c>
      <c r="K443" s="23" t="inlineStr">
        <is>
          <t>75x100 1/32</t>
        </is>
      </c>
      <c r="L443" s="23" t="inlineStr">
        <is>
          <t>мяг</t>
        </is>
      </c>
      <c r="M443" s="23" t="n">
        <v>448</v>
      </c>
      <c r="N443" s="23" t="n">
        <v>2017</v>
      </c>
      <c r="O443" s="23" t="n">
        <v>222</v>
      </c>
      <c r="P443" s="23" t="n"/>
      <c r="Q443" s="23" t="n"/>
      <c r="R443" s="25" t="n"/>
      <c r="S443" s="26">
        <f>HYPERLINK("http://www.cnpol.ru/covers/17662.jpg","фото на сайте")</f>
        <v/>
      </c>
    </row>
    <row r="444" ht="50.1" customHeight="1" s="3">
      <c r="A444" s="23" t="inlineStr">
        <is>
          <t>Д</t>
        </is>
      </c>
      <c r="B444" s="24" t="inlineStr">
        <is>
          <t>21262</t>
        </is>
      </c>
      <c r="C444" s="23" t="inlineStr">
        <is>
          <t>ДЕТЕКТИВ</t>
        </is>
      </c>
      <c r="D444" s="23" t="inlineStr">
        <is>
          <t>Герритсен Т.</t>
        </is>
      </c>
      <c r="E444" s="23" t="inlineStr">
        <is>
          <t>Свидетель</t>
        </is>
      </c>
      <c r="F444" s="23" t="inlineStr">
        <is>
          <t>        </t>
        </is>
      </c>
      <c r="G444" s="23" t="n">
        <v>330</v>
      </c>
      <c r="H444" s="23" t="n">
        <v>10</v>
      </c>
      <c r="I444" s="23" t="n">
        <v>10</v>
      </c>
      <c r="J444" s="23" t="inlineStr">
        <is>
          <t>978-5-227-10791-6</t>
        </is>
      </c>
      <c r="K444" s="23" t="inlineStr">
        <is>
          <t>75x100 1/32</t>
        </is>
      </c>
      <c r="L444" s="23" t="inlineStr">
        <is>
          <t>мяг</t>
        </is>
      </c>
      <c r="M444" s="23" t="n">
        <v>255</v>
      </c>
      <c r="N444" s="23" t="n">
        <v>2024</v>
      </c>
      <c r="O444" s="23" t="n">
        <v>130</v>
      </c>
      <c r="P444" s="23" t="n"/>
      <c r="Q444" s="23" t="n"/>
      <c r="R444" s="25" t="inlineStr">
        <is>
          <t>Ненастным осенним вечером Кэти Уивер сбила на мокром шоссе мужчину. На следующий день была зверски зарезана Сара, лучшая подруга Кэти. С тех пор жизнь женщины сделала крутой поворот. Тот, кого она оставила в больнице полуживым, заявился к ней домой и утверждает, что после Сары и ей самой грозит смерть. В подтверждение его слов квартиру женщины обстреляли. Теперь Кэти Уивер и Виктору Холланду предстоит борьба не на жизнь, а на смерть. Ведь Виктор — единственный свидетель страшных научных экспериментов, грозящих человечеству ужасными последствиями...</t>
        </is>
      </c>
      <c r="S444" s="26">
        <f>HYPERLINK("http://www.cnpol.ru/covers/21262.jpg","фото на сайте")</f>
        <v/>
      </c>
    </row>
    <row r="445" ht="50.1" customHeight="1" s="3">
      <c r="A445" s="23" t="n"/>
      <c r="B445" s="24" t="inlineStr">
        <is>
          <t>18024</t>
        </is>
      </c>
      <c r="C445" s="23" t="inlineStr">
        <is>
          <t>ДЕТЕКТИВ</t>
        </is>
      </c>
      <c r="D445" s="23" t="inlineStr">
        <is>
          <t>Мейер Д.</t>
        </is>
      </c>
      <c r="E445" s="23" t="inlineStr">
        <is>
          <t>Семь дней</t>
        </is>
      </c>
      <c r="F445" s="23" t="inlineStr">
        <is>
          <t>        </t>
        </is>
      </c>
      <c r="G445" s="23" t="n">
        <v>330</v>
      </c>
      <c r="H445" s="23" t="n">
        <v>10</v>
      </c>
      <c r="I445" s="23" t="n">
        <v>16</v>
      </c>
      <c r="J445" s="23" t="inlineStr">
        <is>
          <t>978-5-227-08081-3</t>
        </is>
      </c>
      <c r="K445" s="23" t="inlineStr">
        <is>
          <t>75x100 1/32</t>
        </is>
      </c>
      <c r="L445" s="23" t="inlineStr">
        <is>
          <t>мяг</t>
        </is>
      </c>
      <c r="M445" s="23" t="n">
        <v>416</v>
      </c>
      <c r="N445" s="23" t="n">
        <v>2018</v>
      </c>
      <c r="O445" s="23" t="n">
        <v>206</v>
      </c>
      <c r="P445" s="23" t="n"/>
      <c r="Q445" s="23" t="n"/>
      <c r="R445" s="25" t="n"/>
      <c r="S445" s="26">
        <f>HYPERLINK("http://www.cnpol.ru/covers/18024.jpg","фото на сайте")</f>
        <v/>
      </c>
    </row>
    <row r="446" ht="50.1" customHeight="1" s="3">
      <c r="A446" s="23" t="inlineStr">
        <is>
          <t>Д</t>
        </is>
      </c>
      <c r="B446" s="24" t="inlineStr">
        <is>
          <t>22001</t>
        </is>
      </c>
      <c r="C446" s="23" t="inlineStr">
        <is>
          <t>ДЕТЕКТИВ</t>
        </is>
      </c>
      <c r="D446" s="23" t="inlineStr">
        <is>
          <t>Грубер А.</t>
        </is>
      </c>
      <c r="E446" s="23" t="inlineStr">
        <is>
          <t>Сказка о смерти</t>
        </is>
      </c>
      <c r="F446" s="23" t="inlineStr">
        <is>
          <t>        </t>
        </is>
      </c>
      <c r="G446" s="23" t="n">
        <v>330</v>
      </c>
      <c r="H446" s="23" t="n">
        <v>10</v>
      </c>
      <c r="I446" s="23" t="n">
        <v>7</v>
      </c>
      <c r="J446" s="23" t="inlineStr">
        <is>
          <t>978-5-227-11230-9</t>
        </is>
      </c>
      <c r="K446" s="23" t="inlineStr">
        <is>
          <t>75x100 1/32</t>
        </is>
      </c>
      <c r="L446" s="23" t="inlineStr">
        <is>
          <t>мяг</t>
        </is>
      </c>
      <c r="M446" s="23" t="n">
        <v>447</v>
      </c>
      <c r="N446" s="23" t="n">
        <v>2024</v>
      </c>
      <c r="O446" s="23" t="n">
        <v>221</v>
      </c>
      <c r="P446" s="23" t="n"/>
      <c r="Q446" s="23" t="n"/>
      <c r="R446" s="25" t="inlineStr">
        <is>
          <t>В Берне обнаружен труп женщины с загадочным символом, который убийца вырезал у нее на груди. Однако это не единственная его жертва. Голландский профайлер Мартен С. Снейдер и комиссар БКА Сабина Немез открывают охоту на преступника, но кажется, что убийца всегда на шаг впереди. Между тем молодой специалист в области психологии Ханна приезжает в «Штайнфельз», тюрьму для преступников с психическими отклонениями. Она должна проводить сеансы групповой терапии. Но ее интересует один­единственный заключенный — Пит ван Лун. Когда­то Снейдер упрятал его за решетку. Так и опытные следователи, и начинающий психолог оказались втянуты в дьявольскую игру, в которой не будет победителя.</t>
        </is>
      </c>
      <c r="S446" s="26">
        <f>HYPERLINK("http://www.cnpol.ru/covers/22001.jpg","фото на сайте")</f>
        <v/>
      </c>
    </row>
    <row r="447" ht="50.1" customHeight="1" s="3">
      <c r="A447" s="23" t="n"/>
      <c r="B447" s="24" t="inlineStr">
        <is>
          <t>18729</t>
        </is>
      </c>
      <c r="C447" s="23" t="inlineStr">
        <is>
          <t>ДЕТЕКТИВ</t>
        </is>
      </c>
      <c r="D447" s="23" t="inlineStr">
        <is>
          <t>Даль Х.О.</t>
        </is>
      </c>
      <c r="E447" s="23" t="inlineStr">
        <is>
          <t>Смертельные инвестиции</t>
        </is>
      </c>
      <c r="F447" s="23" t="inlineStr">
        <is>
          <t>        </t>
        </is>
      </c>
      <c r="G447" s="23" t="n">
        <v>330</v>
      </c>
      <c r="H447" s="23" t="n">
        <v>10</v>
      </c>
      <c r="I447" s="23" t="n">
        <v>20</v>
      </c>
      <c r="J447" s="23" t="inlineStr">
        <is>
          <t>978-5-227-08681-5</t>
        </is>
      </c>
      <c r="K447" s="23" t="inlineStr">
        <is>
          <t>75х108 1/32</t>
        </is>
      </c>
      <c r="L447" s="23" t="inlineStr">
        <is>
          <t>мяг</t>
        </is>
      </c>
      <c r="M447" s="23" t="n">
        <v>352</v>
      </c>
      <c r="N447" s="23" t="n">
        <v>2019</v>
      </c>
      <c r="O447" s="23" t="n">
        <v>178</v>
      </c>
      <c r="P447" s="23" t="n"/>
      <c r="Q447" s="23" t="n"/>
      <c r="R447" s="25" t="n"/>
      <c r="S447" s="26">
        <f>HYPERLINK("http://www.cnpol.ru/covers/18729.jpg","фото на сайте")</f>
        <v/>
      </c>
    </row>
    <row r="448" ht="50.1" customHeight="1" s="3">
      <c r="A448" s="23" t="n"/>
      <c r="B448" s="24" t="inlineStr">
        <is>
          <t>20952</t>
        </is>
      </c>
      <c r="C448" s="23" t="inlineStr">
        <is>
          <t>ДЕТЕКТИВ</t>
        </is>
      </c>
      <c r="D448" s="23" t="inlineStr">
        <is>
          <t>Грубер А.</t>
        </is>
      </c>
      <c r="E448" s="23" t="inlineStr">
        <is>
          <t>Смертельный хоровод</t>
        </is>
      </c>
      <c r="F448" s="23" t="inlineStr">
        <is>
          <t>        </t>
        </is>
      </c>
      <c r="G448" s="23" t="n">
        <v>330</v>
      </c>
      <c r="H448" s="23" t="n">
        <v>10</v>
      </c>
      <c r="I448" s="23" t="n">
        <v>12</v>
      </c>
      <c r="J448" s="23" t="inlineStr">
        <is>
          <t>978-5-227-10573-8</t>
        </is>
      </c>
      <c r="K448" s="23" t="inlineStr">
        <is>
          <t>75x100 1/32</t>
        </is>
      </c>
      <c r="L448" s="23" t="inlineStr">
        <is>
          <t>мяг</t>
        </is>
      </c>
      <c r="M448" s="23" t="n">
        <v>479</v>
      </c>
      <c r="N448" s="23" t="n">
        <v>2024</v>
      </c>
      <c r="O448" s="23" t="n">
        <v>232</v>
      </c>
      <c r="P448" s="23" t="n"/>
      <c r="Q448" s="23" t="n"/>
      <c r="R448" s="25" t="inlineStr">
        <is>
          <t>Несколько высокопоставленных чинов Федерального ведомства уголовной полиции кончают жизнь самоубийством самым жестоким образом и при загадочных обстоятельствах. Сабина Немез – комиссар группы по расследованию убийств и преподаватель Академии БКА – сразу заподозрила неладное. Многое указывает на давний заговор и жаждущую мести жертву. Сабина просит бывшего коллегу, временно отстраненного от службы профайлера Мартена С. Снейдера, о содействии в запутанном деле. Но он отказывается сотрудничать и убеждает ее не вмешиваться. Однако, когда Сабина бесследно исчезает, Снейдер начинает действовать. Тем самым он переходит дорогу не только исполненному ненависти убийце, но и своим бывшим соратникам, которые готовы пойти на все, чтобы навсегда скрыть грехи прошлого…</t>
        </is>
      </c>
      <c r="S448" s="26">
        <f>HYPERLINK("http://www.cnpol.ru/covers/20952.jpg","фото на сайте")</f>
        <v/>
      </c>
    </row>
    <row r="449" ht="50.1" customHeight="1" s="3">
      <c r="A449" s="23" t="n"/>
      <c r="B449" s="24" t="inlineStr">
        <is>
          <t>18631</t>
        </is>
      </c>
      <c r="C449" s="23" t="inlineStr">
        <is>
          <t>ДЕТЕКТИВ</t>
        </is>
      </c>
      <c r="D449" s="23" t="inlineStr">
        <is>
          <t>Уинтер Ариель С.</t>
        </is>
      </c>
      <c r="E449" s="23" t="inlineStr">
        <is>
          <t>Смерть длиною в двадцать лет</t>
        </is>
      </c>
      <c r="F449" s="23" t="inlineStr">
        <is>
          <t>        </t>
        </is>
      </c>
      <c r="G449" s="23" t="n">
        <v>330</v>
      </c>
      <c r="H449" s="23" t="n">
        <v>10</v>
      </c>
      <c r="I449" s="23" t="n">
        <v>12</v>
      </c>
      <c r="J449" s="23" t="inlineStr">
        <is>
          <t>978-5-227-08558-0</t>
        </is>
      </c>
      <c r="K449" s="23" t="inlineStr">
        <is>
          <t>75x100 1/32</t>
        </is>
      </c>
      <c r="L449" s="23" t="inlineStr">
        <is>
          <t>мяг</t>
        </is>
      </c>
      <c r="M449" s="23" t="n">
        <v>544</v>
      </c>
      <c r="N449" s="23" t="n">
        <v>2019</v>
      </c>
      <c r="O449" s="23" t="n">
        <v>268</v>
      </c>
      <c r="P449" s="23" t="n"/>
      <c r="Q449" s="23" t="n"/>
      <c r="R449" s="25" t="n"/>
      <c r="S449" s="26">
        <f>HYPERLINK("http://www.cnpol.ru/covers/18631.jpg","фото на сайте")</f>
        <v/>
      </c>
    </row>
    <row r="450" ht="50.1" customHeight="1" s="3">
      <c r="A450" s="23" t="n"/>
      <c r="B450" s="24" t="inlineStr">
        <is>
          <t>17122</t>
        </is>
      </c>
      <c r="C450" s="23" t="inlineStr">
        <is>
          <t>ДЕТЕКТИВ</t>
        </is>
      </c>
      <c r="D450" s="23" t="inlineStr">
        <is>
          <t>Мейер Д.</t>
        </is>
      </c>
      <c r="E450" s="23" t="inlineStr">
        <is>
          <t>Смерть раньше смерти</t>
        </is>
      </c>
      <c r="F450" s="23" t="inlineStr">
        <is>
          <t>        </t>
        </is>
      </c>
      <c r="G450" s="23" t="n">
        <v>330</v>
      </c>
      <c r="H450" s="23" t="n">
        <v>10</v>
      </c>
      <c r="I450" s="23" t="n">
        <v>18</v>
      </c>
      <c r="J450" s="23" t="inlineStr">
        <is>
          <t>978-5-227-07159-0</t>
        </is>
      </c>
      <c r="K450" s="23" t="inlineStr">
        <is>
          <t>75x100 1/32</t>
        </is>
      </c>
      <c r="L450" s="23" t="inlineStr">
        <is>
          <t>мяг</t>
        </is>
      </c>
      <c r="M450" s="23" t="n">
        <v>384</v>
      </c>
      <c r="N450" s="23" t="n">
        <v>2016</v>
      </c>
      <c r="O450" s="23" t="n">
        <v>192</v>
      </c>
      <c r="P450" s="23" t="n"/>
      <c r="Q450" s="23" t="n"/>
      <c r="R450" s="25" t="n"/>
      <c r="S450" s="26">
        <f>HYPERLINK("http://www.cnpol.ru/covers/17122.jpg","фото на сайте")</f>
        <v/>
      </c>
    </row>
    <row r="451" ht="50.1" customHeight="1" s="3">
      <c r="A451" s="23" t="inlineStr">
        <is>
          <t>Д</t>
        </is>
      </c>
      <c r="B451" s="24" t="inlineStr">
        <is>
          <t>22042</t>
        </is>
      </c>
      <c r="C451" s="23" t="inlineStr">
        <is>
          <t>ДЕТЕКТИВ</t>
        </is>
      </c>
      <c r="D451" s="23" t="inlineStr">
        <is>
          <t>Грубер А.</t>
        </is>
      </c>
      <c r="E451" s="23" t="inlineStr">
        <is>
          <t>Смерть с уведомлением</t>
        </is>
      </c>
      <c r="F451" s="23" t="inlineStr">
        <is>
          <t>        </t>
        </is>
      </c>
      <c r="G451" s="23" t="n">
        <v>330</v>
      </c>
      <c r="H451" s="23" t="n">
        <v>10</v>
      </c>
      <c r="I451" s="23" t="n">
        <v>8</v>
      </c>
      <c r="J451" s="23" t="inlineStr">
        <is>
          <t>978-5-227-09839-9</t>
        </is>
      </c>
      <c r="K451" s="23" t="inlineStr">
        <is>
          <t>75x100 1/32</t>
        </is>
      </c>
      <c r="L451" s="23" t="inlineStr">
        <is>
          <t>мяг</t>
        </is>
      </c>
      <c r="M451" s="23" t="n">
        <v>384</v>
      </c>
      <c r="N451" s="23" t="n">
        <v>2022</v>
      </c>
      <c r="O451" s="23" t="n">
        <v>192</v>
      </c>
      <c r="P451" s="23" t="n"/>
      <c r="Q451" s="23" t="n"/>
      <c r="R451" s="25" t="inlineStr">
        <is>
          <t>«Если в течение сорока восьми часов вы выясните, почему я похитил эту женщину, она останется в живых, если нет — умрет». С этого сообщения начинается извращенная игра серийного убийцы. Он морит своих жертв голодом, топит в чернилах, заживо заливает бетоном. Комиссар мюнхенской полиции Сабина Немез в отчаянии ищет какое-нибудь объяснение, мотив. Вместе с голландским коллегой ей удается понять, по какому шаблону действует убийца: на жестокие преступления его вдохновляет старая детская книжка! Самое страшное, что еще не все идеи исчерпаны...</t>
        </is>
      </c>
      <c r="S451" s="26">
        <f>HYPERLINK("http://www.cnpol.ru/covers/22042.jpg","фото на сайте")</f>
        <v/>
      </c>
    </row>
    <row r="452" ht="50.1" customHeight="1" s="3">
      <c r="A452" s="23" t="n"/>
      <c r="B452" s="24" t="inlineStr">
        <is>
          <t>17355</t>
        </is>
      </c>
      <c r="C452" s="23" t="inlineStr">
        <is>
          <t>ДЕТЕКТИВ</t>
        </is>
      </c>
      <c r="D452" s="23" t="inlineStr">
        <is>
          <t>Эббот Р.</t>
        </is>
      </c>
      <c r="E452" s="23" t="inlineStr">
        <is>
          <t>Спи спокойно</t>
        </is>
      </c>
      <c r="F452" s="23" t="inlineStr">
        <is>
          <t>        </t>
        </is>
      </c>
      <c r="G452" s="23" t="n">
        <v>330</v>
      </c>
      <c r="H452" s="23" t="n">
        <v>10</v>
      </c>
      <c r="I452" s="23" t="n">
        <v>20</v>
      </c>
      <c r="J452" s="23" t="inlineStr">
        <is>
          <t>978-5-227-07138-5</t>
        </is>
      </c>
      <c r="K452" s="23" t="inlineStr">
        <is>
          <t>75x100 1/32</t>
        </is>
      </c>
      <c r="L452" s="23" t="inlineStr">
        <is>
          <t>мяг</t>
        </is>
      </c>
      <c r="M452" s="23" t="n">
        <v>320</v>
      </c>
      <c r="N452" s="23" t="n">
        <v>2017</v>
      </c>
      <c r="O452" s="23" t="n">
        <v>162</v>
      </c>
      <c r="P452" s="23" t="n"/>
      <c r="Q452" s="23" t="n"/>
      <c r="R452" s="25" t="n"/>
      <c r="S452" s="26">
        <f>HYPERLINK("http://www.cnpol.ru/covers/17355.jpg","фото на сайте")</f>
        <v/>
      </c>
    </row>
    <row r="453" ht="50.1" customHeight="1" s="3">
      <c r="A453" s="23" t="inlineStr">
        <is>
          <t>Д</t>
        </is>
      </c>
      <c r="B453" s="24" t="inlineStr">
        <is>
          <t>21535</t>
        </is>
      </c>
      <c r="C453" s="23" t="inlineStr">
        <is>
          <t>ДЕТЕКТИВ</t>
        </is>
      </c>
      <c r="D453" s="23" t="inlineStr">
        <is>
          <t>Герритсен Т.</t>
        </is>
      </c>
      <c r="E453" s="23" t="inlineStr">
        <is>
          <t>Считать виновной</t>
        </is>
      </c>
      <c r="F453" s="23" t="inlineStr">
        <is>
          <t>        </t>
        </is>
      </c>
      <c r="G453" s="23" t="n">
        <v>330</v>
      </c>
      <c r="H453" s="23" t="n">
        <v>10</v>
      </c>
      <c r="I453" s="23" t="n">
        <v>10</v>
      </c>
      <c r="J453" s="23" t="inlineStr">
        <is>
          <t>978-5-227-10960-6</t>
        </is>
      </c>
      <c r="K453" s="23" t="inlineStr">
        <is>
          <t>75x100 1/32</t>
        </is>
      </c>
      <c r="L453" s="23" t="inlineStr">
        <is>
          <t>мяг</t>
        </is>
      </c>
      <c r="M453" s="23" t="n">
        <v>254</v>
      </c>
      <c r="N453" s="23" t="n">
        <v>2024</v>
      </c>
      <c r="O453" s="23" t="n">
        <v>132</v>
      </c>
      <c r="P453" s="23" t="n"/>
      <c r="Q453" s="23" t="n"/>
      <c r="R453" s="25" t="inlineStr">
        <is>
          <t>Конечно же Миранда Вуд оказалась единственной подозреваемой. Газетного магната Ричарда Тримейна  нашли убитым в ее постели, орудие преступления — ее кухонный нож. Кто еще мог совершить преступление, как не женщина, для которой стала западней любовь к женатому мужчине? Прямых улик не нашлось, но косвенных — предостаточно. У нее не было шанса оставаться на свободе до начала процесса. И вдруг тайный благодетель внес огромный залог. Дальнейшие события заставили задуматься: а не для того ли это сделано, чтобы Миранда не дожила до суда?..</t>
        </is>
      </c>
      <c r="S453" s="26">
        <f>HYPERLINK("http://www.cnpol.ru/covers/21535.jpg","фото на сайте")</f>
        <v/>
      </c>
    </row>
    <row r="454" ht="50.1" customHeight="1" s="3">
      <c r="A454" s="23" t="inlineStr">
        <is>
          <t>Д</t>
        </is>
      </c>
      <c r="B454" s="24" t="inlineStr">
        <is>
          <t>21612</t>
        </is>
      </c>
      <c r="C454" s="23" t="inlineStr">
        <is>
          <t>ДЕТЕКТИВ</t>
        </is>
      </c>
      <c r="D454" s="23" t="inlineStr">
        <is>
          <t>Герритсен Т.</t>
        </is>
      </c>
      <c r="E454" s="23" t="inlineStr">
        <is>
          <t>Телохранитель для невесты</t>
        </is>
      </c>
      <c r="F454" s="23" t="inlineStr">
        <is>
          <t>        </t>
        </is>
      </c>
      <c r="G454" s="23" t="n">
        <v>330</v>
      </c>
      <c r="H454" s="23" t="n">
        <v>10</v>
      </c>
      <c r="I454" s="23" t="n">
        <v>9</v>
      </c>
      <c r="J454" s="23" t="inlineStr">
        <is>
          <t>978-5-227-10979-8</t>
        </is>
      </c>
      <c r="K454" s="23" t="inlineStr">
        <is>
          <t>75x100 1/32</t>
        </is>
      </c>
      <c r="L454" s="23" t="inlineStr">
        <is>
          <t>мяг</t>
        </is>
      </c>
      <c r="M454" s="23" t="n">
        <v>287</v>
      </c>
      <c r="N454" s="23" t="n">
        <v>2024</v>
      </c>
      <c r="O454" s="23" t="n">
        <v>147</v>
      </c>
      <c r="P454" s="23" t="n"/>
      <c r="Q454" s="23" t="n"/>
      <c r="R454" s="25" t="inlineStr">
        <is>
          <t>Свадьба Нины Кормье и Роберта Бледсоу не состоялась. Жених не явился на торжество. Едва невеста вышла из-под сводов храма, как раздался мощный взрыв — кто-то преподнес молодым бомбу под видом свадебного подарка. Покушения на жизнь Нины следовали одно за другим, ее явно пытались убить. Полицейский Сэм Наварро, расследовавший дело, проникся сочувствием к молодой красивой женщине и взял ее под свою опеку. Но даже когда появились первые жертвы, Нина не могла понять, кто желает ее смерти...</t>
        </is>
      </c>
      <c r="S454" s="26">
        <f>HYPERLINK("http://www.cnpol.ru/covers/21612.jpg","фото на сайте")</f>
        <v/>
      </c>
    </row>
    <row r="455" ht="50.1" customHeight="1" s="3">
      <c r="A455" s="23" t="inlineStr">
        <is>
          <t>Н</t>
        </is>
      </c>
      <c r="B455" s="24" t="inlineStr">
        <is>
          <t>20976</t>
        </is>
      </c>
      <c r="C455" s="23" t="inlineStr">
        <is>
          <t>ДЕТЕКТИВ</t>
        </is>
      </c>
      <c r="D455" s="23" t="inlineStr">
        <is>
          <t>Гуденкауф Хизер</t>
        </is>
      </c>
      <c r="E455" s="23" t="inlineStr">
        <is>
          <t>То, что скрыто</t>
        </is>
      </c>
      <c r="F455" s="23" t="inlineStr">
        <is>
          <t>        </t>
        </is>
      </c>
      <c r="G455" s="23" t="n">
        <v>330</v>
      </c>
      <c r="H455" s="23" t="n">
        <v>10</v>
      </c>
      <c r="I455" s="23" t="n">
        <v>8</v>
      </c>
      <c r="J455" s="23" t="inlineStr">
        <is>
          <t>978-5-227-10538-7</t>
        </is>
      </c>
      <c r="K455" s="23" t="inlineStr">
        <is>
          <t>75x100 1/32</t>
        </is>
      </c>
      <c r="L455" s="23" t="inlineStr">
        <is>
          <t>мяг</t>
        </is>
      </c>
      <c r="M455" s="23" t="n">
        <v>316</v>
      </c>
      <c r="N455" s="23" t="n">
        <v>2024</v>
      </c>
      <c r="O455" s="23" t="n">
        <v>164</v>
      </c>
      <c r="P455" s="23" t="n"/>
      <c r="Q455" s="23" t="n"/>
      <c r="R455" s="25" t="inlineStr">
        <is>
          <t>Эллисон Гленн освобождают из тюрьмы, где она отсидела пять лет за убийство. В прошлом она — гордость родителей и всего городка, а ныне бывшая заключенная. И это клеймо не позволяет ей снова вписаться в общество. Трагическое, поистине душераздирающее повествование ведется от лица четырех женщин, так или иначе причастных к преступлению, тайну которого читатель узнаёт постепенно, вплоть до самой последней страницы.</t>
        </is>
      </c>
      <c r="S455" s="26">
        <f>HYPERLINK("http://www.cnpol.ru/covers/20976.jpg","фото на сайте")</f>
        <v/>
      </c>
    </row>
    <row r="456" ht="50.1" customHeight="1" s="3">
      <c r="A456" s="23" t="n"/>
      <c r="B456" s="24" t="inlineStr">
        <is>
          <t>17180</t>
        </is>
      </c>
      <c r="C456" s="23" t="inlineStr">
        <is>
          <t>ДЕТЕКТИВ</t>
        </is>
      </c>
      <c r="D456" s="23" t="inlineStr">
        <is>
          <t>Эббот Р.</t>
        </is>
      </c>
      <c r="E456" s="23" t="inlineStr">
        <is>
          <t>Только невинные</t>
        </is>
      </c>
      <c r="F456" s="23" t="inlineStr">
        <is>
          <t>        </t>
        </is>
      </c>
      <c r="G456" s="23" t="n">
        <v>330</v>
      </c>
      <c r="H456" s="23" t="n">
        <v>10</v>
      </c>
      <c r="I456" s="23" t="n">
        <v>14</v>
      </c>
      <c r="J456" s="23" t="inlineStr">
        <is>
          <t>978-5-227-07150-7</t>
        </is>
      </c>
      <c r="K456" s="23" t="inlineStr">
        <is>
          <t>75x100 1/32</t>
        </is>
      </c>
      <c r="L456" s="23" t="inlineStr">
        <is>
          <t>мяг</t>
        </is>
      </c>
      <c r="M456" s="23" t="n">
        <v>448</v>
      </c>
      <c r="N456" s="23" t="n">
        <v>2016</v>
      </c>
      <c r="O456" s="23" t="n">
        <v>216</v>
      </c>
      <c r="P456" s="23" t="n"/>
      <c r="Q456" s="23" t="n"/>
      <c r="R456" s="25" t="n"/>
      <c r="S456" s="26">
        <f>HYPERLINK("http://www.cnpol.ru/covers/17180.jpg","фото на сайте")</f>
        <v/>
      </c>
    </row>
    <row r="457" ht="50.1" customHeight="1" s="3">
      <c r="A457" s="23" t="n"/>
      <c r="B457" s="24" t="inlineStr">
        <is>
          <t>19391</t>
        </is>
      </c>
      <c r="C457" s="23" t="inlineStr">
        <is>
          <t>ДЕТЕКТИВ</t>
        </is>
      </c>
      <c r="D457" s="23" t="inlineStr">
        <is>
          <t>Фитцек С.</t>
        </is>
      </c>
      <c r="E457" s="23" t="inlineStr">
        <is>
          <t>Тот, кто виновен</t>
        </is>
      </c>
      <c r="F457" s="23" t="inlineStr">
        <is>
          <t>        </t>
        </is>
      </c>
      <c r="G457" s="23" t="n">
        <v>330</v>
      </c>
      <c r="H457" s="23" t="n">
        <v>10</v>
      </c>
      <c r="I457" s="23" t="n">
        <v>20</v>
      </c>
      <c r="J457" s="23" t="inlineStr">
        <is>
          <t>978-5-227-09268-7</t>
        </is>
      </c>
      <c r="K457" s="23" t="inlineStr">
        <is>
          <t>75x100 1/32</t>
        </is>
      </c>
      <c r="L457" s="23" t="inlineStr">
        <is>
          <t>мяг</t>
        </is>
      </c>
      <c r="M457" s="23" t="n">
        <v>352</v>
      </c>
      <c r="N457" s="23" t="n">
        <v>2020</v>
      </c>
      <c r="O457" s="23" t="n">
        <v>176</v>
      </c>
      <c r="P457" s="23" t="n"/>
      <c r="Q457" s="23" t="n"/>
      <c r="R457" s="25" t="n"/>
      <c r="S457" s="26">
        <f>HYPERLINK("http://www.cnpol.ru/covers/19391.jpg","фото на сайте")</f>
        <v/>
      </c>
    </row>
    <row r="458" ht="50.1" customHeight="1" s="3">
      <c r="A458" s="23" t="n"/>
      <c r="B458" s="24" t="inlineStr">
        <is>
          <t>18145</t>
        </is>
      </c>
      <c r="C458" s="23" t="inlineStr">
        <is>
          <t>ДЕТЕКТИВ</t>
        </is>
      </c>
      <c r="D458" s="23" t="inlineStr">
        <is>
          <t>Перссон Лейф Г.В.</t>
        </is>
      </c>
      <c r="E458" s="23" t="inlineStr">
        <is>
          <t>Тот, кто убивает дракона</t>
        </is>
      </c>
      <c r="F458" s="23" t="inlineStr">
        <is>
          <t>        </t>
        </is>
      </c>
      <c r="G458" s="23" t="n">
        <v>330</v>
      </c>
      <c r="H458" s="23" t="n">
        <v>10</v>
      </c>
      <c r="I458" s="23" t="n">
        <v>18</v>
      </c>
      <c r="J458" s="23" t="inlineStr">
        <is>
          <t>978-5-227-08007-3</t>
        </is>
      </c>
      <c r="K458" s="23" t="inlineStr">
        <is>
          <t>75x100 1/32</t>
        </is>
      </c>
      <c r="L458" s="23" t="inlineStr">
        <is>
          <t>мяг</t>
        </is>
      </c>
      <c r="M458" s="23" t="n">
        <v>384</v>
      </c>
      <c r="N458" s="23" t="n">
        <v>2018</v>
      </c>
      <c r="O458" s="23" t="n">
        <v>196</v>
      </c>
      <c r="P458" s="23" t="n"/>
      <c r="Q458" s="23" t="n"/>
      <c r="R458" s="25" t="n"/>
      <c r="S458" s="26">
        <f>HYPERLINK("http://www.cnpol.ru/covers/18145.jpg","фото на сайте")</f>
        <v/>
      </c>
    </row>
    <row r="459" ht="50.1" customHeight="1" s="3">
      <c r="A459" s="23" t="n"/>
      <c r="B459" s="24" t="inlineStr">
        <is>
          <t>20189</t>
        </is>
      </c>
      <c r="C459" s="23" t="inlineStr">
        <is>
          <t>ДЕТЕКТИВ</t>
        </is>
      </c>
      <c r="D459" s="23" t="inlineStr">
        <is>
          <t>Карлотто М.</t>
        </is>
      </c>
      <c r="E459" s="23" t="inlineStr">
        <is>
          <t>Турист</t>
        </is>
      </c>
      <c r="F459" s="23" t="inlineStr">
        <is>
          <t>        </t>
        </is>
      </c>
      <c r="G459" s="23" t="n">
        <v>330</v>
      </c>
      <c r="H459" s="23" t="n">
        <v>10</v>
      </c>
      <c r="I459" s="23" t="n">
        <v>24</v>
      </c>
      <c r="J459" s="23" t="inlineStr">
        <is>
          <t>978-5-227-09853-5</t>
        </is>
      </c>
      <c r="K459" s="23" t="inlineStr">
        <is>
          <t>75x100 1/32</t>
        </is>
      </c>
      <c r="L459" s="23" t="inlineStr">
        <is>
          <t>мяг</t>
        </is>
      </c>
      <c r="M459" s="23" t="n">
        <v>255</v>
      </c>
      <c r="N459" s="23" t="n">
        <v>2022</v>
      </c>
      <c r="O459" s="23" t="n">
        <v>134</v>
      </c>
      <c r="P459" s="23" t="n"/>
      <c r="Q459" s="23" t="n"/>
      <c r="R459" s="25" t="n"/>
      <c r="S459" s="26">
        <f>HYPERLINK("http://www.cnpol.ru/covers/20189.jpg","фото на сайте")</f>
        <v/>
      </c>
    </row>
    <row r="460" ht="50.1" customHeight="1" s="3">
      <c r="A460" s="23" t="n"/>
      <c r="B460" s="24" t="inlineStr">
        <is>
          <t>18157</t>
        </is>
      </c>
      <c r="C460" s="23" t="inlineStr">
        <is>
          <t>ДЕТЕКТИВ</t>
        </is>
      </c>
      <c r="D460" s="23" t="inlineStr">
        <is>
          <t>Корелиц Дж.Х</t>
        </is>
      </c>
      <c r="E460" s="23" t="inlineStr">
        <is>
          <t>Ты должна была знать</t>
        </is>
      </c>
      <c r="F460" s="23" t="inlineStr">
        <is>
          <t>        </t>
        </is>
      </c>
      <c r="G460" s="23" t="n">
        <v>330</v>
      </c>
      <c r="H460" s="23" t="n">
        <v>10</v>
      </c>
      <c r="I460" s="23" t="n">
        <v>14</v>
      </c>
      <c r="J460" s="23" t="inlineStr">
        <is>
          <t>978-5-227-07986-2</t>
        </is>
      </c>
      <c r="K460" s="23" t="inlineStr">
        <is>
          <t>75x100 1/32</t>
        </is>
      </c>
      <c r="L460" s="23" t="inlineStr">
        <is>
          <t>мяг</t>
        </is>
      </c>
      <c r="M460" s="23" t="n">
        <v>512</v>
      </c>
      <c r="N460" s="23" t="n">
        <v>2018</v>
      </c>
      <c r="O460" s="23" t="n">
        <v>254</v>
      </c>
      <c r="P460" s="23" t="n"/>
      <c r="Q460" s="23" t="n"/>
      <c r="R460" s="25" t="n"/>
      <c r="S460" s="26">
        <f>HYPERLINK("http://www.cnpol.ru/covers/18157.jpg","фото на сайте")</f>
        <v/>
      </c>
    </row>
    <row r="461" ht="50.1" customHeight="1" s="3">
      <c r="A461" s="23" t="n"/>
      <c r="B461" s="24" t="inlineStr">
        <is>
          <t>19392</t>
        </is>
      </c>
      <c r="C461" s="23" t="inlineStr">
        <is>
          <t>ДЕТЕКТИВ</t>
        </is>
      </c>
      <c r="D461" s="23" t="inlineStr">
        <is>
          <t>Аспе П.</t>
        </is>
      </c>
      <c r="E461" s="23" t="inlineStr">
        <is>
          <t>Убийцы Мидаса</t>
        </is>
      </c>
      <c r="F461" s="23" t="inlineStr">
        <is>
          <t>        </t>
        </is>
      </c>
      <c r="G461" s="23" t="n">
        <v>330</v>
      </c>
      <c r="H461" s="23" t="n">
        <v>10</v>
      </c>
      <c r="I461" s="23" t="n">
        <v>20</v>
      </c>
      <c r="J461" s="23" t="inlineStr">
        <is>
          <t>978-5-227-09220-5</t>
        </is>
      </c>
      <c r="K461" s="23" t="inlineStr">
        <is>
          <t>75x100 1/32</t>
        </is>
      </c>
      <c r="L461" s="23" t="inlineStr">
        <is>
          <t>мяг</t>
        </is>
      </c>
      <c r="M461" s="23" t="n">
        <v>320</v>
      </c>
      <c r="N461" s="23" t="n">
        <v>2020</v>
      </c>
      <c r="O461" s="23" t="n">
        <v>164</v>
      </c>
      <c r="P461" s="23" t="n"/>
      <c r="Q461" s="23" t="n"/>
      <c r="R461" s="25" t="n"/>
      <c r="S461" s="26">
        <f>HYPERLINK("http://www.cnpol.ru/covers/19392.jpg","фото на сайте")</f>
        <v/>
      </c>
    </row>
    <row r="462" ht="50.1" customHeight="1" s="3">
      <c r="A462" s="23" t="n"/>
      <c r="B462" s="24" t="inlineStr">
        <is>
          <t>18068</t>
        </is>
      </c>
      <c r="C462" s="23" t="inlineStr">
        <is>
          <t>ДЕТЕКТИВ</t>
        </is>
      </c>
      <c r="D462" s="23" t="inlineStr">
        <is>
          <t>Камминг Ч</t>
        </is>
      </c>
      <c r="E462" s="23" t="inlineStr">
        <is>
          <t>Холоднее войны</t>
        </is>
      </c>
      <c r="F462" s="23" t="inlineStr">
        <is>
          <t>        </t>
        </is>
      </c>
      <c r="G462" s="23" t="n">
        <v>330</v>
      </c>
      <c r="H462" s="23" t="n">
        <v>10</v>
      </c>
      <c r="I462" s="23" t="n">
        <v>18</v>
      </c>
      <c r="J462" s="23" t="inlineStr">
        <is>
          <t>978-5-227-08082-0</t>
        </is>
      </c>
      <c r="K462" s="23" t="inlineStr">
        <is>
          <t>75x100 1/32</t>
        </is>
      </c>
      <c r="L462" s="23" t="inlineStr">
        <is>
          <t>мяг</t>
        </is>
      </c>
      <c r="M462" s="23" t="n">
        <v>384</v>
      </c>
      <c r="N462" s="23" t="n">
        <v>2018</v>
      </c>
      <c r="O462" s="23" t="n">
        <v>194</v>
      </c>
      <c r="P462" s="23" t="n"/>
      <c r="Q462" s="23" t="n"/>
      <c r="R462" s="25" t="n"/>
      <c r="S462" s="26">
        <f>HYPERLINK("http://www.cnpol.ru/covers/18068.jpg","фото на сайте")</f>
        <v/>
      </c>
    </row>
    <row r="463" ht="50.1" customHeight="1" s="3">
      <c r="A463" s="23" t="n"/>
      <c r="B463" s="24" t="inlineStr">
        <is>
          <t>20870</t>
        </is>
      </c>
      <c r="C463" s="23" t="inlineStr">
        <is>
          <t>ДЕТЕКТИВ</t>
        </is>
      </c>
      <c r="D463" s="23" t="inlineStr">
        <is>
          <t>Фёр А.</t>
        </is>
      </c>
      <c r="E463" s="23" t="inlineStr">
        <is>
          <t>Черная вода</t>
        </is>
      </c>
      <c r="F463" s="23" t="inlineStr">
        <is>
          <t>        </t>
        </is>
      </c>
      <c r="G463" s="23" t="n">
        <v>330</v>
      </c>
      <c r="H463" s="23" t="n">
        <v>10</v>
      </c>
      <c r="I463" s="23" t="n">
        <v>10</v>
      </c>
      <c r="J463" s="23" t="inlineStr">
        <is>
          <t>978-5-227-10502-8</t>
        </is>
      </c>
      <c r="K463" s="23" t="inlineStr">
        <is>
          <t>75x100 1/32</t>
        </is>
      </c>
      <c r="L463" s="23" t="inlineStr">
        <is>
          <t>мяг</t>
        </is>
      </c>
      <c r="M463" s="23" t="n">
        <v>287</v>
      </c>
      <c r="N463" s="23" t="n">
        <v>2023</v>
      </c>
      <c r="O463" s="23" t="n">
        <v>148</v>
      </c>
      <c r="P463" s="23" t="n"/>
      <c r="Q463" s="23" t="n"/>
      <c r="R463" s="25" t="inlineStr">
        <is>
          <t>Черная полоса в жизни обермейстера полиции Лео Кройтнера, казалось, подходит к концу. Совсем недавно при производстве домашнего шнапса он едва не сжег дом, а за лихую езду на время лишился прав. И вот на костюмированном балу в пивной мельницы Мангфалль на его ухаживания ответила женщина, на взаимность которой он не смел и надеяться. Вечер обещал завершиться вожделенной близостью, но куда привести возлюбленную? Авантюрист Кройтнер быстро находит решение. Берет  у знакомых ключ от особняка местного жителя, который сейчас в отъезде. Подбивает отца своего начальника Валльнера пуститься во все тяжкие, и на машине старика троица отправляется в пустующий дом. В спальне вместо женских ласк Кройтнера ждет неприятный сюрприз — труп хозяина особняка. А неадекватная девица с пистолетом в руке, появившаяся из соседней комнаты, ранит полицейского в голову. Казалось бы, преступление банальное, и убийца в руках правосудия, но блестящий дуэт двух полицейских, Валльнера и Кройтнера, не позволит увести расследование в неверном направлении.</t>
        </is>
      </c>
      <c r="S463" s="26">
        <f>HYPERLINK("http://www.cnpol.ru/covers/20870.jpg","фото на сайте")</f>
        <v/>
      </c>
    </row>
    <row r="464" ht="50.1" customHeight="1" s="3">
      <c r="A464" s="23" t="n"/>
      <c r="B464" s="24" t="inlineStr">
        <is>
          <t>18943</t>
        </is>
      </c>
      <c r="C464" s="23" t="inlineStr">
        <is>
          <t>ДЕТЕКТИВ</t>
        </is>
      </c>
      <c r="D464" s="23" t="inlineStr">
        <is>
          <t>Баркер Д. Д</t>
        </is>
      </c>
      <c r="E464" s="23" t="inlineStr">
        <is>
          <t>Четвертая обезьяна</t>
        </is>
      </c>
      <c r="F464" s="23" t="inlineStr">
        <is>
          <t>        </t>
        </is>
      </c>
      <c r="G464" s="23" t="n">
        <v>330</v>
      </c>
      <c r="H464" s="23" t="n">
        <v>10</v>
      </c>
      <c r="I464" s="23" t="n">
        <v>16</v>
      </c>
      <c r="J464" s="23" t="inlineStr">
        <is>
          <t>978-5-227-08905-2</t>
        </is>
      </c>
      <c r="K464" s="23" t="inlineStr">
        <is>
          <t>75x100 1/32</t>
        </is>
      </c>
      <c r="L464" s="23" t="inlineStr">
        <is>
          <t>мяг</t>
        </is>
      </c>
      <c r="M464" s="23" t="n">
        <v>416</v>
      </c>
      <c r="N464" s="23" t="n">
        <v>2019</v>
      </c>
      <c r="O464" s="23" t="n">
        <v>208</v>
      </c>
      <c r="P464" s="23" t="n"/>
      <c r="Q464" s="23" t="n"/>
      <c r="R464" s="25" t="n"/>
      <c r="S464" s="26">
        <f>HYPERLINK("http://www.cnpol.ru/covers/18943.jpg","фото на сайте")</f>
        <v/>
      </c>
    </row>
    <row r="465" ht="50.1" customHeight="1" s="3">
      <c r="A465" s="23" t="n"/>
      <c r="B465" s="24" t="inlineStr">
        <is>
          <t>18023</t>
        </is>
      </c>
      <c r="C465" s="23" t="inlineStr">
        <is>
          <t>ДЕТЕКТИВ</t>
        </is>
      </c>
      <c r="D465" s="23" t="inlineStr">
        <is>
          <t>Камминг Ч</t>
        </is>
      </c>
      <c r="E465" s="23" t="inlineStr">
        <is>
          <t>Чужая страна</t>
        </is>
      </c>
      <c r="F465" s="23" t="inlineStr">
        <is>
          <t>        </t>
        </is>
      </c>
      <c r="G465" s="23" t="n">
        <v>330</v>
      </c>
      <c r="H465" s="23" t="n">
        <v>10</v>
      </c>
      <c r="I465" s="23" t="n">
        <v>20</v>
      </c>
      <c r="J465" s="23" t="inlineStr">
        <is>
          <t>978-5-227-07080-7</t>
        </is>
      </c>
      <c r="K465" s="23" t="inlineStr">
        <is>
          <t>75x100 1/32</t>
        </is>
      </c>
      <c r="L465" s="23" t="inlineStr">
        <is>
          <t>мяг</t>
        </is>
      </c>
      <c r="M465" s="23" t="n">
        <v>320</v>
      </c>
      <c r="N465" s="23" t="n">
        <v>2018</v>
      </c>
      <c r="O465" s="23" t="n">
        <v>162</v>
      </c>
      <c r="P465" s="23" t="n"/>
      <c r="Q465" s="23" t="n"/>
      <c r="R465" s="25" t="n"/>
      <c r="S465" s="26">
        <f>HYPERLINK("http://www.cnpol.ru/covers/18023.jpg","фото на сайте")</f>
        <v/>
      </c>
    </row>
    <row r="466" ht="50.1" customHeight="1" s="3">
      <c r="A466" s="23" t="n"/>
      <c r="B466" s="24" t="inlineStr">
        <is>
          <t>18304</t>
        </is>
      </c>
      <c r="C466" s="23" t="inlineStr">
        <is>
          <t>ДЕТЕКТИВ</t>
        </is>
      </c>
      <c r="D466" s="23" t="inlineStr">
        <is>
          <t>Джеймс П.</t>
        </is>
      </c>
      <c r="E466" s="23" t="inlineStr">
        <is>
          <t>Шпионский тайник</t>
        </is>
      </c>
      <c r="F466" s="23" t="inlineStr">
        <is>
          <t>        </t>
        </is>
      </c>
      <c r="G466" s="23" t="n">
        <v>330</v>
      </c>
      <c r="H466" s="23" t="n">
        <v>10</v>
      </c>
      <c r="I466" s="23" t="n">
        <v>32</v>
      </c>
      <c r="J466" s="23" t="inlineStr">
        <is>
          <t>978-5-227-08369-2</t>
        </is>
      </c>
      <c r="K466" s="23" t="inlineStr">
        <is>
          <t>75x100 1/32</t>
        </is>
      </c>
      <c r="L466" s="23" t="inlineStr">
        <is>
          <t>мяг</t>
        </is>
      </c>
      <c r="M466" s="23" t="n">
        <v>224</v>
      </c>
      <c r="N466" s="23" t="n">
        <v>2018</v>
      </c>
      <c r="O466" s="23" t="n">
        <v>116</v>
      </c>
      <c r="P466" s="23" t="n"/>
      <c r="Q466" s="23" t="n"/>
      <c r="R466" s="25" t="n"/>
      <c r="S466" s="26">
        <f>HYPERLINK("http://www.cnpol.ru/covers/18304.jpg","фото на сайте")</f>
        <v/>
      </c>
    </row>
    <row r="467" ht="50.1" customHeight="1" s="3">
      <c r="A467" s="23" t="n"/>
      <c r="B467" s="24" t="inlineStr">
        <is>
          <t>19502</t>
        </is>
      </c>
      <c r="C467" s="23" t="inlineStr">
        <is>
          <t>ДЕТЕКТИВ</t>
        </is>
      </c>
      <c r="D467" s="23" t="inlineStr">
        <is>
          <t>Фитцек С.</t>
        </is>
      </c>
      <c r="E467" s="23" t="inlineStr">
        <is>
          <t>Я - убийца</t>
        </is>
      </c>
      <c r="F467" s="23" t="inlineStr">
        <is>
          <t>        </t>
        </is>
      </c>
      <c r="G467" s="23" t="n">
        <v>330</v>
      </c>
      <c r="H467" s="23" t="n">
        <v>10</v>
      </c>
      <c r="I467" s="23" t="n">
        <v>20</v>
      </c>
      <c r="J467" s="23" t="inlineStr">
        <is>
          <t>978-5-227-09285-4</t>
        </is>
      </c>
      <c r="K467" s="23" t="inlineStr">
        <is>
          <t>75x100 1/32</t>
        </is>
      </c>
      <c r="L467" s="23" t="inlineStr">
        <is>
          <t>мяг</t>
        </is>
      </c>
      <c r="M467" s="23" t="n">
        <v>320</v>
      </c>
      <c r="N467" s="23" t="n">
        <v>2020</v>
      </c>
      <c r="O467" s="23" t="n">
        <v>164</v>
      </c>
      <c r="P467" s="23" t="n"/>
      <c r="Q467" s="23" t="n"/>
      <c r="R467" s="25" t="n"/>
      <c r="S467" s="26">
        <f>HYPERLINK("http://www.cnpol.ru/covers/19502.jpg","фото на сайте")</f>
        <v/>
      </c>
    </row>
    <row r="468" ht="50.1" customHeight="1" s="3">
      <c r="A468" s="23" t="n"/>
      <c r="B468" s="24" t="inlineStr">
        <is>
          <t>5125</t>
        </is>
      </c>
      <c r="C468" s="23" t="inlineStr">
        <is>
          <t>ДЕТЕКТИВ02</t>
        </is>
      </c>
      <c r="D468" s="23" t="inlineStr">
        <is>
          <t>Гладкий В.</t>
        </is>
      </c>
      <c r="E468" s="23" t="inlineStr">
        <is>
          <t>Обреченный убивать</t>
        </is>
      </c>
      <c r="F468" s="23" t="inlineStr">
        <is>
          <t>        </t>
        </is>
      </c>
      <c r="G468" s="23" t="n">
        <v>150</v>
      </c>
      <c r="H468" s="23" t="n">
        <v>10</v>
      </c>
      <c r="I468" s="23" t="n">
        <v>20</v>
      </c>
      <c r="J468" s="23" t="inlineStr">
        <is>
          <t>5-9524-0664-5</t>
        </is>
      </c>
      <c r="K468" s="23" t="inlineStr">
        <is>
          <t>70x90 1/32</t>
        </is>
      </c>
      <c r="L468" s="23" t="inlineStr">
        <is>
          <t>мяг</t>
        </is>
      </c>
      <c r="M468" s="23" t="n">
        <v>445</v>
      </c>
      <c r="N468" s="23" t="n">
        <v>2004</v>
      </c>
      <c r="O468" s="23" t="n">
        <v>176</v>
      </c>
      <c r="P468" s="23" t="n"/>
      <c r="Q468" s="23" t="n"/>
      <c r="R468" s="25" t="n"/>
      <c r="S468" s="26">
        <f>HYPERLINK("http://www.cnpol.ru/covers/5125.jpg","фото на сайте")</f>
        <v/>
      </c>
    </row>
    <row r="469" ht="50.1" customHeight="1" s="3">
      <c r="A469" s="23" t="n"/>
      <c r="B469" s="24" t="inlineStr">
        <is>
          <t>3762</t>
        </is>
      </c>
      <c r="C469" s="23" t="inlineStr">
        <is>
          <t>ДИН</t>
        </is>
      </c>
      <c r="D469" s="23" t="inlineStr">
        <is>
          <t>Ван Гулик Роберт</t>
        </is>
      </c>
      <c r="E469" s="23" t="inlineStr">
        <is>
          <t>Искусство секса в древнем Китае</t>
        </is>
      </c>
      <c r="F469" s="23" t="inlineStr">
        <is>
          <t>        </t>
        </is>
      </c>
      <c r="G469" s="23" t="n">
        <v>300</v>
      </c>
      <c r="H469" s="23" t="n">
        <v>10</v>
      </c>
      <c r="I469" s="23" t="n">
        <v>8</v>
      </c>
      <c r="J469" s="23" t="inlineStr">
        <is>
          <t>5-9524-0167-8</t>
        </is>
      </c>
      <c r="K469" s="23" t="inlineStr">
        <is>
          <t>76x100 1/32</t>
        </is>
      </c>
      <c r="L469" s="23" t="inlineStr">
        <is>
          <t>тв</t>
        </is>
      </c>
      <c r="M469" s="23" t="n">
        <v>507</v>
      </c>
      <c r="N469" s="23" t="n">
        <v>2003</v>
      </c>
      <c r="O469" s="23" t="n">
        <v>318</v>
      </c>
      <c r="P469" s="23" t="n"/>
      <c r="Q469" s="23" t="n"/>
      <c r="R469" s="25" t="inlineStr">
        <is>
          <t>Уникальная книга голландского историка, китаиста, писателя и дипломата Роберта ван Гулика основана на документальных источниках - древней медицинской литературе, пособиях по сексуальной жизни, гравюрах китайских и японских коллекционеров. В книге показано влияние на сексуальную культуру даосизма, конфуцианства, монгольской оккупации, а также искусства, литературы, семейной жизни; затронуты вопросы проституции высших классов и венерологических заболеваний. Все аспекты авторского исследования даются для определенных исторических периодов с 1500 г. до н. э. до 1644 г. н. э.</t>
        </is>
      </c>
      <c r="S469" s="26">
        <f>HYPERLINK("http://www.cnpol.ru/covers/3762.jpg","фото на сайте")</f>
        <v/>
      </c>
    </row>
    <row r="470" ht="50.1" customHeight="1" s="3">
      <c r="A470" s="23" t="inlineStr">
        <is>
          <t>Н</t>
        </is>
      </c>
      <c r="B470" s="24" t="inlineStr">
        <is>
          <t>21580</t>
        </is>
      </c>
      <c r="C470" s="23" t="inlineStr">
        <is>
          <t>ДИН</t>
        </is>
      </c>
      <c r="D470" s="23" t="inlineStr">
        <is>
          <t>Дюген Э.</t>
        </is>
      </c>
      <c r="E470" s="23" t="inlineStr">
        <is>
          <t>Магия кошек. Как впустить в свой дом удачу</t>
        </is>
      </c>
      <c r="F470" s="23" t="inlineStr">
        <is>
          <t>        </t>
        </is>
      </c>
      <c r="G470" s="23" t="n">
        <v>728</v>
      </c>
      <c r="H470" s="23" t="n">
        <v>10</v>
      </c>
      <c r="I470" s="23" t="n">
        <v>10</v>
      </c>
      <c r="J470" s="23" t="inlineStr">
        <is>
          <t>978-5-9524-6387-5</t>
        </is>
      </c>
      <c r="K470" s="23" t="inlineStr">
        <is>
          <t>84x108 1/32</t>
        </is>
      </c>
      <c r="L470" s="23" t="inlineStr">
        <is>
          <t>тв</t>
        </is>
      </c>
      <c r="M470" s="23" t="n">
        <v>153</v>
      </c>
      <c r="N470" s="23" t="n">
        <v>2025</v>
      </c>
      <c r="O470" s="23" t="n">
        <v>136</v>
      </c>
      <c r="P470" s="23" t="n"/>
      <c r="Q470" s="23" t="n"/>
      <c r="R470" s="25" t="inlineStr">
        <is>
          <t>Элен Дюген — известная западная писательница — откроет для вас таинственный мир кошек. Вы узнаете, как впустить в свой дом благополучие и создать уют, постигнете секреты кошачьего фэн-шуй, сможете вернуть домой заблудившуюся любимицу. Некоторые секреты обращения с этими магическими животными помогут вам решить текущие проблемы. Автор подскажет, какая именно кошка принесет вам удачу в зависимости от ее цвета и знака зодиака!</t>
        </is>
      </c>
      <c r="S470" s="26">
        <f>HYPERLINK("http://www.cnpol.ru/covers/21580.jpg","фото на сайте")</f>
        <v/>
      </c>
    </row>
    <row r="471" ht="50.1" customHeight="1" s="3">
      <c r="A471" s="23" t="n"/>
      <c r="B471" s="24" t="inlineStr">
        <is>
          <t>4085</t>
        </is>
      </c>
      <c r="C471" s="23" t="inlineStr">
        <is>
          <t>ДНЕВНИК</t>
        </is>
      </c>
      <c r="D471" s="23" t="inlineStr">
        <is>
          <t>Вид 8</t>
        </is>
      </c>
      <c r="E471" s="23" t="inlineStr">
        <is>
          <t>Дневник школьника</t>
        </is>
      </c>
      <c r="F471" s="23" t="n">
        <v>8</v>
      </c>
      <c r="G471" s="23" t="n">
        <v>123</v>
      </c>
      <c r="H471" s="23" t="n">
        <v>10</v>
      </c>
      <c r="I471" s="23" t="n">
        <v>16</v>
      </c>
      <c r="J471" s="23" t="inlineStr">
        <is>
          <t>5-9524-08</t>
        </is>
      </c>
      <c r="K471" s="23" t="inlineStr">
        <is>
          <t>70x90 1/12</t>
        </is>
      </c>
      <c r="L471" s="23" t="inlineStr">
        <is>
          <t>тв</t>
        </is>
      </c>
      <c r="M471" s="23" t="inlineStr">
        <is>
          <t>    </t>
        </is>
      </c>
      <c r="N471" s="23" t="n">
        <v>2004</v>
      </c>
      <c r="O471" s="23" t="inlineStr">
        <is>
          <t>     </t>
        </is>
      </c>
      <c r="P471" s="23" t="n"/>
      <c r="Q471" s="23" t="n"/>
      <c r="R471" s="25" t="inlineStr">
        <is>
          <t>Дневник школьника.</t>
        </is>
      </c>
      <c r="S471" s="26">
        <f>HYPERLINK("http://www.cnpol.ru/covers/4085.jpg","фото на сайте")</f>
        <v/>
      </c>
    </row>
    <row r="472" ht="50.1" customHeight="1" s="3">
      <c r="A472" s="23" t="n"/>
      <c r="B472" s="24" t="inlineStr">
        <is>
          <t>17422</t>
        </is>
      </c>
      <c r="C472" s="23" t="inlineStr">
        <is>
          <t>ДНЕВНИЧОК +</t>
        </is>
      </c>
      <c r="D472" s="23" t="inlineStr">
        <is>
          <t>Группа</t>
        </is>
      </c>
      <c r="E472" s="23" t="inlineStr">
        <is>
          <t>Вислоухий с клубком Дневничок</t>
        </is>
      </c>
      <c r="F472" s="23" t="n">
        <v>5</v>
      </c>
      <c r="G472" s="23" t="n">
        <v>508</v>
      </c>
      <c r="H472" s="23" t="n">
        <v>10</v>
      </c>
      <c r="I472" s="23" t="n">
        <v>16</v>
      </c>
      <c r="J472" s="23" t="inlineStr">
        <is>
          <t>978-5-227-07417-1</t>
        </is>
      </c>
      <c r="K472" s="23" t="inlineStr">
        <is>
          <t>60x84 1/16</t>
        </is>
      </c>
      <c r="L472" s="23" t="inlineStr">
        <is>
          <t>тв</t>
        </is>
      </c>
      <c r="M472" s="23" t="n">
        <v>160</v>
      </c>
      <c r="N472" s="23" t="n">
        <v>2017</v>
      </c>
      <c r="O472" s="23" t="n">
        <v>324</v>
      </c>
      <c r="P472" s="23" t="n"/>
      <c r="Q472" s="23" t="n"/>
      <c r="R472" s="25" t="inlineStr">
        <is>
          <t>Открой "Мой личный дневничок", и ты узнаешь о-очень много интересного! Дневничок-астрологический.Прочти, кто ты и твои друзья по знаку зодиака и восточному гороскопу, оцени советы, как к с ними общаться и что им дарить, проверь свои сны. И не забудь записать телефоны папы и мамы, дни рождения родственников и знакомых и, конечно,свои секретики! Места для екретиков в "Дневничке" тебе хватит.Написала, перегнула страничку по диагонали- и теперь твой секретик на замке.А еще здесь есть странички -анкеты  для друзей, вечный календарь и замечательный цветочный гороскоп! Удачи тебе!</t>
        </is>
      </c>
      <c r="S472" s="26">
        <f>HYPERLINK("http://www.cnpol.ru/covers/17422.jpg","фото на сайте")</f>
        <v/>
      </c>
    </row>
    <row r="473" ht="50.1" customHeight="1" s="3">
      <c r="A473" s="23" t="n"/>
      <c r="B473" s="24" t="inlineStr">
        <is>
          <t>11747</t>
        </is>
      </c>
      <c r="C473" s="23" t="inlineStr">
        <is>
          <t>ДНЕВНИЧОК +</t>
        </is>
      </c>
      <c r="D473" s="23" t="inlineStr">
        <is>
          <t>Мой личный дневничок</t>
        </is>
      </c>
      <c r="E473" s="23" t="inlineStr">
        <is>
          <t>Девочка в соломенной шляпе</t>
        </is>
      </c>
      <c r="F473" s="23" t="n">
        <v>9</v>
      </c>
      <c r="G473" s="23" t="n">
        <v>320</v>
      </c>
      <c r="H473" s="23" t="n">
        <v>10</v>
      </c>
      <c r="I473" s="23" t="n">
        <v>20</v>
      </c>
      <c r="J473" s="23" t="inlineStr">
        <is>
          <t>978-5-9524-4854-4</t>
        </is>
      </c>
      <c r="K473" s="23" t="inlineStr">
        <is>
          <t>60x84 1/16</t>
        </is>
      </c>
      <c r="L473" s="23" t="inlineStr">
        <is>
          <t>тв</t>
        </is>
      </c>
      <c r="M473" s="23" t="n">
        <v>160</v>
      </c>
      <c r="N473" s="23" t="n">
        <v>2010</v>
      </c>
      <c r="O473" s="23" t="n">
        <v>300</v>
      </c>
      <c r="P473" s="23" t="n"/>
      <c r="Q473" s="23" t="n"/>
      <c r="R473" s="25" t="inlineStr">
        <is>
          <t>Открой "Мой личный дневничок", и ты узнаешь о-очень много интересного! Дневничок - астрологический. Прочти, кто ты?и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 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 Удачи тебе!</t>
        </is>
      </c>
      <c r="S473" s="26">
        <f>HYPERLINK("http://www.cnpol.ru/covers/11747.jpg","фото на сайте")</f>
        <v/>
      </c>
    </row>
    <row r="474" ht="50.1" customHeight="1" s="3">
      <c r="A474" s="23" t="n"/>
      <c r="B474" s="24" t="inlineStr">
        <is>
          <t>11744</t>
        </is>
      </c>
      <c r="C474" s="23" t="inlineStr">
        <is>
          <t>ДНЕВНИЧОК +</t>
        </is>
      </c>
      <c r="D474" s="23" t="inlineStr">
        <is>
          <t>Мой личный дневничок</t>
        </is>
      </c>
      <c r="E474" s="23" t="inlineStr">
        <is>
          <t>Девочка в черной шляпе</t>
        </is>
      </c>
      <c r="F474" s="23" t="n">
        <v>3</v>
      </c>
      <c r="G474" s="23" t="n">
        <v>320</v>
      </c>
      <c r="H474" s="23" t="n">
        <v>10</v>
      </c>
      <c r="I474" s="23" t="n">
        <v>20</v>
      </c>
      <c r="J474" s="23" t="inlineStr">
        <is>
          <t>978-5-9524-4856-8</t>
        </is>
      </c>
      <c r="K474" s="23" t="inlineStr">
        <is>
          <t>60x84 1/16</t>
        </is>
      </c>
      <c r="L474" s="23" t="inlineStr">
        <is>
          <t>тв</t>
        </is>
      </c>
      <c r="M474" s="23" t="n">
        <v>160</v>
      </c>
      <c r="N474" s="23" t="n">
        <v>2010</v>
      </c>
      <c r="O474" s="23" t="n">
        <v>300</v>
      </c>
      <c r="P474" s="23" t="n"/>
      <c r="Q474" s="23" t="n"/>
      <c r="R474" s="25" t="inlineStr">
        <is>
          <t>Дневничок-анкета для девочек.</t>
        </is>
      </c>
      <c r="S474" s="26">
        <f>HYPERLINK("http://www.cnpol.ru/covers/11744.jpg","фото на сайте")</f>
        <v/>
      </c>
    </row>
    <row r="475" ht="50.1" customHeight="1" s="3">
      <c r="A475" s="23" t="n"/>
      <c r="B475" s="24" t="inlineStr">
        <is>
          <t>18599</t>
        </is>
      </c>
      <c r="C475" s="23" t="inlineStr">
        <is>
          <t>ДНЕВНИЧОК +</t>
        </is>
      </c>
      <c r="D475" s="23" t="inlineStr">
        <is>
          <t>Группа</t>
        </is>
      </c>
      <c r="E475" s="23" t="inlineStr">
        <is>
          <t>Друзья: пес и котенок. Дневничок</t>
        </is>
      </c>
      <c r="F475" s="23" t="n">
        <v>7</v>
      </c>
      <c r="G475" s="23" t="n">
        <v>534</v>
      </c>
      <c r="H475" s="23" t="n">
        <v>10</v>
      </c>
      <c r="I475" s="23" t="n">
        <v>20</v>
      </c>
      <c r="J475" s="23" t="inlineStr">
        <is>
          <t>978-5-227-08499-6</t>
        </is>
      </c>
      <c r="K475" s="23" t="inlineStr">
        <is>
          <t>60x84 1/16</t>
        </is>
      </c>
      <c r="L475" s="23" t="inlineStr">
        <is>
          <t>тв</t>
        </is>
      </c>
      <c r="M475" s="23" t="n">
        <v>160</v>
      </c>
      <c r="N475" s="23" t="n">
        <v>2019</v>
      </c>
      <c r="O475" s="23" t="n">
        <v>324</v>
      </c>
      <c r="P475" s="23" t="n"/>
      <c r="Q475" s="23" t="n"/>
      <c r="R475" s="25" t="inlineStr">
        <is>
          <t>Открой «Мой личный дневничок», и ты узнаешь о-очень много интересного! Дневничок — астрологический. Прочти, кто ты 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гороскоп!_x000D_
Удачи тебе!</t>
        </is>
      </c>
      <c r="S475" s="26">
        <f>HYPERLINK("http://www.cnpol.ru/covers/18599.jpg","фото на сайте")</f>
        <v/>
      </c>
    </row>
    <row r="476" ht="50.1" customHeight="1" s="3">
      <c r="A476" s="23" t="n"/>
      <c r="B476" s="24" t="inlineStr">
        <is>
          <t>17936</t>
        </is>
      </c>
      <c r="C476" s="23" t="inlineStr">
        <is>
          <t>ДНЕВНИЧОК +</t>
        </is>
      </c>
      <c r="D476" s="23" t="inlineStr">
        <is>
          <t>Группа</t>
        </is>
      </c>
      <c r="E476" s="23" t="inlineStr">
        <is>
          <t>Кис цепляет лапкой. Дневничок</t>
        </is>
      </c>
      <c r="F476" s="23" t="n">
        <v>7</v>
      </c>
      <c r="G476" s="23" t="n">
        <v>508</v>
      </c>
      <c r="H476" s="23" t="n">
        <v>10</v>
      </c>
      <c r="I476" s="23" t="n">
        <v>12</v>
      </c>
      <c r="J476" s="23" t="inlineStr">
        <is>
          <t>978-5-227-08049-3</t>
        </is>
      </c>
      <c r="K476" s="23" t="inlineStr">
        <is>
          <t>60x84 1/16</t>
        </is>
      </c>
      <c r="L476" s="23" t="inlineStr">
        <is>
          <t>тв</t>
        </is>
      </c>
      <c r="M476" s="23" t="n">
        <v>160</v>
      </c>
      <c r="N476" s="23" t="n">
        <v>2018</v>
      </c>
      <c r="O476" s="23" t="n">
        <v>324</v>
      </c>
      <c r="P476" s="23" t="n"/>
      <c r="Q476" s="23" t="n"/>
      <c r="R476" s="25" t="n"/>
      <c r="S476" s="26">
        <f>HYPERLINK("http://www.cnpol.ru/covers/17936.jpg","фото на сайте")</f>
        <v/>
      </c>
    </row>
    <row r="477" ht="50.1" customHeight="1" s="3">
      <c r="A477" s="23" t="n"/>
      <c r="B477" s="24" t="inlineStr">
        <is>
          <t>19302</t>
        </is>
      </c>
      <c r="C477" s="23" t="inlineStr">
        <is>
          <t>ДНЕВНИЧОК +</t>
        </is>
      </c>
      <c r="D477" s="23" t="inlineStr">
        <is>
          <t>Группа</t>
        </is>
      </c>
      <c r="E477" s="23" t="inlineStr">
        <is>
          <t>Кот и пес. Дневничок</t>
        </is>
      </c>
      <c r="F477" s="23" t="n">
        <v>2</v>
      </c>
      <c r="G477" s="23" t="n">
        <v>554</v>
      </c>
      <c r="H477" s="23" t="n">
        <v>10</v>
      </c>
      <c r="I477" s="23" t="n">
        <v>20</v>
      </c>
      <c r="J477" s="23" t="inlineStr">
        <is>
          <t>978-5-227-09127-7</t>
        </is>
      </c>
      <c r="K477" s="23" t="inlineStr">
        <is>
          <t>60x84 1/16</t>
        </is>
      </c>
      <c r="L477" s="23" t="inlineStr">
        <is>
          <t>тв</t>
        </is>
      </c>
      <c r="M477" s="23" t="n">
        <v>160</v>
      </c>
      <c r="N477" s="23" t="n">
        <v>2020</v>
      </c>
      <c r="O477" s="23" t="n">
        <v>324</v>
      </c>
      <c r="P477" s="23" t="n"/>
      <c r="Q477" s="23" t="n"/>
      <c r="R477" s="25" t="inlineStr">
        <is>
          <t>Открой «Мой личный дневничок», и ты узнаешь о-очень много интересного! Дневничок — астрологический. Прочти, кто ты 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гороскоп!_x000D_
Удачи тебе!</t>
        </is>
      </c>
      <c r="S477" s="26">
        <f>HYPERLINK("http://www.cnpol.ru/covers/19302.jpg","фото на сайте")</f>
        <v/>
      </c>
    </row>
    <row r="478" ht="50.1" customHeight="1" s="3">
      <c r="A478" s="23" t="n"/>
      <c r="B478" s="24" t="inlineStr">
        <is>
          <t>17933</t>
        </is>
      </c>
      <c r="C478" s="23" t="inlineStr">
        <is>
          <t>ДНЕВНИЧОК +</t>
        </is>
      </c>
      <c r="D478" s="23" t="inlineStr">
        <is>
          <t>Группа</t>
        </is>
      </c>
      <c r="E478" s="23" t="inlineStr">
        <is>
          <t>Котенок в красной шапочке. Дневничок</t>
        </is>
      </c>
      <c r="F478" s="23" t="n">
        <v>4</v>
      </c>
      <c r="G478" s="23" t="n">
        <v>479</v>
      </c>
      <c r="H478" s="23" t="n">
        <v>10</v>
      </c>
      <c r="I478" s="23" t="n">
        <v>12</v>
      </c>
      <c r="J478" s="23" t="inlineStr">
        <is>
          <t>978-5-227-08046-2</t>
        </is>
      </c>
      <c r="K478" s="23" t="inlineStr">
        <is>
          <t>60x84 1/16</t>
        </is>
      </c>
      <c r="L478" s="23" t="inlineStr">
        <is>
          <t>тв</t>
        </is>
      </c>
      <c r="M478" s="23" t="n">
        <v>160</v>
      </c>
      <c r="N478" s="23" t="n">
        <v>2018</v>
      </c>
      <c r="O478" s="23" t="n">
        <v>324</v>
      </c>
      <c r="P478" s="23" t="n"/>
      <c r="Q478" s="23" t="n"/>
      <c r="R478" s="25" t="n"/>
      <c r="S478" s="26">
        <f>HYPERLINK("http://www.cnpol.ru/covers/17933.jpg","фото на сайте")</f>
        <v/>
      </c>
    </row>
    <row r="479" ht="50.1" customHeight="1" s="3">
      <c r="A479" s="23" t="n"/>
      <c r="B479" s="24" t="inlineStr">
        <is>
          <t>19304</t>
        </is>
      </c>
      <c r="C479" s="23" t="inlineStr">
        <is>
          <t>ДНЕВНИЧОК +</t>
        </is>
      </c>
      <c r="D479" s="23" t="inlineStr">
        <is>
          <t>Группа</t>
        </is>
      </c>
      <c r="E479" s="23" t="inlineStr">
        <is>
          <t>Котенок в красной шапочке. Дневничок</t>
        </is>
      </c>
      <c r="F479" s="23" t="n">
        <v>4</v>
      </c>
      <c r="G479" s="23" t="n">
        <v>554</v>
      </c>
      <c r="H479" s="23" t="n">
        <v>10</v>
      </c>
      <c r="I479" s="23" t="n">
        <v>20</v>
      </c>
      <c r="J479" s="23" t="inlineStr">
        <is>
          <t>978-5-227-09304-2</t>
        </is>
      </c>
      <c r="K479" s="23" t="inlineStr">
        <is>
          <t>60x84 1/16</t>
        </is>
      </c>
      <c r="L479" s="23" t="inlineStr">
        <is>
          <t>тв</t>
        </is>
      </c>
      <c r="M479" s="23" t="n">
        <v>160</v>
      </c>
      <c r="N479" s="23" t="n">
        <v>2020</v>
      </c>
      <c r="O479" s="23" t="n">
        <v>324</v>
      </c>
      <c r="P479" s="23" t="n"/>
      <c r="Q479" s="23" t="n"/>
      <c r="R479" s="25" t="inlineStr">
        <is>
          <t>Открой «Мой личный дневничок», и ты узнаешь о-очень много интересного! Дневничок — ­астрологический. Прочти, кто ты и твои друзья по знаку зодиака и?восточному гороскопу, оцени советы, как с ними общаться и?что им дарить, проверь свои сны. И?не забудь записать телефоны папы и?мамы, дни рождения родственников и знакомых и, конечно, свои секретики! Места для секретиков в?«Дневничке» тебе хватит. Написала, перегнула страничку по диагонали?— и?теперь твой секретик на замке. А еще здесь есть странички-анкеты для друзей, вечный календарь и замечательный цветочный гороскоп!_x000D_
Удачи тебе!</t>
        </is>
      </c>
      <c r="S479" s="26">
        <f>HYPERLINK("http://www.cnpol.ru/covers/19304.jpg","фото на сайте")</f>
        <v/>
      </c>
    </row>
    <row r="480" ht="50.1" customHeight="1" s="3">
      <c r="A480" s="23" t="n"/>
      <c r="B480" s="24" t="inlineStr">
        <is>
          <t>18597</t>
        </is>
      </c>
      <c r="C480" s="23" t="inlineStr">
        <is>
          <t>ДНЕВНИЧОК +</t>
        </is>
      </c>
      <c r="D480" s="23" t="inlineStr">
        <is>
          <t>Группа</t>
        </is>
      </c>
      <c r="E480" s="23" t="inlineStr">
        <is>
          <t>Котенок в сердечке. Дневничок</t>
        </is>
      </c>
      <c r="F480" s="23" t="n">
        <v>5</v>
      </c>
      <c r="G480" s="23" t="n">
        <v>534</v>
      </c>
      <c r="H480" s="23" t="n">
        <v>10</v>
      </c>
      <c r="I480" s="23" t="n">
        <v>20</v>
      </c>
      <c r="J480" s="23" t="inlineStr">
        <is>
          <t>978-5-227-08497-2</t>
        </is>
      </c>
      <c r="K480" s="23" t="inlineStr">
        <is>
          <t>60x84 1/16</t>
        </is>
      </c>
      <c r="L480" s="23" t="inlineStr">
        <is>
          <t>тв</t>
        </is>
      </c>
      <c r="M480" s="23" t="n">
        <v>160</v>
      </c>
      <c r="N480" s="23" t="n">
        <v>2019</v>
      </c>
      <c r="O480" s="23" t="n">
        <v>324</v>
      </c>
      <c r="P480" s="23" t="n"/>
      <c r="Q480" s="23" t="n"/>
      <c r="R480" s="25" t="n"/>
      <c r="S480" s="26">
        <f>HYPERLINK("http://www.cnpol.ru/covers/18597.jpg","фото на сайте")</f>
        <v/>
      </c>
    </row>
    <row r="481" ht="50.1" customHeight="1" s="3">
      <c r="A481" s="23" t="n"/>
      <c r="B481" s="24" t="inlineStr">
        <is>
          <t>19306</t>
        </is>
      </c>
      <c r="C481" s="23" t="inlineStr">
        <is>
          <t>ДНЕВНИЧОК +</t>
        </is>
      </c>
      <c r="D481" s="23" t="inlineStr">
        <is>
          <t>Группа</t>
        </is>
      </c>
      <c r="E481" s="23" t="inlineStr">
        <is>
          <t>Котенок с бабочками. Дневничок</t>
        </is>
      </c>
      <c r="F481" s="23" t="n">
        <v>6</v>
      </c>
      <c r="G481" s="23" t="n">
        <v>554</v>
      </c>
      <c r="H481" s="23" t="n">
        <v>10</v>
      </c>
      <c r="I481" s="23" t="n">
        <v>20</v>
      </c>
      <c r="J481" s="23" t="inlineStr">
        <is>
          <t>978-5-227-09305-9</t>
        </is>
      </c>
      <c r="K481" s="23" t="inlineStr">
        <is>
          <t>60x84 1/16</t>
        </is>
      </c>
      <c r="L481" s="23" t="inlineStr">
        <is>
          <t>тв</t>
        </is>
      </c>
      <c r="M481" s="23" t="n">
        <v>160</v>
      </c>
      <c r="N481" s="23" t="n">
        <v>2020</v>
      </c>
      <c r="O481" s="23" t="n">
        <v>324</v>
      </c>
      <c r="P481" s="23" t="n"/>
      <c r="Q481" s="23" t="n"/>
      <c r="R481" s="25" t="inlineStr">
        <is>
          <t>Открой «Мой личный дневничок», и ты узнаешь о-очень много интересного! Дневничок — астрологический. Прочти, кто ты 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гороскоп!_x000D_
Удачи тебе!</t>
        </is>
      </c>
      <c r="S481" s="26">
        <f>HYPERLINK("http://www.cnpol.ru/covers/19306.jpg","фото на сайте")</f>
        <v/>
      </c>
    </row>
    <row r="482" ht="50.1" customHeight="1" s="3">
      <c r="A482" s="23" t="n"/>
      <c r="B482" s="24" t="inlineStr">
        <is>
          <t>19305</t>
        </is>
      </c>
      <c r="C482" s="23" t="inlineStr">
        <is>
          <t>ДНЕВНИЧОК +</t>
        </is>
      </c>
      <c r="D482" s="23" t="inlineStr">
        <is>
          <t>Группа</t>
        </is>
      </c>
      <c r="E482" s="23" t="inlineStr">
        <is>
          <t>Котенок с клубком. Дневничок</t>
        </is>
      </c>
      <c r="F482" s="23" t="n">
        <v>5</v>
      </c>
      <c r="G482" s="23" t="n">
        <v>554</v>
      </c>
      <c r="H482" s="23" t="n">
        <v>10</v>
      </c>
      <c r="I482" s="23" t="n">
        <v>20</v>
      </c>
      <c r="J482" s="23" t="inlineStr">
        <is>
          <t>978-5-227-09130-7</t>
        </is>
      </c>
      <c r="K482" s="23" t="inlineStr">
        <is>
          <t>60x84 1/16</t>
        </is>
      </c>
      <c r="L482" s="23" t="inlineStr">
        <is>
          <t>тв</t>
        </is>
      </c>
      <c r="M482" s="23" t="n">
        <v>160</v>
      </c>
      <c r="N482" s="23" t="n">
        <v>2020</v>
      </c>
      <c r="O482" s="23" t="n">
        <v>324</v>
      </c>
      <c r="P482" s="23" t="n"/>
      <c r="Q482" s="23" t="n"/>
      <c r="R482" s="25" t="inlineStr">
        <is>
          <t>Открой "Мой личный дневничок", и ты узнаешь о-очень много интересного! Дневничок-астрологический.Прочти, кто ты и твои друзья по знаку зодиака и восточному гороскопу, оцени советы, как к с ними общаться и что им дарить, проверь свои сны. И не забудь записать телефоны папы и мамы, дни рождения родственников и знакомых и, конечно,свои секретики! Места для екретиков в "Дневничке" тебе хватит.Написала, перегнула страничку по диагонали- и теперь твой секретик на замке.А еще здесь есть странички -анкеты  для друзей, вечный календарь и замечательный цветочный гороскоп! Удачи тебе!</t>
        </is>
      </c>
      <c r="S482" s="26">
        <f>HYPERLINK("http://www.cnpol.ru/covers/19305.jpg","фото на сайте")</f>
        <v/>
      </c>
    </row>
    <row r="483" ht="50.1" customHeight="1" s="3">
      <c r="A483" s="23" t="n"/>
      <c r="B483" s="24" t="inlineStr">
        <is>
          <t>19308</t>
        </is>
      </c>
      <c r="C483" s="23" t="inlineStr">
        <is>
          <t>ДНЕВНИЧОК +</t>
        </is>
      </c>
      <c r="D483" s="23" t="inlineStr">
        <is>
          <t>Группа</t>
        </is>
      </c>
      <c r="E483" s="23" t="inlineStr">
        <is>
          <t>Котенок. Дневничок</t>
        </is>
      </c>
      <c r="F483" s="23" t="n">
        <v>8</v>
      </c>
      <c r="G483" s="23" t="n">
        <v>554</v>
      </c>
      <c r="H483" s="23" t="n">
        <v>10</v>
      </c>
      <c r="I483" s="23" t="n">
        <v>20</v>
      </c>
      <c r="J483" s="23" t="inlineStr">
        <is>
          <t>978-5-227-09307-3</t>
        </is>
      </c>
      <c r="K483" s="23" t="inlineStr">
        <is>
          <t>60x84 1/16</t>
        </is>
      </c>
      <c r="L483" s="23" t="inlineStr">
        <is>
          <t>тв</t>
        </is>
      </c>
      <c r="M483" s="23" t="n">
        <v>160</v>
      </c>
      <c r="N483" s="23" t="n">
        <v>2019</v>
      </c>
      <c r="O483" s="23" t="n">
        <v>324</v>
      </c>
      <c r="P483" s="23" t="n"/>
      <c r="Q483" s="23" t="n"/>
      <c r="R483" s="25" t="inlineStr">
        <is>
          <t>Открой «Мой личный дневничок», и ты узнаешь о-очень много интересного! Дневничок — астрологический. Прочти, кто ты 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гороскоп!_x000D_
Удачи тебе!</t>
        </is>
      </c>
      <c r="S483" s="26">
        <f>HYPERLINK("http://www.cnpol.ru/covers/19308.jpg","фото на сайте")</f>
        <v/>
      </c>
    </row>
    <row r="484" ht="50.1" customHeight="1" s="3">
      <c r="A484" s="23" t="n"/>
      <c r="B484" s="24" t="inlineStr">
        <is>
          <t>16601</t>
        </is>
      </c>
      <c r="C484" s="23" t="inlineStr">
        <is>
          <t>ДНЕВНИЧОК +</t>
        </is>
      </c>
      <c r="D484" s="23" t="inlineStr">
        <is>
          <t>Группа</t>
        </is>
      </c>
      <c r="E484" s="23" t="inlineStr">
        <is>
          <t>Котик грустный Дневничок</t>
        </is>
      </c>
      <c r="F484" s="23" t="n">
        <v>3</v>
      </c>
      <c r="G484" s="23" t="n">
        <v>428</v>
      </c>
      <c r="H484" s="23" t="n">
        <v>10</v>
      </c>
      <c r="I484" s="23" t="n">
        <v>16</v>
      </c>
      <c r="J484" s="23" t="inlineStr">
        <is>
          <t>978-5-227-06683-1</t>
        </is>
      </c>
      <c r="K484" s="23" t="inlineStr">
        <is>
          <t>60x84 1/16</t>
        </is>
      </c>
      <c r="L484" s="23" t="inlineStr">
        <is>
          <t>тв</t>
        </is>
      </c>
      <c r="M484" s="23" t="n">
        <v>160</v>
      </c>
      <c r="N484" s="23" t="n">
        <v>2016</v>
      </c>
      <c r="O484" s="23" t="n">
        <v>324</v>
      </c>
      <c r="P484" s="23" t="n"/>
      <c r="Q484" s="23" t="n"/>
      <c r="R484" s="25" t="inlineStr">
        <is>
          <t>Открой "Мой личный дневничок", и ты узнаешь о-очень много интересного! Дневничок-астрологический.Прочти, кто ты и твои друзья по знаку зодиака и восточному гороскопу, оцени советы, как к с ними общаться и что им дарить, проверь свои сны. И не забудь записать телефоны папы и мамы, дни рождения родственников и знакомых и, конечно,свои секретики! Места для екретиков в "Дневничке" тебе хватит.Написала, перегнула страничку по диагонали- и теперь твой секретик на замке.А еще здесь есть странички -анкеты  для друзей, вечный календарь и замечательный цветочный гороскоп! Удачи тебе!</t>
        </is>
      </c>
      <c r="S484" s="26">
        <f>HYPERLINK("http://www.cnpol.ru/covers/16601.jpg","фото на сайте")</f>
        <v/>
      </c>
    </row>
    <row r="485" ht="50.1" customHeight="1" s="3">
      <c r="A485" s="23" t="n"/>
      <c r="B485" s="24" t="inlineStr">
        <is>
          <t>18598</t>
        </is>
      </c>
      <c r="C485" s="23" t="inlineStr">
        <is>
          <t>ДНЕВНИЧОК +</t>
        </is>
      </c>
      <c r="D485" s="23" t="inlineStr">
        <is>
          <t>Группа</t>
        </is>
      </c>
      <c r="E485" s="23" t="inlineStr">
        <is>
          <t>Котята в корзинке. Дневничок</t>
        </is>
      </c>
      <c r="F485" s="23" t="n">
        <v>6</v>
      </c>
      <c r="G485" s="23" t="n">
        <v>534</v>
      </c>
      <c r="H485" s="23" t="n">
        <v>10</v>
      </c>
      <c r="I485" s="23" t="n">
        <v>20</v>
      </c>
      <c r="J485" s="23" t="inlineStr">
        <is>
          <t>978-5-227-08498-9</t>
        </is>
      </c>
      <c r="K485" s="23" t="inlineStr">
        <is>
          <t>60x84 1/16</t>
        </is>
      </c>
      <c r="L485" s="23" t="inlineStr">
        <is>
          <t>тв</t>
        </is>
      </c>
      <c r="M485" s="23" t="n">
        <v>160</v>
      </c>
      <c r="N485" s="23" t="n">
        <v>2019</v>
      </c>
      <c r="O485" s="23" t="n">
        <v>324</v>
      </c>
      <c r="P485" s="23" t="n"/>
      <c r="Q485" s="23" t="n"/>
      <c r="R485" s="25" t="inlineStr">
        <is>
          <t>Открой «Мой личный дневничок», и ты узнаешь о-очень много интересного! Дневничок — астрологический. Прочти, кто ты 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гороскоп!_x000D_
Удачи тебе!</t>
        </is>
      </c>
      <c r="S485" s="26">
        <f>HYPERLINK("http://www.cnpol.ru/covers/18598.jpg","фото на сайте")</f>
        <v/>
      </c>
    </row>
    <row r="486" ht="50.1" customHeight="1" s="3">
      <c r="A486" s="23" t="n"/>
      <c r="B486" s="24" t="inlineStr">
        <is>
          <t>19307</t>
        </is>
      </c>
      <c r="C486" s="23" t="inlineStr">
        <is>
          <t>ДНЕВНИЧОК +</t>
        </is>
      </c>
      <c r="D486" s="23" t="inlineStr">
        <is>
          <t>Группа</t>
        </is>
      </c>
      <c r="E486" s="23" t="inlineStr">
        <is>
          <t>Лохматый пёсик. Дневничок</t>
        </is>
      </c>
      <c r="F486" s="23" t="n">
        <v>7</v>
      </c>
      <c r="G486" s="23" t="n">
        <v>554</v>
      </c>
      <c r="H486" s="23" t="n">
        <v>10</v>
      </c>
      <c r="I486" s="23" t="n">
        <v>20</v>
      </c>
      <c r="J486" s="23" t="inlineStr">
        <is>
          <t>978-5-227-09306-6</t>
        </is>
      </c>
      <c r="K486" s="23" t="inlineStr">
        <is>
          <t>60x84 1/16</t>
        </is>
      </c>
      <c r="L486" s="23" t="inlineStr">
        <is>
          <t>тв</t>
        </is>
      </c>
      <c r="M486" s="23" t="n">
        <v>160</v>
      </c>
      <c r="N486" s="23" t="n">
        <v>2020</v>
      </c>
      <c r="O486" s="23" t="n">
        <v>324</v>
      </c>
      <c r="P486" s="23" t="n"/>
      <c r="Q486" s="23" t="n"/>
      <c r="R486" s="25" t="inlineStr">
        <is>
          <t>Открой «Мой личный дневничок», и ты узнаешь о-очень много интересного! Дневничок — астрологический. Прочти, кто ты 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гороскоп!_x000D_
Удачи тебе!</t>
        </is>
      </c>
      <c r="S486" s="26">
        <f>HYPERLINK("http://www.cnpol.ru/covers/19307.jpg","фото на сайте")</f>
        <v/>
      </c>
    </row>
    <row r="487" ht="50.1" customHeight="1" s="3">
      <c r="A487" s="23" t="n"/>
      <c r="B487" s="24" t="inlineStr">
        <is>
          <t>17071</t>
        </is>
      </c>
      <c r="C487" s="23" t="inlineStr">
        <is>
          <t>ДНЕВНИЧОК +</t>
        </is>
      </c>
      <c r="D487" s="23" t="inlineStr">
        <is>
          <t>Группа</t>
        </is>
      </c>
      <c r="E487" s="23" t="inlineStr">
        <is>
          <t>Сидячий грустный вислоух Дневничок</t>
        </is>
      </c>
      <c r="F487" s="23" t="n">
        <v>2</v>
      </c>
      <c r="G487" s="23" t="n">
        <v>508</v>
      </c>
      <c r="H487" s="23" t="n">
        <v>10</v>
      </c>
      <c r="I487" s="23" t="n">
        <v>16</v>
      </c>
      <c r="J487" s="23" t="inlineStr">
        <is>
          <t>978-5-227-06683-1</t>
        </is>
      </c>
      <c r="K487" s="23" t="inlineStr">
        <is>
          <t>60x84 1/16</t>
        </is>
      </c>
      <c r="L487" s="23" t="inlineStr">
        <is>
          <t>тв</t>
        </is>
      </c>
      <c r="M487" s="23" t="n">
        <v>160</v>
      </c>
      <c r="N487" s="23" t="n">
        <v>2016</v>
      </c>
      <c r="O487" s="23" t="n">
        <v>324</v>
      </c>
      <c r="P487" s="23" t="n"/>
      <c r="Q487" s="23" t="n"/>
      <c r="R487" s="25" t="n"/>
      <c r="S487" s="26">
        <f>HYPERLINK("http://www.cnpol.ru/covers/17071.jpg","фото на сайте")</f>
        <v/>
      </c>
    </row>
    <row r="488" ht="50.1" customHeight="1" s="3">
      <c r="A488" s="23" t="n"/>
      <c r="B488" s="24" t="inlineStr">
        <is>
          <t>19303</t>
        </is>
      </c>
      <c r="C488" s="23" t="inlineStr">
        <is>
          <t>ДНЕВНИЧОК +</t>
        </is>
      </c>
      <c r="D488" s="23" t="inlineStr">
        <is>
          <t>Группа</t>
        </is>
      </c>
      <c r="E488" s="23" t="inlineStr">
        <is>
          <t>Щенок. Дневничок</t>
        </is>
      </c>
      <c r="F488" s="23" t="n">
        <v>3</v>
      </c>
      <c r="G488" s="23" t="n">
        <v>554</v>
      </c>
      <c r="H488" s="23" t="n">
        <v>10</v>
      </c>
      <c r="I488" s="23" t="n">
        <v>20</v>
      </c>
      <c r="J488" s="23" t="inlineStr">
        <is>
          <t>978-5-227-09303-5</t>
        </is>
      </c>
      <c r="K488" s="23" t="inlineStr">
        <is>
          <t>60x84 1/16</t>
        </is>
      </c>
      <c r="L488" s="23" t="inlineStr">
        <is>
          <t>тв</t>
        </is>
      </c>
      <c r="M488" s="23" t="n">
        <v>160</v>
      </c>
      <c r="N488" s="23" t="n">
        <v>2020</v>
      </c>
      <c r="O488" s="23" t="n">
        <v>324</v>
      </c>
      <c r="P488" s="23" t="n"/>
      <c r="Q488" s="23" t="n"/>
      <c r="R488" s="25" t="n"/>
      <c r="S488" s="26">
        <f>HYPERLINK("http://www.cnpol.ru/covers/19303.jpg","фото на сайте")</f>
        <v/>
      </c>
    </row>
    <row r="489" ht="50.1" customHeight="1" s="3">
      <c r="A489" s="23" t="n"/>
      <c r="B489" s="24" t="inlineStr">
        <is>
          <t>19456</t>
        </is>
      </c>
      <c r="C489" s="23" t="inlineStr">
        <is>
          <t>ДОСУГ</t>
        </is>
      </c>
      <c r="D489" s="23" t="inlineStr">
        <is>
          <t>Мартьянова Л.М.</t>
        </is>
      </c>
      <c r="E489" s="23" t="inlineStr">
        <is>
          <t>Лучшие игры для девочек. Для маленьких принцесс и юных леди. Развлекательные и развивающие. Творческ</t>
        </is>
      </c>
      <c r="F489" s="23" t="inlineStr">
        <is>
          <t>        </t>
        </is>
      </c>
      <c r="G489" s="23" t="n">
        <v>204</v>
      </c>
      <c r="H489" s="23" t="n">
        <v>10</v>
      </c>
      <c r="I489" s="23" t="n">
        <v>24</v>
      </c>
      <c r="J489" s="23" t="inlineStr">
        <is>
          <t>978-5-227-09319-6</t>
        </is>
      </c>
      <c r="K489" s="23" t="inlineStr">
        <is>
          <t>84x108 1/32 (обл)</t>
        </is>
      </c>
      <c r="L489" s="23" t="inlineStr">
        <is>
          <t>мяг</t>
        </is>
      </c>
      <c r="M489" s="23" t="n">
        <v>192</v>
      </c>
      <c r="N489" s="23" t="n">
        <v>2021</v>
      </c>
      <c r="O489" s="23" t="n">
        <v>114</v>
      </c>
      <c r="P489" s="23" t="n"/>
      <c r="Q489" s="23" t="n"/>
      <c r="R489" s="25" t="inlineStr">
        <is>
          <t>Что наша жизнь? Игра! Давно знакомая всем фраза, и она полна глубокого смысла… Мы начинаем играть в раннем детстве, оттачиваем, играя, физические навыки, развиваем логику и фантазию, учимся взаимодействовать с коллективом и импровизировать…_x000D_
Игры переходят из поколения в поколение, а иногда дети придумывают их сами. В игре у детей вырабатываются правильные элементарные представления об окружающем, закладываются основы последующего формирования мировоззрения, воспитывается трудолюбие. В процессе игры у детей формируются знания и умения, развиваются художественный вкус, нравственные качества. При правильном воспитании через игру у ребенка можно пробудить интерес и желание к школьному обучению, наукам, искусству, да практически к чему угодно! Не поленитесь, уделите время для игр с детьми, организуйте их досуг, направьте бурную энергию в нужное русло._x000D_
Наша книга посвящена играм для девочек, хотя коллективные игры часто допускают смешанные команды и мальчики тоже не останутся в стороне. Пусть ваши маленькие принцессы и юные леди играючи получают знания и развивают полезные навыки, помогите им в этом — купите книгу!</t>
        </is>
      </c>
      <c r="S489" s="26">
        <f>HYPERLINK("http://www.cnpol.ru/covers/19456.jpg","фото на сайте")</f>
        <v/>
      </c>
    </row>
    <row r="490" ht="50.1" customHeight="1" s="3">
      <c r="A490" s="23" t="n"/>
      <c r="B490" s="24" t="inlineStr">
        <is>
          <t>14801</t>
        </is>
      </c>
      <c r="C490" s="23" t="inlineStr">
        <is>
          <t>ДУШЕВ КУЛ</t>
        </is>
      </c>
      <c r="D490" s="23" t="inlineStr">
        <is>
          <t>Вечерская И.</t>
        </is>
      </c>
      <c r="E490" s="23" t="inlineStr">
        <is>
          <t>100 рецептов блюд при диабете</t>
        </is>
      </c>
      <c r="F490" s="23" t="inlineStr">
        <is>
          <t>        </t>
        </is>
      </c>
      <c r="G490" s="23" t="n">
        <v>150</v>
      </c>
      <c r="H490" s="23" t="n">
        <v>10</v>
      </c>
      <c r="I490" s="23" t="n">
        <v>40</v>
      </c>
      <c r="J490" s="23" t="inlineStr">
        <is>
          <t>978-5-227-04553-9</t>
        </is>
      </c>
      <c r="K490" s="23" t="inlineStr">
        <is>
          <t>70x90 1/32</t>
        </is>
      </c>
      <c r="L490" s="23" t="inlineStr">
        <is>
          <t>мяг</t>
        </is>
      </c>
      <c r="M490" s="23" t="n">
        <v>159</v>
      </c>
      <c r="N490" s="23" t="n">
        <v>2014</v>
      </c>
      <c r="O490" s="23" t="n">
        <v>70</v>
      </c>
      <c r="P490" s="23" t="n"/>
      <c r="Q490" s="23" t="n"/>
      <c r="R490" s="25" t="inlineStr">
        <is>
          <t>Из книги вы кратко получите все необходимые для диабетика сведения: что такое диабет и каковы основные принципы его лечения; какие бывают диабетические осложнения и их профилактика; все о диете и разгрузочных днях. Но самое главное — получите рецепты вкусных и полезных блюд, ведь главная заповедь диабетика: «Есть, чтобы жить, а не жить, чтобы есть!» Книга незаменима и полезна для всех, кто страдает диабетом, а также для тех, чьи родные и близкие не понаслышке знакомы с этим заболеванием.</t>
        </is>
      </c>
      <c r="S490" s="26">
        <f>HYPERLINK("http://www.cnpol.ru/covers/14801.jpg","фото на сайте")</f>
        <v/>
      </c>
    </row>
    <row r="491" ht="50.1" customHeight="1" s="3">
      <c r="A491" s="23" t="n"/>
      <c r="B491" s="24" t="inlineStr">
        <is>
          <t>14648</t>
        </is>
      </c>
      <c r="C491" s="23" t="inlineStr">
        <is>
          <t>ДУШЕВ КУЛ</t>
        </is>
      </c>
      <c r="D491" s="23" t="inlineStr">
        <is>
          <t>Вечерская И.</t>
        </is>
      </c>
      <c r="E491" s="23" t="inlineStr">
        <is>
          <t>100 рецептов блюд, богатыми витамином А. Вкусно, полезно, душевно, целебно</t>
        </is>
      </c>
      <c r="F491" s="23" t="inlineStr">
        <is>
          <t>        </t>
        </is>
      </c>
      <c r="G491" s="23" t="n">
        <v>150</v>
      </c>
      <c r="H491" s="23" t="n">
        <v>10</v>
      </c>
      <c r="I491" s="23" t="n">
        <v>40</v>
      </c>
      <c r="J491" s="23" t="inlineStr">
        <is>
          <t>978-5-227-04264-4</t>
        </is>
      </c>
      <c r="K491" s="23" t="inlineStr">
        <is>
          <t>70x90 1/32</t>
        </is>
      </c>
      <c r="L491" s="23" t="inlineStr">
        <is>
          <t>мяг</t>
        </is>
      </c>
      <c r="M491" s="23" t="n">
        <v>160</v>
      </c>
      <c r="N491" s="23" t="n">
        <v>2013</v>
      </c>
      <c r="O491" s="23" t="n">
        <v>70</v>
      </c>
      <c r="P491" s="23" t="n"/>
      <c r="Q491" s="23" t="n"/>
      <c r="R491" s="25" t="inlineStr">
        <is>
          <t>Данная книга расскажет о том, как питаться при недостатке в организме витамина А. При недостатке этого витамина замедляется рост костей, понижается сопротивление простудным заболеваниям, развивается куриная слепота, ухудшается белковый и жировой обмен, кожа становится сухой, а волосы ломкими… Вы нашли у себя эти симптомы? Не спешите принимать аптечные витамины! Лучше всего усваиваются те, которые мы получаем из натуральных продуктов. Где содержится больше всего витамина А? И как правильно съесть продукты, чтобы этот витамин усваивался? Ответам на эти вопросы и посвящена наша книга. А чтобы читателям было легче, дан не только список продуктов, но и рецепты готовых блюд.</t>
        </is>
      </c>
      <c r="S491" s="26">
        <f>HYPERLINK("http://www.cnpol.ru/covers/14648.jpg","фото на сайте")</f>
        <v/>
      </c>
    </row>
    <row r="492" ht="50.1" customHeight="1" s="3">
      <c r="A492" s="23" t="n"/>
      <c r="B492" s="24" t="inlineStr">
        <is>
          <t>16165</t>
        </is>
      </c>
      <c r="C492" s="23" t="inlineStr">
        <is>
          <t>ДУШЕВ КУЛ</t>
        </is>
      </c>
      <c r="D492" s="23" t="inlineStr">
        <is>
          <t>Вечерская И.</t>
        </is>
      </c>
      <c r="E492" s="23" t="inlineStr">
        <is>
          <t>100 рецептов вегетарианских блюд. Вкусно, полезно, душевно, целебно</t>
        </is>
      </c>
      <c r="F492" s="23" t="inlineStr">
        <is>
          <t>        </t>
        </is>
      </c>
      <c r="G492" s="23" t="n">
        <v>150</v>
      </c>
      <c r="H492" s="23" t="n">
        <v>10</v>
      </c>
      <c r="I492" s="23" t="n">
        <v>40</v>
      </c>
      <c r="J492" s="23" t="inlineStr">
        <is>
          <t>978-5-227-06047-1</t>
        </is>
      </c>
      <c r="K492" s="23" t="inlineStr">
        <is>
          <t>70x90 1/32</t>
        </is>
      </c>
      <c r="L492" s="23" t="inlineStr">
        <is>
          <t>мяг</t>
        </is>
      </c>
      <c r="M492" s="23" t="n">
        <v>158</v>
      </c>
      <c r="N492" s="23" t="n">
        <v>2015</v>
      </c>
      <c r="O492" s="23" t="n">
        <v>70</v>
      </c>
      <c r="P492" s="23" t="n"/>
      <c r="Q492" s="23" t="n"/>
      <c r="R492" s="25" t="inlineStr">
        <is>
          <t>Данная книга расскажет о том, как питаться приверженцам вегетарианства. Польза вегетарианства очевидна даже для тех, кто не является убежденным защитником животных. Сбалансированная вегетарианская диета полезна вне зависимости от того, какой из вариантов вегетарианства вы практикуете: можно отказаться только от мяса и рыбы или же стать строгим веганом, исключив из рациона также еще молочные продукты и яйца._x000D_
Вегетарианская диета состоит из продуктов, содержащих меньше калорий и жиров, а это значит, что и здоровье укре­пится, и вес придет в норму. Растительные белки гораздо легче усваиваются и расщепляются — почки будут вам благодарны. Снижается количество холестерина и уменьшается вероятность возникновения ряда серьезных заболеваний — например, сахарного диабета, ишемической болезни сердца, высокого давления и некоторых форм рака…</t>
        </is>
      </c>
      <c r="S492" s="26">
        <f>HYPERLINK("http://www.cnpol.ru/covers/16165.jpg","фото на сайте")</f>
        <v/>
      </c>
    </row>
    <row r="493" ht="50.1" customHeight="1" s="3">
      <c r="A493" s="23" t="n"/>
      <c r="B493" s="24" t="inlineStr">
        <is>
          <t>16238</t>
        </is>
      </c>
      <c r="C493" s="23" t="inlineStr">
        <is>
          <t>ДУШЕВ КУЛ</t>
        </is>
      </c>
      <c r="D493" s="23" t="inlineStr">
        <is>
          <t>Вечерская И.</t>
        </is>
      </c>
      <c r="E493" s="23" t="inlineStr">
        <is>
          <t>100 рецептов для молодых мам</t>
        </is>
      </c>
      <c r="F493" s="23" t="inlineStr">
        <is>
          <t>        </t>
        </is>
      </c>
      <c r="G493" s="23" t="n">
        <v>150</v>
      </c>
      <c r="H493" s="23" t="n">
        <v>10</v>
      </c>
      <c r="I493" s="23" t="n">
        <v>40</v>
      </c>
      <c r="J493" s="23" t="inlineStr">
        <is>
          <t>978-5-227-06010-5</t>
        </is>
      </c>
      <c r="K493" s="23" t="inlineStr">
        <is>
          <t>70x90 1/32</t>
        </is>
      </c>
      <c r="L493" s="23" t="inlineStr">
        <is>
          <t>мяг</t>
        </is>
      </c>
      <c r="M493" s="23" t="n">
        <v>158</v>
      </c>
      <c r="N493" s="23" t="n">
        <v>2015</v>
      </c>
      <c r="O493" s="23" t="n">
        <v>72</v>
      </c>
      <c r="P493" s="23" t="n"/>
      <c r="Q493" s="23" t="n"/>
      <c r="R493" s="25" t="inlineStr">
        <is>
          <t>Сегодня мы расскажем о питании для женщин, которые ­недавно стали мамами и кормят малышей грудью. Всем известно, что молоко должно быть исключительным способом кормления младенца хотя бы первые месяцы его жизни. От этого зависит здоровье, рост и правильное развитие малыша. А качество и количество молока зависят от питания матери. Все женщины знают это, но не все могут сказать, что конкретно надо есть, чтобы молоко было самым лучшим по составу и вкусу и чтобы его хватало ребенку. Также необходимо знать, каких продуктов питания не должно быть в мамином меню, поскольку они могут навредить малышу. Особенно это важно в наше время, когда различные виды аллергий стали бичом для взрослых и детей. Этим вопросам и будет посвящена данная книга. Мы предлагаем собрание рецептов блюд, полезных кормящей женщине. Конечно, это только пример того, чем она может питаться исходя из списка полезных и разрешенных продуктов. Каждая женщина, ориентируясь на этот список, сможет придумать свои рецепты.</t>
        </is>
      </c>
      <c r="S493" s="26">
        <f>HYPERLINK("http://www.cnpol.ru/covers/16238.jpg","фото на сайте")</f>
        <v/>
      </c>
    </row>
    <row r="494" ht="50.1" customHeight="1" s="3">
      <c r="A494" s="23" t="n"/>
      <c r="B494" s="24" t="inlineStr">
        <is>
          <t>17134</t>
        </is>
      </c>
      <c r="C494" s="23" t="inlineStr">
        <is>
          <t>ДУШЕВ КУЛ</t>
        </is>
      </c>
      <c r="D494" s="23" t="inlineStr">
        <is>
          <t>Вечерская И.</t>
        </is>
      </c>
      <c r="E494" s="23" t="inlineStr">
        <is>
          <t>100 рецептов для омоложения</t>
        </is>
      </c>
      <c r="F494" s="23" t="inlineStr">
        <is>
          <t>        </t>
        </is>
      </c>
      <c r="G494" s="23" t="n">
        <v>150</v>
      </c>
      <c r="H494" s="23" t="n">
        <v>10</v>
      </c>
      <c r="I494" s="23" t="n">
        <v>28</v>
      </c>
      <c r="J494" s="23" t="inlineStr">
        <is>
          <t>978-5-227-07244-3</t>
        </is>
      </c>
      <c r="K494" s="23" t="inlineStr">
        <is>
          <t>70x90 1/32</t>
        </is>
      </c>
      <c r="L494" s="23" t="inlineStr">
        <is>
          <t>мяг</t>
        </is>
      </c>
      <c r="M494" s="23" t="n">
        <v>160</v>
      </c>
      <c r="N494" s="23" t="n">
        <v>2016</v>
      </c>
      <c r="O494" s="23" t="n">
        <v>68</v>
      </c>
      <c r="P494" s="23" t="n"/>
      <c r="Q494" s="23" t="n"/>
      <c r="R494" s="25" t="inlineStr">
        <is>
          <t>Сегодня мы дадим вам 100 рецептов блюд, употребление которых дает стойкий омолаживающий эффект. Не удивляйтесь, ведь давно известно, что правильная еда творит чудеса. Работа внутренних органов налаживается, улучшается пищеварение, поднимается иммунитет… И вот уже ваши суставы обретают былую гибкость, кожа светится здоровьем, а волосы блестят. Не стоит надеяться на дорогие кремы от морщин, косметическую хирургию — ваша молодость в тарелке! Питайтесь правильно и будьте молоды и красивы.</t>
        </is>
      </c>
      <c r="S494" s="26">
        <f>HYPERLINK("http://www.cnpol.ru/covers/17134.jpg","фото на сайте")</f>
        <v/>
      </c>
    </row>
    <row r="495" ht="50.1" customHeight="1" s="3">
      <c r="A495" s="23" t="n"/>
      <c r="B495" s="24" t="inlineStr">
        <is>
          <t>13920</t>
        </is>
      </c>
      <c r="C495" s="23" t="inlineStr">
        <is>
          <t>ДУШЕВ КУЛ</t>
        </is>
      </c>
      <c r="D495" s="23" t="inlineStr">
        <is>
          <t>Мудрова А.Ю.</t>
        </is>
      </c>
      <c r="E495" s="23" t="inlineStr">
        <is>
          <t>100 рецептов для разных знаков зодиака</t>
        </is>
      </c>
      <c r="F495" s="23" t="inlineStr">
        <is>
          <t>        </t>
        </is>
      </c>
      <c r="G495" s="23" t="n">
        <v>150</v>
      </c>
      <c r="H495" s="23" t="n">
        <v>10</v>
      </c>
      <c r="I495" s="23" t="n">
        <v>40</v>
      </c>
      <c r="J495" s="23" t="inlineStr">
        <is>
          <t>978-5-227-03888-3</t>
        </is>
      </c>
      <c r="K495" s="23" t="inlineStr">
        <is>
          <t>70x90 1/32</t>
        </is>
      </c>
      <c r="L495" s="23" t="inlineStr">
        <is>
          <t>мяг</t>
        </is>
      </c>
      <c r="M495" s="23" t="n">
        <v>190</v>
      </c>
      <c r="N495" s="23" t="n">
        <v>2012</v>
      </c>
      <c r="O495" s="23" t="n">
        <v>84</v>
      </c>
      <c r="P495" s="23" t="n"/>
      <c r="Q495" s="23" t="n"/>
      <c r="R495" s="25" t="inlineStr">
        <is>
          <t>Оказывается, совершенно непохожая пища нужна представителям разных знаков зодиака! Как нельзя кормить настоящих львов и козерогов одинаково, так и их астральные «тезки» нуждаются в разных диетах…_x000D_
Из книги вы узнаете, какие проблемы со здоровьем преследуют представителей разных знаков зодиака и как их можно решить. Вооружившись информацией, вы будете знать, на что обратить внимание и каким образом можно уберечь и укрепить свое здоровье, у вас появляется шанс избежать многих заболеваний, к которым вы предрасположены. Здесь же вы найдете информацию о том, что такое лунная диета и как она работает.</t>
        </is>
      </c>
      <c r="S495" s="26">
        <f>HYPERLINK("http://www.cnpol.ru/covers/13920.jpg","фото на сайте")</f>
        <v/>
      </c>
    </row>
    <row r="496" ht="50.1" customHeight="1" s="3">
      <c r="A496" s="23" t="n"/>
      <c r="B496" s="24" t="inlineStr">
        <is>
          <t>16096</t>
        </is>
      </c>
      <c r="C496" s="23" t="inlineStr">
        <is>
          <t>ДУШЕВ КУЛ</t>
        </is>
      </c>
      <c r="D496" s="23" t="inlineStr">
        <is>
          <t>Вечерская И.</t>
        </is>
      </c>
      <c r="E496" s="23" t="inlineStr">
        <is>
          <t>100 рецептов любовных блюд</t>
        </is>
      </c>
      <c r="F496" s="23" t="inlineStr">
        <is>
          <t>        </t>
        </is>
      </c>
      <c r="G496" s="23" t="n">
        <v>150</v>
      </c>
      <c r="H496" s="23" t="n">
        <v>10</v>
      </c>
      <c r="I496" s="23" t="n">
        <v>40</v>
      </c>
      <c r="J496" s="23" t="inlineStr">
        <is>
          <t>978-5-227-05986-4</t>
        </is>
      </c>
      <c r="K496" s="23" t="inlineStr">
        <is>
          <t>70x90 1/32</t>
        </is>
      </c>
      <c r="L496" s="23" t="inlineStr">
        <is>
          <t>мяг</t>
        </is>
      </c>
      <c r="M496" s="23" t="n">
        <v>158</v>
      </c>
      <c r="N496" s="23" t="n">
        <v>2015</v>
      </c>
      <c r="O496" s="23" t="n">
        <v>72</v>
      </c>
      <c r="P496" s="23" t="n"/>
      <c r="Q496" s="23" t="n"/>
      <c r="R496" s="25" t="inlineStr">
        <is>
          <t>Наша книга расскажет о том, как питаться, чтобы быть всегда молодым и сексуально активным. Вы узнаете, как недостаток витаминов делает из молодых людей стариков, какие продукты следует есть мужчинам, а какие женщинам, что такое афродизиаки и какие специи разбудят в вас фонтан желаний! _x000D_
Обычно, когда говорят о любовной кулинарии, то имеют в виду блюда для романтического ужина, предваряющего любовное свидание. И во многом это справедливо. Голодному не до любовных утех, а объевшемуся — тем более. Так что тут нужен баланс, чтобы и силы были, но чтобы в сон не потянуло. Однако у любовной кулинарии есть и второй аспект: питание на каждый день, чтобы мужская сила и женская чувственность всегда были на высоте. Тут нужны немного другие продукты, о которых будет сказано в начале книги. В практической части рецепты будут скомпонованы по разделам: блюда для романтического ужина и питание на каждый день. Ведь некоторые продукты начинают действовать почти сразу, буквально через час-другой, другие же проявляют свой эффект при регулярном применении или просто помогают поддерживать организм в бодром и работоспособном состоянии.</t>
        </is>
      </c>
      <c r="S496" s="26">
        <f>HYPERLINK("http://www.cnpol.ru/covers/16096.jpg","фото на сайте")</f>
        <v/>
      </c>
    </row>
    <row r="497" ht="50.1" customHeight="1" s="3">
      <c r="A497" s="23" t="n"/>
      <c r="B497" s="24" t="inlineStr">
        <is>
          <t>18086</t>
        </is>
      </c>
      <c r="C497" s="23" t="inlineStr">
        <is>
          <t>ДУШЕВ КУЛ</t>
        </is>
      </c>
      <c r="D497" s="23" t="inlineStr">
        <is>
          <t>Вечерская И.</t>
        </is>
      </c>
      <c r="E497" s="23" t="inlineStr">
        <is>
          <t>100 рецептов питания при геморрое</t>
        </is>
      </c>
      <c r="F497" s="23" t="inlineStr">
        <is>
          <t>        </t>
        </is>
      </c>
      <c r="G497" s="23" t="n">
        <v>150</v>
      </c>
      <c r="H497" s="23" t="n">
        <v>10</v>
      </c>
      <c r="I497" s="23" t="n">
        <v>20</v>
      </c>
      <c r="J497" s="23" t="inlineStr">
        <is>
          <t>978-5-227-08075-2</t>
        </is>
      </c>
      <c r="K497" s="23" t="inlineStr">
        <is>
          <t>70x90 1/32</t>
        </is>
      </c>
      <c r="L497" s="23" t="inlineStr">
        <is>
          <t>мяг</t>
        </is>
      </c>
      <c r="M497" s="23" t="n">
        <v>160</v>
      </c>
      <c r="N497" s="23" t="n">
        <v>2018</v>
      </c>
      <c r="O497" s="23" t="n">
        <v>68</v>
      </c>
      <c r="P497" s="23" t="n"/>
      <c r="Q497" s="23" t="n"/>
      <c r="R497" s="25" t="inlineStr">
        <is>
          <t>Геморрой — очень распространенный недуг, о котором не принято говорить вслух. Многие страдальцы из чувства ложного стыда стесняются обратится к врачу и годами тихо мучаются, а зря! Геморрой можно и нужно лечить. И один из главных залогов исцеления — правильное питание. _x000D_
Книга расскажет, каковы причины возникновения болезни, как правильно питаться в период обострения и ремиссии. В отдельном разделе даны рецепты блюд, которые допустимы после операции. Автор научит, как уберечься от болезни или не усугу­бить ее, какие делать упражнения. Уверены, что знания, полученные из книги, помогут справиться с проблемой в деликатной области нашего тела.</t>
        </is>
      </c>
      <c r="S497" s="26">
        <f>HYPERLINK("http://www.cnpol.ru/covers/18086.jpg","фото на сайте")</f>
        <v/>
      </c>
    </row>
    <row r="498" ht="50.1" customHeight="1" s="3">
      <c r="A498" s="23" t="n"/>
      <c r="B498" s="24" t="inlineStr">
        <is>
          <t>17017</t>
        </is>
      </c>
      <c r="C498" s="23" t="inlineStr">
        <is>
          <t>ДУШЕВ КУЛ</t>
        </is>
      </c>
      <c r="D498" s="23" t="inlineStr">
        <is>
          <t>Вечерская И.</t>
        </is>
      </c>
      <c r="E498" s="23" t="inlineStr">
        <is>
          <t>100 рецептов питания при гипотонии</t>
        </is>
      </c>
      <c r="F498" s="23" t="inlineStr">
        <is>
          <t>        </t>
        </is>
      </c>
      <c r="G498" s="23" t="n">
        <v>150</v>
      </c>
      <c r="H498" s="23" t="n">
        <v>10</v>
      </c>
      <c r="I498" s="23" t="n">
        <v>20</v>
      </c>
      <c r="J498" s="23" t="inlineStr">
        <is>
          <t>978-5-227-06863-7</t>
        </is>
      </c>
      <c r="K498" s="23" t="inlineStr">
        <is>
          <t>70x90 1/32</t>
        </is>
      </c>
      <c r="L498" s="23" t="inlineStr">
        <is>
          <t>мяг</t>
        </is>
      </c>
      <c r="M498" s="23" t="n">
        <v>160</v>
      </c>
      <c r="N498" s="23" t="n">
        <v>2016</v>
      </c>
      <c r="O498" s="23" t="n">
        <v>68</v>
      </c>
      <c r="P498" s="23" t="n"/>
      <c r="Q498" s="23" t="n"/>
      <c r="R498" s="25" t="inlineStr">
        <is>
          <t>Данная книга расскажет о том, как питаться при гипотонии. Врачи спорят, что же такое гипотония? Является ли она самостоятельной болезнью, симптомом какой-то патологии, ­состоянием организма со снижением тонуса венозных сосудов и замедлением циркуляции крови… Чем бы она ни была, людям, страдающим пониженным давлением, от этого не легче. Цель нашей книги — подсказать правильную диету, которая поможет сохранить бодрость, хорошее самочувствие и поддежит трудоспособность. На вашем столе всегда будут полноценные, богатые витаминами блюда и напитки, рецепты которых приведены в этой книге. Конечно, недуг накладывает  определенные ограничения, но, вооружившись знаниями и используя простые советы и рекомендации автора, вы надолго останетесь в рабочем строю.</t>
        </is>
      </c>
      <c r="S498" s="26">
        <f>HYPERLINK("http://www.cnpol.ru/covers/17017.jpg","фото на сайте")</f>
        <v/>
      </c>
    </row>
    <row r="499" ht="50.1" customHeight="1" s="3">
      <c r="A499" s="23" t="n"/>
      <c r="B499" s="24" t="inlineStr">
        <is>
          <t>17151</t>
        </is>
      </c>
      <c r="C499" s="23" t="inlineStr">
        <is>
          <t>ДУШЕВ КУЛ</t>
        </is>
      </c>
      <c r="D499" s="23" t="inlineStr">
        <is>
          <t>Вечерская И.</t>
        </is>
      </c>
      <c r="E499" s="23" t="inlineStr">
        <is>
          <t>100 рецептов питания при пищевой аллергии</t>
        </is>
      </c>
      <c r="F499" s="23" t="inlineStr">
        <is>
          <t>        </t>
        </is>
      </c>
      <c r="G499" s="23" t="n">
        <v>140</v>
      </c>
      <c r="H499" s="23" t="n">
        <v>10</v>
      </c>
      <c r="I499" s="23" t="n">
        <v>20</v>
      </c>
      <c r="J499" s="23" t="inlineStr">
        <is>
          <t>978-5-227-07100-2</t>
        </is>
      </c>
      <c r="K499" s="23" t="inlineStr">
        <is>
          <t>70x90 1/32</t>
        </is>
      </c>
      <c r="L499" s="23" t="inlineStr">
        <is>
          <t>мяг</t>
        </is>
      </c>
      <c r="M499" s="23" t="n">
        <v>159</v>
      </c>
      <c r="N499" s="23" t="n">
        <v>2016</v>
      </c>
      <c r="O499" s="23" t="n">
        <v>68</v>
      </c>
      <c r="P499" s="23" t="n"/>
      <c r="Q499" s="23" t="n"/>
      <c r="R499" s="25" t="inlineStr">
        <is>
          <t>Данная книга расскажет о том, как питаться при различных видах пищевой аллергии. Главное при пищевой аллергии — получать правильные продукты питания. 93% случаев пищевой аллергии вызваны всего восемью продуктами. В порядке убывания аллергенных свойств они расположены следующим образом: яйца, арахис, молоко, соя, лесные орехи, рыба, ракооб­разные, пшеница. Есть такое понятие, как «перекрестная аллергия». Люди, имеющие аллергию на пыльцу деревьев, должны отказаться от косточковых ягод и фруктов, орехов, сельдерея, укропа, моркови. Люди, имеющие аллергию на злаковые и луговые травы, ограничивают употребление хлеба, хлебобулочных изделий и т. д. Но! Соблюдать диету — не значит голодать. Читайте нашу книгу, и вы сможете подобрать себе диету при любом виде пищевой аллергии.</t>
        </is>
      </c>
      <c r="S499" s="26">
        <f>HYPERLINK("http://www.cnpol.ru/covers/17151.jpg","фото на сайте")</f>
        <v/>
      </c>
    </row>
    <row r="500" ht="50.1" customHeight="1" s="3">
      <c r="A500" s="23" t="n"/>
      <c r="B500" s="24" t="inlineStr">
        <is>
          <t>14802</t>
        </is>
      </c>
      <c r="C500" s="23" t="inlineStr">
        <is>
          <t>ДУШЕВ КУЛ</t>
        </is>
      </c>
      <c r="D500" s="23" t="inlineStr">
        <is>
          <t>Вечерская И.</t>
        </is>
      </c>
      <c r="E500" s="23" t="inlineStr">
        <is>
          <t>100 рецептов при авитаминозе</t>
        </is>
      </c>
      <c r="F500" s="23" t="inlineStr">
        <is>
          <t>        </t>
        </is>
      </c>
      <c r="G500" s="23" t="n">
        <v>150</v>
      </c>
      <c r="H500" s="23" t="n">
        <v>10</v>
      </c>
      <c r="I500" s="23" t="n">
        <v>40</v>
      </c>
      <c r="J500" s="23" t="inlineStr">
        <is>
          <t>978-5-227-04035-0</t>
        </is>
      </c>
      <c r="K500" s="23" t="inlineStr">
        <is>
          <t>70x90 1/32</t>
        </is>
      </c>
      <c r="L500" s="23" t="inlineStr">
        <is>
          <t>мяг</t>
        </is>
      </c>
      <c r="M500" s="23" t="n">
        <v>156</v>
      </c>
      <c r="N500" s="23" t="n">
        <v>2014</v>
      </c>
      <c r="O500" s="23" t="n">
        <v>70</v>
      </c>
      <c r="P500" s="23" t="n"/>
      <c r="Q500" s="23" t="n"/>
      <c r="R500" s="25" t="inlineStr">
        <is>
          <t>При разных заболеваниях назначается разная диета. Данная книга расскажет о том, как питаться при авитаминозе._x000D_
Без витаминов никуда! Лучше всего усваиваются те витамины, которые мы получаем из натуральных продуктов, ведь, в отличие от разрекламированных капсул, они лучше усваиваются! Читайте книгу, и вы узнаете, как насытить тело этими полезными веществами, не используя готовых аптечных препаратов. Травяные витаминные составы и чаи, полезные соки, «золотая» вода и рецепты самых вкусных и полезных блюд, нашпигованных свежими витаминами, предложены вашему вниманию на ее страницах.</t>
        </is>
      </c>
      <c r="S500" s="26">
        <f>HYPERLINK("http://www.cnpol.ru/covers/14802.jpg","фото на сайте")</f>
        <v/>
      </c>
    </row>
    <row r="501" ht="50.1" customHeight="1" s="3">
      <c r="A501" s="23" t="n"/>
      <c r="B501" s="24" t="inlineStr">
        <is>
          <t>16867</t>
        </is>
      </c>
      <c r="C501" s="23" t="inlineStr">
        <is>
          <t>ДУШЕВ КУЛ</t>
        </is>
      </c>
      <c r="D501" s="23" t="inlineStr">
        <is>
          <t>Вечерская И.</t>
        </is>
      </c>
      <c r="E501" s="23" t="inlineStr">
        <is>
          <t>100 рецептов при головной боли</t>
        </is>
      </c>
      <c r="F501" s="23" t="inlineStr">
        <is>
          <t>        </t>
        </is>
      </c>
      <c r="G501" s="23" t="n">
        <v>150</v>
      </c>
      <c r="H501" s="23" t="n">
        <v>10</v>
      </c>
      <c r="I501" s="23" t="n">
        <v>40</v>
      </c>
      <c r="J501" s="23" t="inlineStr">
        <is>
          <t>978-5-227-06679-4</t>
        </is>
      </c>
      <c r="K501" s="23" t="inlineStr">
        <is>
          <t>70x90 1/32</t>
        </is>
      </c>
      <c r="L501" s="23" t="inlineStr">
        <is>
          <t>мяг</t>
        </is>
      </c>
      <c r="M501" s="23" t="n">
        <v>160</v>
      </c>
      <c r="N501" s="23" t="n">
        <v>2016</v>
      </c>
      <c r="O501" s="23" t="n">
        <v>68</v>
      </c>
      <c r="P501" s="23" t="n"/>
      <c r="Q501" s="23" t="n"/>
      <c r="R501" s="25" t="inlineStr">
        <is>
          <t>Данная книга расскажет о том, как питаться при головных болях. Медицине известно более сорока различных болезней, основным или даже единственным симптомом которых могут быть головные боли различной интенсивности. Точно определить, по какой причине болит именно ваша многострадальная голова, может только врач! Но каждый человек должен знать, что существуют продукты, которые могут провоцировать приступы головной боли. Мы расскажем, как питаться, чтобы свести болезненные приступы к минимуму, дадим народные рецепты борьбы с головной болью, расскажем всё о классификации боли и ее причинах.</t>
        </is>
      </c>
      <c r="S501" s="26">
        <f>HYPERLINK("http://www.cnpol.ru/covers/16867.jpg","фото на сайте")</f>
        <v/>
      </c>
    </row>
    <row r="502" ht="50.1" customHeight="1" s="3">
      <c r="A502" s="23" t="n"/>
      <c r="B502" s="24" t="inlineStr">
        <is>
          <t>17488</t>
        </is>
      </c>
      <c r="C502" s="23" t="inlineStr">
        <is>
          <t>ДУШЕВ КУЛ</t>
        </is>
      </c>
      <c r="D502" s="23" t="inlineStr">
        <is>
          <t>Вечерская И.</t>
        </is>
      </c>
      <c r="E502" s="23" t="inlineStr">
        <is>
          <t>100 рецептов при заболеваниях десен. Вкусно, полезно, душевно, целебно</t>
        </is>
      </c>
      <c r="F502" s="23" t="inlineStr">
        <is>
          <t>        </t>
        </is>
      </c>
      <c r="G502" s="23" t="n">
        <v>150</v>
      </c>
      <c r="H502" s="23" t="n">
        <v>10</v>
      </c>
      <c r="I502" s="23" t="n">
        <v>20</v>
      </c>
      <c r="J502" s="23" t="inlineStr">
        <is>
          <t>978-5-227-07085-2</t>
        </is>
      </c>
      <c r="K502" s="23" t="inlineStr">
        <is>
          <t>70x90 1/32</t>
        </is>
      </c>
      <c r="L502" s="23" t="inlineStr">
        <is>
          <t>мяг</t>
        </is>
      </c>
      <c r="M502" s="23" t="n">
        <v>160</v>
      </c>
      <c r="N502" s="23" t="n">
        <v>2017</v>
      </c>
      <c r="O502" s="23" t="n">
        <v>68</v>
      </c>
      <c r="P502" s="23" t="n"/>
      <c r="Q502" s="23" t="n"/>
      <c r="R502" s="25" t="inlineStr">
        <is>
          <t>Данная книга расскажет о том, как питаться при заболеваниях десен: гингивите, пародонтите, пародонтозе… Регулярная правильная гигиена полости рта на 85—90% обеспечивает здоровье зубов и десен, но не менее важен для их здоровья рацион питания. Налет — липкая пленка бактерий, которая собирается на зубах, использует пищевой сахар, чтобы образовать кислоты, которые разрушают тонкий твердый внешний слой зубной ткани, эмаль. Зубная эрозия — распад структуры зуба из-за кислотных атак на зубы. Налет раздражает десны, делая их красными, чувствительными и подверженными кровотечению… Это может привести к болезни десен — главной причине потери зубов у взрослых. Если десны не лечить, кость вокруг зубов разрушается, и зубы могут расшататься, или потребуется удаление. Чтобы этого не случилось, питайтесь правильно, а как это сделать, расскажет наша книга.</t>
        </is>
      </c>
      <c r="S502" s="26">
        <f>HYPERLINK("http://www.cnpol.ru/covers/17488.jpg","фото на сайте")</f>
        <v/>
      </c>
    </row>
    <row r="503" ht="50.1" customHeight="1" s="3">
      <c r="A503" s="23" t="n"/>
      <c r="B503" s="24" t="inlineStr">
        <is>
          <t>17323</t>
        </is>
      </c>
      <c r="C503" s="23" t="inlineStr">
        <is>
          <t>ДУШЕВ КУЛ</t>
        </is>
      </c>
      <c r="D503" s="23" t="inlineStr">
        <is>
          <t>Вечерская И.</t>
        </is>
      </c>
      <c r="E503" s="23" t="inlineStr">
        <is>
          <t>100 рецептов при заболеваниях желчного пузыря. Вкусно, полезно, душевно, целебно</t>
        </is>
      </c>
      <c r="F503" s="23" t="inlineStr">
        <is>
          <t>        </t>
        </is>
      </c>
      <c r="G503" s="23" t="n">
        <v>150</v>
      </c>
      <c r="H503" s="23" t="n">
        <v>10</v>
      </c>
      <c r="I503" s="23" t="n">
        <v>20</v>
      </c>
      <c r="J503" s="23" t="inlineStr">
        <is>
          <t>978-5-227-07261-0</t>
        </is>
      </c>
      <c r="K503" s="23" t="inlineStr">
        <is>
          <t>70x90 1/32</t>
        </is>
      </c>
      <c r="L503" s="23" t="inlineStr">
        <is>
          <t>мяг</t>
        </is>
      </c>
      <c r="M503" s="23" t="n">
        <v>160</v>
      </c>
      <c r="N503" s="23" t="n">
        <v>2017</v>
      </c>
      <c r="O503" s="23" t="n">
        <v>68</v>
      </c>
      <c r="P503" s="23" t="n"/>
      <c r="Q503" s="23" t="n"/>
      <c r="R503" s="25" t="inlineStr">
        <is>
          <t>Данная книга расскажет о том, как питаться при заболеваниях желчного пузыря. Все патологии желчного пузыря требуют со стороны больного очень строгого соблюдения пищевого режима. Мы расскажем, как питаться при желчнокаменной ­болезни, холецистите, дискинезии желчновыводящих путей и состоянии после удаления желчного пузыря. Для того чтобы не пришлось мучиться от неприятных ощущений и глотать горстями таблетки, нужно придерживаться определенной диеты. Но пусть это вас не пугает: даже сидя на диете, можно питаться вкусно и разнообразно, а наша книга поможет вам в этом.</t>
        </is>
      </c>
      <c r="S503" s="26">
        <f>HYPERLINK("http://www.cnpol.ru/covers/17323.jpg","фото на сайте")</f>
        <v/>
      </c>
    </row>
    <row r="504" ht="50.1" customHeight="1" s="3">
      <c r="A504" s="23" t="n"/>
      <c r="B504" s="24" t="inlineStr">
        <is>
          <t>16164</t>
        </is>
      </c>
      <c r="C504" s="23" t="inlineStr">
        <is>
          <t>ДУШЕВ КУЛ</t>
        </is>
      </c>
      <c r="D504" s="23" t="inlineStr">
        <is>
          <t>Вечерская И.</t>
        </is>
      </c>
      <c r="E504" s="23" t="inlineStr">
        <is>
          <t>100 рецептов при заболеваниях щитовидной железы. Вкусно, полезно, душевно, целебно</t>
        </is>
      </c>
      <c r="F504" s="23" t="inlineStr">
        <is>
          <t>        </t>
        </is>
      </c>
      <c r="G504" s="23" t="n">
        <v>150</v>
      </c>
      <c r="H504" s="23" t="n">
        <v>10</v>
      </c>
      <c r="I504" s="23" t="n">
        <v>40</v>
      </c>
      <c r="J504" s="23" t="inlineStr">
        <is>
          <t>978-5-227-06022-8</t>
        </is>
      </c>
      <c r="K504" s="23" t="inlineStr">
        <is>
          <t>70x90 1/32</t>
        </is>
      </c>
      <c r="L504" s="23" t="inlineStr">
        <is>
          <t>мяг</t>
        </is>
      </c>
      <c r="M504" s="23" t="n">
        <v>158</v>
      </c>
      <c r="N504" s="23" t="n">
        <v>2015</v>
      </c>
      <c r="O504" s="23" t="n">
        <v>70</v>
      </c>
      <c r="P504" s="23" t="n"/>
      <c r="Q504" s="23" t="n"/>
      <c r="R504" s="25" t="inlineStr">
        <is>
          <t>Данная книга расскажет о том, как питаться при заболе­ваниях щитовидной железы, которые, по данным Всемирной организации здравоохранения, занимают второе место после диабета._x000D_
В издании даны общие сведения о строении и работе щитовидной железы, о диетах при повышенной и пониженной функциях щитовидки, а также о принципах питания при зобе, который может развиться как при пониженной, так и при нормальной функции железы. Даже сидя на диете можно питаться вкусно и разнообразно, а наша книга поможет вам в этом.</t>
        </is>
      </c>
      <c r="S504" s="26">
        <f>HYPERLINK("http://www.cnpol.ru/covers/16164.jpg","фото на сайте")</f>
        <v/>
      </c>
    </row>
    <row r="505" ht="50.1" customHeight="1" s="3">
      <c r="A505" s="23" t="n"/>
      <c r="B505" s="24" t="inlineStr">
        <is>
          <t>16715</t>
        </is>
      </c>
      <c r="C505" s="23" t="inlineStr">
        <is>
          <t>ДУШЕВ КУЛ</t>
        </is>
      </c>
      <c r="D505" s="23" t="inlineStr">
        <is>
          <t>Вечерская И.</t>
        </is>
      </c>
      <c r="E505" s="23" t="inlineStr">
        <is>
          <t>100 рецептов при недостатке кальция</t>
        </is>
      </c>
      <c r="F505" s="23" t="inlineStr">
        <is>
          <t>        </t>
        </is>
      </c>
      <c r="G505" s="23" t="n">
        <v>150</v>
      </c>
      <c r="H505" s="23" t="n">
        <v>10</v>
      </c>
      <c r="I505" s="23" t="n">
        <v>20</v>
      </c>
      <c r="J505" s="23" t="inlineStr">
        <is>
          <t>978-5-227-06643-5</t>
        </is>
      </c>
      <c r="K505" s="23" t="inlineStr">
        <is>
          <t>70x90 1/32</t>
        </is>
      </c>
      <c r="L505" s="23" t="inlineStr">
        <is>
          <t>мяг</t>
        </is>
      </c>
      <c r="M505" s="23" t="n">
        <v>160</v>
      </c>
      <c r="N505" s="23" t="n">
        <v>2016</v>
      </c>
      <c r="O505" s="23" t="n">
        <v>68</v>
      </c>
      <c r="P505" s="23" t="n"/>
      <c r="Q505" s="23" t="n"/>
      <c r="R505" s="25" t="inlineStr">
        <is>
          <t>Роль кальция в организме очень велика. Он формирует скелет, влияет на процессы свертывания крови и обмен воды, нормализует обмен углеводов и хлорида натрия. Регулирует мышечное сокращение и секрецию гормонов, снижает уровень проницаемости стенок сосудов, обладает противовоспалительным действием, способствует регулированию давления. Недостаток или избыток кальция нарушает кислотно-щелочной баланс в организме… Поступление кальция в организм человека должно происходить постоянно — с рождения и до глубокой старости. Особенно важен кальций для детей, ведь их косточки активно растут. Кальций относится к трудно усвояемым минеральным элементам, поэтому необходимо уделять большое значение продуктам питания, непосредственно с которыми кальций поступает в организм. Готовьте по рецептам, которые приведены в нашей книге, и будьте здоровы!</t>
        </is>
      </c>
      <c r="S505" s="26">
        <f>HYPERLINK("http://www.cnpol.ru/covers/16715.jpg","фото на сайте")</f>
        <v/>
      </c>
    </row>
    <row r="506" ht="50.1" customHeight="1" s="3">
      <c r="A506" s="23" t="n"/>
      <c r="B506" s="24" t="inlineStr">
        <is>
          <t>18245</t>
        </is>
      </c>
      <c r="C506" s="23" t="inlineStr">
        <is>
          <t>ДУШЕВ КУЛ</t>
        </is>
      </c>
      <c r="D506" s="23" t="inlineStr">
        <is>
          <t>Вечерская И.</t>
        </is>
      </c>
      <c r="E506" s="23" t="inlineStr">
        <is>
          <t>100 рецептов при остеохондрозе и отложении солей. Вкусно, полезно, душевно, целебно</t>
        </is>
      </c>
      <c r="F506" s="23" t="inlineStr">
        <is>
          <t>        </t>
        </is>
      </c>
      <c r="G506" s="23" t="n">
        <v>150</v>
      </c>
      <c r="H506" s="23" t="n">
        <v>10</v>
      </c>
      <c r="I506" s="23" t="n">
        <v>20</v>
      </c>
      <c r="J506" s="23" t="inlineStr">
        <is>
          <t>978-5-227-08191-9</t>
        </is>
      </c>
      <c r="K506" s="23" t="inlineStr">
        <is>
          <t>70x90 1/32</t>
        </is>
      </c>
      <c r="L506" s="23" t="inlineStr">
        <is>
          <t>мяг</t>
        </is>
      </c>
      <c r="M506" s="23" t="n">
        <v>160</v>
      </c>
      <c r="N506" s="23" t="n">
        <v>2018</v>
      </c>
      <c r="O506" s="23" t="n">
        <v>72</v>
      </c>
      <c r="P506" s="23" t="n"/>
      <c r="Q506" s="23" t="n"/>
      <c r="R506" s="25" t="inlineStr">
        <is>
          <t>Данная книга расскажет о том, как питаться при различных видах «отложения солей». И хотя официально такого заболевания не существует, под этим диагнозом обычно скрывается нарушение обмена с отложением солей в суставах: кристаллический артрит — подагра, остеохондроз и его осложнение — спондилез. Обязательным условием при постановке любого из этих диагнозов является диета. Исключение нежелательных отныне для организма продуктов и, наоборот, включение полезных при данном состоянии помогут костям и суставам уменьшить проявления боли и избежать ограничения подвижности, сохранить хорошее самочувствие. Довольно часто одна только правильная диета уже способна избавить человека от частых приступов подагры! И даже соблюдая диету, можно питаться вкусно и разнообразно, о чем и поведает наша книга. Будьте здоровы!</t>
        </is>
      </c>
      <c r="S506" s="26">
        <f>HYPERLINK("http://www.cnpol.ru/covers/18245.jpg","фото на сайте")</f>
        <v/>
      </c>
    </row>
    <row r="507" ht="50.1" customHeight="1" s="3">
      <c r="A507" s="23" t="n"/>
      <c r="B507" s="24" t="inlineStr">
        <is>
          <t>17349</t>
        </is>
      </c>
      <c r="C507" s="23" t="inlineStr">
        <is>
          <t>ДУШЕВ КУЛ</t>
        </is>
      </c>
      <c r="D507" s="23" t="inlineStr">
        <is>
          <t>Вечерская И.</t>
        </is>
      </c>
      <c r="E507" s="23" t="inlineStr">
        <is>
          <t>100 рецептов при холецистите. Вкусно, полезно, душевно, целебно</t>
        </is>
      </c>
      <c r="F507" s="23" t="inlineStr">
        <is>
          <t>        </t>
        </is>
      </c>
      <c r="G507" s="23" t="n">
        <v>150</v>
      </c>
      <c r="H507" s="23" t="n">
        <v>10</v>
      </c>
      <c r="I507" s="23" t="n">
        <v>40</v>
      </c>
      <c r="J507" s="23" t="inlineStr">
        <is>
          <t>978-5-227-07176-7</t>
        </is>
      </c>
      <c r="K507" s="23" t="inlineStr">
        <is>
          <t>70x90 1/32</t>
        </is>
      </c>
      <c r="L507" s="23" t="inlineStr">
        <is>
          <t>мяг</t>
        </is>
      </c>
      <c r="M507" s="23" t="n">
        <v>160</v>
      </c>
      <c r="N507" s="23" t="n">
        <v>2017</v>
      </c>
      <c r="O507" s="23" t="n">
        <v>68</v>
      </c>
      <c r="P507" s="23" t="n"/>
      <c r="Q507" s="23" t="n"/>
      <c r="R507" s="25" t="inlineStr">
        <is>
          <t>Холецистит представляет собой разновидность воспалительного процесса в желчном пузыре. Под воздействием многочисленных факторов происходит затруднение оттока желчи и образуется ее застой. Лучшим лечением холецистита является соблюдение жесткой диеты, результатом которой становится разгрузка желчного пузыря, а также улучшение его функций. Главной целью диеты при развитии холецистита является нормализация отделения желчи и нормализация функций печени. Но пусть это вас не пугает: даже сидя на диете, можно питаться вкусно и разнообразно, а наша книга поможет вам в этом. На ее страницах вы найдете сто кулинарных рецептов для страдающих холециститом. Приятного аппетита!</t>
        </is>
      </c>
      <c r="S507" s="26">
        <f>HYPERLINK("http://www.cnpol.ru/covers/17349.jpg","фото на сайте")</f>
        <v/>
      </c>
    </row>
    <row r="508" ht="50.1" customHeight="1" s="3">
      <c r="A508" s="23" t="n"/>
      <c r="B508" s="24" t="inlineStr">
        <is>
          <t>16616</t>
        </is>
      </c>
      <c r="C508" s="23" t="inlineStr">
        <is>
          <t>ДУШЕВ КУЛ</t>
        </is>
      </c>
      <c r="D508" s="23" t="inlineStr">
        <is>
          <t>Вечерская И.</t>
        </is>
      </c>
      <c r="E508" s="23" t="inlineStr">
        <is>
          <t>100 рецептов салатной диеты для похудения</t>
        </is>
      </c>
      <c r="F508" s="23" t="inlineStr">
        <is>
          <t>        </t>
        </is>
      </c>
      <c r="G508" s="23" t="n">
        <v>150</v>
      </c>
      <c r="H508" s="23" t="n">
        <v>10</v>
      </c>
      <c r="I508" s="23" t="n">
        <v>40</v>
      </c>
      <c r="J508" s="23" t="inlineStr">
        <is>
          <t>978-5-227-06429-5</t>
        </is>
      </c>
      <c r="K508" s="23" t="inlineStr">
        <is>
          <t>70x90 1/32</t>
        </is>
      </c>
      <c r="L508" s="23" t="inlineStr">
        <is>
          <t>мяг</t>
        </is>
      </c>
      <c r="M508" s="23" t="n">
        <v>160</v>
      </c>
      <c r="N508" s="23" t="n">
        <v>2016</v>
      </c>
      <c r="O508" s="23" t="n">
        <v>68</v>
      </c>
      <c r="P508" s="23" t="n"/>
      <c r="Q508" s="23" t="n"/>
      <c r="R508" s="25" t="inlineStr">
        <is>
          <t>Данная книга расскажет о том, как питаться тем, кто устал таскать на себе груз лишних килограммов и хочет вкусно похудеть. Мы расскажем вам о салатной диете, преимущество которой в том, что она очень эффективна и быстро действует. Соблюдая эту диету, вы не только похудеете, но и очистите свой организм от шлаков и токсинов. Если хотите быстро привести себя в порядок: сбросить пару килограммов и освежить цвет лица, — салатная диета подойдет вам как нельзя лучше. Времени и сил она займет немного. За три выходных дня вы приготовите девять салатов из продуктов, богатых витаминами. Возможно, некоторые блюда вы попробуете впервые, их рецептура вам так понравится, что они постоянно будут присутствовать на вашем столе. Диетологи советуют ежедневно готовить себе легкие овощные салаты, которые способствуют снижению веса. Ведь овощи, во-первых, низкокалорийны — в них отсутствует жир, во-вторых, богаты клетчаткой, а значит, надолго насыщают организм, в-третьих, они чрезвычайно полезны для организма, так как улучшают пищеварение и насыщают нас всеми необходимыми минералами и витаминами.</t>
        </is>
      </c>
      <c r="S508" s="26">
        <f>HYPERLINK("http://www.cnpol.ru/covers/16616.jpg","фото на сайте")</f>
        <v/>
      </c>
    </row>
    <row r="509" ht="50.1" customHeight="1" s="3">
      <c r="A509" s="23" t="n"/>
      <c r="B509" s="24" t="inlineStr">
        <is>
          <t>7219</t>
        </is>
      </c>
      <c r="C509" s="23" t="inlineStr">
        <is>
          <t>ДЦ</t>
        </is>
      </c>
      <c r="D509" s="23" t="inlineStr">
        <is>
          <t>Хокинс Дж.</t>
        </is>
      </c>
      <c r="E509" s="23" t="inlineStr">
        <is>
          <t>Расшифрованный Стоунхендж Обсерватория каменного века</t>
        </is>
      </c>
      <c r="F509" s="23" t="inlineStr">
        <is>
          <t>        </t>
        </is>
      </c>
      <c r="G509" s="23" t="n">
        <v>369</v>
      </c>
      <c r="H509" s="23" t="n">
        <v>10</v>
      </c>
      <c r="I509" s="23" t="n">
        <v>16</v>
      </c>
      <c r="J509" s="23" t="inlineStr">
        <is>
          <t>5-9524-2255-1</t>
        </is>
      </c>
      <c r="K509" s="23" t="inlineStr">
        <is>
          <t>84x108 1/32</t>
        </is>
      </c>
      <c r="L509" s="23" t="inlineStr">
        <is>
          <t>тв</t>
        </is>
      </c>
      <c r="M509" s="23" t="n">
        <v>255</v>
      </c>
      <c r="N509" s="23" t="n">
        <v>2007</v>
      </c>
      <c r="O509" s="23" t="n">
        <v>284</v>
      </c>
      <c r="P509" s="23" t="n"/>
      <c r="Q509" s="23" t="n"/>
      <c r="R509" s="25" t="n"/>
      <c r="S509" s="26">
        <f>HYPERLINK("http://www.cnpol.ru/covers/7219.jpg","фото на сайте")</f>
        <v/>
      </c>
    </row>
    <row r="510" ht="50.1" customHeight="1" s="3">
      <c r="A510" s="23" t="n"/>
      <c r="B510" s="24" t="inlineStr">
        <is>
          <t>20797</t>
        </is>
      </c>
      <c r="C510" s="23" t="inlineStr">
        <is>
          <t>ДЦ НОВ</t>
        </is>
      </c>
      <c r="D510" s="23" t="inlineStr">
        <is>
          <t>Фахри А.</t>
        </is>
      </c>
      <c r="E510" s="23" t="inlineStr">
        <is>
          <t>Древние загадки фараонов</t>
        </is>
      </c>
      <c r="F510" s="23" t="inlineStr">
        <is>
          <t>        </t>
        </is>
      </c>
      <c r="G510" s="23" t="n">
        <v>888</v>
      </c>
      <c r="H510" s="23" t="n">
        <v>10</v>
      </c>
      <c r="I510" s="23" t="n">
        <v>14</v>
      </c>
      <c r="J510" s="23" t="inlineStr">
        <is>
          <t>978-5-9524-6010-2</t>
        </is>
      </c>
      <c r="K510" s="23" t="inlineStr">
        <is>
          <t>84x108 1/32</t>
        </is>
      </c>
      <c r="L510" s="23" t="inlineStr">
        <is>
          <t>тв</t>
        </is>
      </c>
      <c r="M510" s="23" t="n">
        <v>256</v>
      </c>
      <c r="N510" s="23" t="n">
        <v>2023</v>
      </c>
      <c r="O510" s="23" t="n">
        <v>314</v>
      </c>
      <c r="P510" s="23" t="n"/>
      <c r="Q510" s="23" t="n"/>
      <c r="R510" s="25" t="inlineStr">
        <is>
          <t>В Египте около сотни пирамид. Большие и маленькие, ступенчатые и идеально гладкие, они расположены по берегам Нила неподалеку от древней столицы страны. Но самые известные пирамиды Египта находятся в Гизе. Кто и с какой целью их возводил? Какие строительные материалы и технику использовали древние строители? Почему так сложна система внутренних ходов? В книге рассказывается обо всех самых значительных сооружениях Египта, и на основе открытий историков и археологов предстает грандиозная панорама религиозных и социально­экономических преобразований этой страны на протяжении огромного периода времени.</t>
        </is>
      </c>
      <c r="S510" s="26">
        <f>HYPERLINK("http://www.cnpol.ru/covers/20797.jpg","фото на сайте")</f>
        <v/>
      </c>
    </row>
    <row r="511" ht="50.1" customHeight="1" s="3">
      <c r="A511" s="23" t="n"/>
      <c r="B511" s="24" t="inlineStr">
        <is>
          <t>20066</t>
        </is>
      </c>
      <c r="C511" s="23" t="inlineStr">
        <is>
          <t>ДЦ НОВ</t>
        </is>
      </c>
      <c r="D511" s="23" t="inlineStr">
        <is>
          <t>Томпкинс П.</t>
        </is>
      </c>
      <c r="E511" s="23" t="inlineStr">
        <is>
          <t>Тайны Великой пирамиды Хеопса. Загадки двух тысячелетий</t>
        </is>
      </c>
      <c r="F511" s="23" t="inlineStr">
        <is>
          <t>        </t>
        </is>
      </c>
      <c r="G511" s="27" t="n">
        <v>1460</v>
      </c>
      <c r="H511" s="23" t="n">
        <v>10</v>
      </c>
      <c r="I511" s="23" t="n">
        <v>10</v>
      </c>
      <c r="J511" s="23" t="inlineStr">
        <is>
          <t>978-5-9524-5682-2</t>
        </is>
      </c>
      <c r="K511" s="23" t="inlineStr">
        <is>
          <t>60x90 1/16</t>
        </is>
      </c>
      <c r="L511" s="23" t="inlineStr">
        <is>
          <t>тв</t>
        </is>
      </c>
      <c r="M511" s="23" t="n">
        <v>479</v>
      </c>
      <c r="N511" s="23" t="n">
        <v>2022</v>
      </c>
      <c r="O511" s="23" t="n">
        <v>540</v>
      </c>
      <c r="P511" s="23" t="n"/>
      <c r="Q511" s="23" t="n"/>
      <c r="R511" s="25" t="n"/>
      <c r="S511" s="26">
        <f>HYPERLINK("http://www.cnpol.ru/covers/20066.jpg","фото на сайте")</f>
        <v/>
      </c>
    </row>
    <row r="512" ht="50.1" customHeight="1" s="3">
      <c r="A512" s="23" t="n"/>
      <c r="B512" s="24" t="inlineStr">
        <is>
          <t>20193</t>
        </is>
      </c>
      <c r="C512" s="23" t="inlineStr">
        <is>
          <t>ДЦ НОВ</t>
        </is>
      </c>
      <c r="D512" s="23" t="inlineStr">
        <is>
          <t>Томпкинс П.</t>
        </is>
      </c>
      <c r="E512" s="23" t="inlineStr">
        <is>
          <t>Тайны пирамид ацтеков и майя. Руины исчезнувших цивилизаций</t>
        </is>
      </c>
      <c r="F512" s="23" t="inlineStr">
        <is>
          <t>        </t>
        </is>
      </c>
      <c r="G512" s="27" t="n">
        <v>1460</v>
      </c>
      <c r="H512" s="23" t="n">
        <v>10</v>
      </c>
      <c r="I512" s="23" t="n">
        <v>10</v>
      </c>
      <c r="J512" s="23" t="inlineStr">
        <is>
          <t>978-5-9524-5749-2</t>
        </is>
      </c>
      <c r="K512" s="23" t="inlineStr">
        <is>
          <t>60x90 1/16</t>
        </is>
      </c>
      <c r="L512" s="23" t="inlineStr">
        <is>
          <t>тв</t>
        </is>
      </c>
      <c r="M512" s="23" t="n">
        <v>479</v>
      </c>
      <c r="N512" s="23" t="n">
        <v>2022</v>
      </c>
      <c r="O512" s="23" t="n">
        <v>480</v>
      </c>
      <c r="P512" s="23" t="n"/>
      <c r="Q512" s="23" t="n"/>
      <c r="R512" s="25" t="n"/>
      <c r="S512" s="26">
        <f>HYPERLINK("http://www.cnpol.ru/covers/20193.jpg","фото на сайте")</f>
        <v/>
      </c>
    </row>
    <row r="513" ht="50.1" customHeight="1" s="3">
      <c r="A513" s="23" t="n"/>
      <c r="B513" s="24" t="inlineStr">
        <is>
          <t>17737</t>
        </is>
      </c>
      <c r="C513" s="23" t="inlineStr">
        <is>
          <t>ЕДА</t>
        </is>
      </c>
      <c r="D513" s="23" t="inlineStr">
        <is>
          <t>Расстегаев И.</t>
        </is>
      </c>
      <c r="E513" s="23" t="inlineStr">
        <is>
          <t>Узбекская кухня</t>
        </is>
      </c>
      <c r="F513" s="23" t="inlineStr">
        <is>
          <t>        </t>
        </is>
      </c>
      <c r="G513" s="23" t="n">
        <v>150</v>
      </c>
      <c r="H513" s="23" t="n">
        <v>10</v>
      </c>
      <c r="I513" s="23" t="n">
        <v>24</v>
      </c>
      <c r="J513" s="23" t="inlineStr">
        <is>
          <t>978-5-227-07668-7</t>
        </is>
      </c>
      <c r="K513" s="23" t="inlineStr">
        <is>
          <t>70x100 1/32</t>
        </is>
      </c>
      <c r="L513" s="23" t="inlineStr">
        <is>
          <t>мяг</t>
        </is>
      </c>
      <c r="M513" s="23" t="n">
        <v>160</v>
      </c>
      <c r="N513" s="23" t="n">
        <v>2017</v>
      </c>
      <c r="O513" s="23" t="n">
        <v>76</v>
      </c>
      <c r="P513" s="23" t="n"/>
      <c r="Q513" s="23" t="n"/>
      <c r="R513" s="25" t="n"/>
      <c r="S513" s="26">
        <f>HYPERLINK("http://www.cnpol.ru/covers/17737.jpg","фото на сайте")</f>
        <v/>
      </c>
    </row>
    <row r="514" ht="50.1" customHeight="1" s="3">
      <c r="A514" s="23" t="n"/>
      <c r="B514" s="24" t="inlineStr">
        <is>
          <t>8677</t>
        </is>
      </c>
      <c r="C514" s="23" t="inlineStr">
        <is>
          <t>ЖД</t>
        </is>
      </c>
      <c r="D514" s="23" t="inlineStr">
        <is>
          <t>Гончаренко С.</t>
        </is>
      </c>
      <c r="E514" s="23" t="inlineStr">
        <is>
          <t>Больше не приходи</t>
        </is>
      </c>
      <c r="F514" s="23" t="inlineStr">
        <is>
          <t>        </t>
        </is>
      </c>
      <c r="G514" s="23" t="n">
        <v>168</v>
      </c>
      <c r="H514" s="23" t="n">
        <v>10</v>
      </c>
      <c r="I514" s="23" t="n">
        <v>20</v>
      </c>
      <c r="J514" s="23" t="inlineStr">
        <is>
          <t>978-5-9524-2933-8</t>
        </is>
      </c>
      <c r="K514" s="23" t="inlineStr">
        <is>
          <t>70x90 1/12</t>
        </is>
      </c>
      <c r="L514" s="23" t="inlineStr">
        <is>
          <t>мяг</t>
        </is>
      </c>
      <c r="M514" s="23" t="n">
        <v>302</v>
      </c>
      <c r="N514" s="23" t="n">
        <v>2008</v>
      </c>
      <c r="O514" s="23" t="n">
        <v>126</v>
      </c>
      <c r="P514" s="23" t="n"/>
      <c r="Q514" s="23" t="n"/>
      <c r="R514" s="25" t="inlineStr">
        <is>
          <t>Знаменитый художник, известный своим эксцентричным характером и непредсказуемым поведением, найден зверски убитым у себя на даче. В это время в его доме много гостей — поклонники, ученики, любовницы, друзья. С каждым из них хозяина дома связывают непростые отношения, убийцей может оказаться любой.</t>
        </is>
      </c>
      <c r="S514" s="26">
        <f>HYPERLINK("http://www.cnpol.ru/covers/8677.jpg","фото на сайте")</f>
        <v/>
      </c>
    </row>
    <row r="515" ht="50.1" customHeight="1" s="3">
      <c r="A515" s="23" t="n"/>
      <c r="B515" s="24" t="inlineStr">
        <is>
          <t>11444</t>
        </is>
      </c>
      <c r="C515" s="23" t="inlineStr">
        <is>
          <t>ЖД</t>
        </is>
      </c>
      <c r="D515" s="23" t="inlineStr">
        <is>
          <t>Левитина Н.</t>
        </is>
      </c>
      <c r="E515" s="23" t="inlineStr">
        <is>
          <t>Великолепная корпоративная вечеринка</t>
        </is>
      </c>
      <c r="F515" s="23" t="inlineStr">
        <is>
          <t>        </t>
        </is>
      </c>
      <c r="G515" s="23" t="n">
        <v>168</v>
      </c>
      <c r="H515" s="23" t="n">
        <v>10</v>
      </c>
      <c r="I515" s="23" t="n">
        <v>16</v>
      </c>
      <c r="J515" s="23" t="inlineStr">
        <is>
          <t>978-5-9524-4570-3</t>
        </is>
      </c>
      <c r="K515" s="23" t="inlineStr">
        <is>
          <t>70x90 1/32</t>
        </is>
      </c>
      <c r="L515" s="23" t="inlineStr">
        <is>
          <t>мяг</t>
        </is>
      </c>
      <c r="M515" s="23" t="n">
        <v>382</v>
      </c>
      <c r="N515" s="23" t="n">
        <v>2010</v>
      </c>
      <c r="O515" s="23" t="n">
        <v>158</v>
      </c>
      <c r="P515" s="23" t="n"/>
      <c r="Q515" s="23" t="n"/>
      <c r="R515" s="25" t="inlineStr">
        <is>
          <t>Скромной сотруднице рекламного агентства «Кенгуру» Сонечке Орешкиной невероятно повезло — ей предложили участвовать в тренинге, организованном для топ-менеджеров фирмы. Судьба предоставила Соне шанс продемонстрировать начальству все свои неординарные качества. А там рукой подать до повышения и прибавки к зарплате.</t>
        </is>
      </c>
      <c r="S515" s="26">
        <f>HYPERLINK("http://www.cnpol.ru/covers/11444.jpg","фото на сайте")</f>
        <v/>
      </c>
    </row>
    <row r="516" ht="50.1" customHeight="1" s="3">
      <c r="A516" s="23" t="n"/>
      <c r="B516" s="24" t="inlineStr">
        <is>
          <t>10269</t>
        </is>
      </c>
      <c r="C516" s="23" t="inlineStr">
        <is>
          <t>ЖД</t>
        </is>
      </c>
      <c r="D516" s="23" t="inlineStr">
        <is>
          <t>Левитина Н.</t>
        </is>
      </c>
      <c r="E516" s="23" t="inlineStr">
        <is>
          <t>Великолепная корпоративная вечеринка</t>
        </is>
      </c>
      <c r="F516" s="23" t="inlineStr">
        <is>
          <t>        </t>
        </is>
      </c>
      <c r="G516" s="23" t="n">
        <v>168</v>
      </c>
      <c r="H516" s="23" t="n">
        <v>10</v>
      </c>
      <c r="I516" s="23" t="n">
        <v>16</v>
      </c>
      <c r="J516" s="23" t="inlineStr">
        <is>
          <t>978-5-9524-3444-8</t>
        </is>
      </c>
      <c r="K516" s="23" t="inlineStr">
        <is>
          <t>70x90 1/32</t>
        </is>
      </c>
      <c r="L516" s="23" t="inlineStr">
        <is>
          <t>мяг</t>
        </is>
      </c>
      <c r="M516" s="23" t="n">
        <v>382</v>
      </c>
      <c r="N516" s="23" t="n">
        <v>2008</v>
      </c>
      <c r="O516" s="23" t="n">
        <v>154</v>
      </c>
      <c r="P516" s="23" t="n"/>
      <c r="Q516" s="23" t="n"/>
      <c r="R516" s="25" t="inlineStr">
        <is>
          <t>Скромной сотруднице рекламного агентства «Кенгуру» Сонечке Орешкиной невероятно повезло — ей предложили участвовать в тренинге, организованном для топ-менеджеров фирмы. Судьба предоставила Соне шанс продемонстрировать начальству все свои неординарные качества. А там рукой подать до повышения и прибавки к зарплате.</t>
        </is>
      </c>
      <c r="S516" s="26">
        <f>HYPERLINK("http://www.cnpol.ru/covers/10269.jpg","фото на сайте")</f>
        <v/>
      </c>
    </row>
    <row r="517" ht="50.1" customHeight="1" s="3">
      <c r="A517" s="23" t="n"/>
      <c r="B517" s="24" t="inlineStr">
        <is>
          <t>7797</t>
        </is>
      </c>
      <c r="C517" s="23" t="inlineStr">
        <is>
          <t>ЖД</t>
        </is>
      </c>
      <c r="D517" s="23" t="inlineStr">
        <is>
          <t>Рощина М.</t>
        </is>
      </c>
      <c r="E517" s="23" t="inlineStr">
        <is>
          <t>Двенадцать разгневанных слуг</t>
        </is>
      </c>
      <c r="F517" s="23" t="inlineStr">
        <is>
          <t>        </t>
        </is>
      </c>
      <c r="G517" s="23" t="n">
        <v>168</v>
      </c>
      <c r="H517" s="23" t="n">
        <v>10</v>
      </c>
      <c r="I517" s="23" t="n">
        <v>24</v>
      </c>
      <c r="J517" s="23" t="inlineStr">
        <is>
          <t>978-5-9524-2697-9</t>
        </is>
      </c>
      <c r="K517" s="23" t="inlineStr">
        <is>
          <t>70x90 1/32</t>
        </is>
      </c>
      <c r="L517" s="23" t="inlineStr">
        <is>
          <t>мяг</t>
        </is>
      </c>
      <c r="M517" s="23" t="n">
        <v>333</v>
      </c>
      <c r="N517" s="23" t="n">
        <v>2008</v>
      </c>
      <c r="O517" s="23" t="n">
        <v>140</v>
      </c>
      <c r="P517" s="23" t="n"/>
      <c r="Q517" s="23" t="n"/>
      <c r="R517" s="25" t="inlineStr">
        <is>
          <t>Анна Старцева и Андрей Ветров занимаются криминальными новостями и расследованиями. Случайно они натыкаются на весьма многообещающий сюжет. В центре Москвы стоит роскошный дом начала прошлого века, с которым связано несколько полузабытых слухов. Пропустовав несколько лет, особняк недавно обрел нового владельца...</t>
        </is>
      </c>
      <c r="S517" s="26">
        <f>HYPERLINK("http://www.cnpol.ru/covers/7797.jpg","фото на сайте")</f>
        <v/>
      </c>
    </row>
    <row r="518" ht="50.1" customHeight="1" s="3">
      <c r="A518" s="23" t="n"/>
      <c r="B518" s="24" t="inlineStr">
        <is>
          <t>7692</t>
        </is>
      </c>
      <c r="C518" s="23" t="inlineStr">
        <is>
          <t>ЖД</t>
        </is>
      </c>
      <c r="D518" s="23" t="inlineStr">
        <is>
          <t>Гончаренко С.</t>
        </is>
      </c>
      <c r="E518" s="23" t="inlineStr">
        <is>
          <t>Дездемона умрет в понедельник</t>
        </is>
      </c>
      <c r="F518" s="23" t="inlineStr">
        <is>
          <t>        </t>
        </is>
      </c>
      <c r="G518" s="23" t="n">
        <v>168</v>
      </c>
      <c r="H518" s="23" t="n">
        <v>10</v>
      </c>
      <c r="I518" s="23" t="n">
        <v>24</v>
      </c>
      <c r="J518" s="23" t="inlineStr">
        <is>
          <t>978-5-9524-2625-2</t>
        </is>
      </c>
      <c r="K518" s="23" t="inlineStr">
        <is>
          <t>70x90 1/32</t>
        </is>
      </c>
      <c r="L518" s="23" t="inlineStr">
        <is>
          <t>мяг</t>
        </is>
      </c>
      <c r="M518" s="23" t="n">
        <v>334</v>
      </c>
      <c r="N518" s="23" t="n">
        <v>2008</v>
      </c>
      <c r="O518" s="23" t="n">
        <v>140</v>
      </c>
      <c r="P518" s="23" t="n"/>
      <c r="Q518" s="23" t="n"/>
      <c r="R518" s="25" t="inlineStr">
        <is>
          <t>Провинциальный театр выразил желание заказать набор стульев для спектакля "Отелло", и Николай Самоваров, приработка ради, отправился в захолустный Ушуйск. В театре бушевали страсти, зависть и неудовлетворенное честолюбие подогревались артистическим темпераментом. Одна из главных участниц театральных интриг была найдена задушенной. Николай, бывший милиционер, а ныне скромный ремесленник, вынужден стать детективом поневоле…</t>
        </is>
      </c>
      <c r="S518" s="26">
        <f>HYPERLINK("http://www.cnpol.ru/covers/7692.jpg","фото на сайте")</f>
        <v/>
      </c>
    </row>
    <row r="519" ht="50.1" customHeight="1" s="3">
      <c r="A519" s="23" t="n"/>
      <c r="B519" s="24" t="inlineStr">
        <is>
          <t>10910</t>
        </is>
      </c>
      <c r="C519" s="23" t="inlineStr">
        <is>
          <t>ЖД</t>
        </is>
      </c>
      <c r="D519" s="23" t="inlineStr">
        <is>
          <t>Левитина Н.</t>
        </is>
      </c>
      <c r="E519" s="23" t="inlineStr">
        <is>
          <t>Дилетант</t>
        </is>
      </c>
      <c r="F519" s="23" t="inlineStr">
        <is>
          <t>        </t>
        </is>
      </c>
      <c r="G519" s="23" t="n">
        <v>168</v>
      </c>
      <c r="H519" s="23" t="n">
        <v>10</v>
      </c>
      <c r="I519" s="23" t="n">
        <v>20</v>
      </c>
      <c r="J519" s="23" t="inlineStr">
        <is>
          <t>978-5-9524-4046-3</t>
        </is>
      </c>
      <c r="K519" s="23" t="inlineStr">
        <is>
          <t>70x90 1/32</t>
        </is>
      </c>
      <c r="L519" s="23" t="inlineStr">
        <is>
          <t>мяг</t>
        </is>
      </c>
      <c r="M519" s="23" t="n">
        <v>428</v>
      </c>
      <c r="N519" s="23" t="n">
        <v>2008</v>
      </c>
      <c r="O519" s="23" t="n">
        <v>172</v>
      </c>
      <c r="P519" s="23" t="n"/>
      <c r="Q519" s="23" t="n"/>
      <c r="R519" s="25" t="inlineStr">
        <is>
          <t>Убиты крупный банкир Глеб Батурский и его любовница Вероника. В этом деле слишком много подозреваемых — лучший друг бизнесмена, бывшая жена... На первом месте в списке возможных кандидатур на скамью подсудимых — скромная служащая банка Алена Дмитриева. Но Алена бесследно исчезла, а рядом с детективом Андреем Пряжниковым оказывается странная...</t>
        </is>
      </c>
      <c r="S519" s="26">
        <f>HYPERLINK("http://www.cnpol.ru/covers/10910.jpg","фото на сайте")</f>
        <v/>
      </c>
    </row>
    <row r="520" ht="50.1" customHeight="1" s="3">
      <c r="A520" s="23" t="n"/>
      <c r="B520" s="24" t="inlineStr">
        <is>
          <t>11557</t>
        </is>
      </c>
      <c r="C520" s="23" t="inlineStr">
        <is>
          <t>ЖД</t>
        </is>
      </c>
      <c r="D520" s="23" t="inlineStr">
        <is>
          <t>Стожкова Н.</t>
        </is>
      </c>
      <c r="E520" s="23" t="inlineStr">
        <is>
          <t>Зло вчерашнего дня</t>
        </is>
      </c>
      <c r="F520" s="23" t="inlineStr">
        <is>
          <t>        </t>
        </is>
      </c>
      <c r="G520" s="23" t="n">
        <v>168</v>
      </c>
      <c r="H520" s="23" t="n">
        <v>10</v>
      </c>
      <c r="I520" s="23" t="n">
        <v>18</v>
      </c>
      <c r="J520" s="23" t="inlineStr">
        <is>
          <t>978-5-9524-4704-2</t>
        </is>
      </c>
      <c r="K520" s="23" t="inlineStr">
        <is>
          <t>70x90 1/32</t>
        </is>
      </c>
      <c r="L520" s="23" t="inlineStr">
        <is>
          <t>мяг</t>
        </is>
      </c>
      <c r="M520" s="23" t="n">
        <v>317</v>
      </c>
      <c r="N520" s="23" t="n">
        <v>2009</v>
      </c>
      <c r="O520" s="23" t="n">
        <v>134</v>
      </c>
      <c r="P520" s="23" t="n"/>
      <c r="Q520" s="23" t="n"/>
      <c r="R520" s="25" t="inlineStr">
        <is>
          <t>Уютное спокойствие большого хлебосольного дома Викентия Модестовича было нарушено появлением новой подружки внука хозяина - зеленоглазой золотоволосой красавицы Серафимы. Мужчин она взбудоражила своей нежной красотой, женщинам напомнила их собственную солнечную юность. Всем домочадцам захотелось, чтобы эта жизнерадостная богиня осталась в их доме навсегда. Досадно только, что с этой поры на членов семьи посыпались несчастья. Первым пострадал Денис, зять Викентия Модестовича. Его автомобиль съехал в кювет и перевернулся. В крови потерпевшего были обнаружены следы снотворного, и это притом, что сном он обладал отменным и таблеток в руках не держал. А вскоре кто-то разлил подсолнечное масло на ступеньки, ведущие в подвал...</t>
        </is>
      </c>
      <c r="S520" s="26">
        <f>HYPERLINK("http://www.cnpol.ru/covers/11557.jpg","фото на сайте")</f>
        <v/>
      </c>
    </row>
    <row r="521" ht="50.1" customHeight="1" s="3">
      <c r="A521" s="23" t="n"/>
      <c r="B521" s="24" t="inlineStr">
        <is>
          <t>12060</t>
        </is>
      </c>
      <c r="C521" s="23" t="inlineStr">
        <is>
          <t>ЖД</t>
        </is>
      </c>
      <c r="D521" s="23" t="inlineStr">
        <is>
          <t>Розова Я.</t>
        </is>
      </c>
      <c r="E521" s="23" t="inlineStr">
        <is>
          <t>Импровизация на тему убийства</t>
        </is>
      </c>
      <c r="F521" s="23" t="inlineStr">
        <is>
          <t>        </t>
        </is>
      </c>
      <c r="G521" s="23" t="n">
        <v>168</v>
      </c>
      <c r="H521" s="23" t="n">
        <v>10</v>
      </c>
      <c r="I521" s="23" t="n">
        <v>28</v>
      </c>
      <c r="J521" s="23" t="inlineStr">
        <is>
          <t>978-5-227-02166-3</t>
        </is>
      </c>
      <c r="K521" s="23" t="inlineStr">
        <is>
          <t>70x90 1/32</t>
        </is>
      </c>
      <c r="L521" s="23" t="inlineStr">
        <is>
          <t>мяг</t>
        </is>
      </c>
      <c r="M521" s="23" t="n">
        <v>286</v>
      </c>
      <c r="N521" s="23" t="n">
        <v>2010</v>
      </c>
      <c r="O521" s="23" t="n">
        <v>122</v>
      </c>
      <c r="P521" s="23" t="n"/>
      <c r="Q521" s="23" t="n"/>
      <c r="R521" s="25" t="inlineStr">
        <is>
          <t>Она пришла к любимому, чтобы остаться с ним навсегда, но обнаружила его и свою лучшую подругу убитыми. Как они оказались в одной постели? И кому была выгодна их смерть? Пытаясь вычислить убийцу, героиня обнаруживает неожиданные черты характеров давно знакомых людей. Она пройдет через странные испытания, чтобы сложить загадочные кусочки вымысла в жуткую картину реального преступления.</t>
        </is>
      </c>
      <c r="S521" s="26">
        <f>HYPERLINK("http://www.cnpol.ru/covers/12060.jpg","фото на сайте")</f>
        <v/>
      </c>
    </row>
    <row r="522" ht="50.1" customHeight="1" s="3">
      <c r="A522" s="23" t="n"/>
      <c r="B522" s="24" t="inlineStr">
        <is>
          <t>11905</t>
        </is>
      </c>
      <c r="C522" s="23" t="inlineStr">
        <is>
          <t>ЖД</t>
        </is>
      </c>
      <c r="D522" s="23" t="inlineStr">
        <is>
          <t>Левитина Н.</t>
        </is>
      </c>
      <c r="E522" s="23" t="inlineStr">
        <is>
          <t>Любовница отменяется</t>
        </is>
      </c>
      <c r="F522" s="23" t="inlineStr">
        <is>
          <t>        </t>
        </is>
      </c>
      <c r="G522" s="23" t="n">
        <v>168</v>
      </c>
      <c r="H522" s="23" t="n">
        <v>10</v>
      </c>
      <c r="I522" s="23" t="n">
        <v>16</v>
      </c>
      <c r="J522" s="23" t="inlineStr">
        <is>
          <t>978-5-227-02060-4</t>
        </is>
      </c>
      <c r="K522" s="23" t="inlineStr">
        <is>
          <t>70x90 1/32</t>
        </is>
      </c>
      <c r="L522" s="23" t="inlineStr">
        <is>
          <t>мяг</t>
        </is>
      </c>
      <c r="M522" s="23" t="n">
        <v>380</v>
      </c>
      <c r="N522" s="23" t="n">
        <v>2010</v>
      </c>
      <c r="O522" s="23" t="n">
        <v>160</v>
      </c>
      <c r="P522" s="23" t="n"/>
      <c r="Q522" s="23" t="n"/>
      <c r="R522" s="25" t="inlineStr">
        <is>
          <t>Купленный в дорогущем магазине гламурный тренчкот с глянцевой обложки недолго согревал душу милой журналистки Юли. Радость час¬то идет под руку с бедой — жених, как случайно выяснилось, собирается уйти к другой, а лучшая подруга, с которой не пуд, а тонну соли вместе съели, похоже, вовсе и не подруга... Просто удивительно, как некоторые красивые и умные современные женщины порой умудряются осложнить себе и другим жизнь, руководствуясь какими-то параноидальными догадками, подозрениями и кошмариками... Однако ж в этот раз все вроде бы рушится по-настоящему! Или нет? Юля решает во всем разобраться и начинает свое женское расследование...</t>
        </is>
      </c>
      <c r="S522" s="26">
        <f>HYPERLINK("http://www.cnpol.ru/covers/11905.jpg","фото на сайте")</f>
        <v/>
      </c>
    </row>
    <row r="523" ht="50.1" customHeight="1" s="3">
      <c r="A523" s="23" t="n"/>
      <c r="B523" s="24" t="inlineStr">
        <is>
          <t>9034</t>
        </is>
      </c>
      <c r="C523" s="23" t="inlineStr">
        <is>
          <t>ЖД</t>
        </is>
      </c>
      <c r="D523" s="23" t="inlineStr">
        <is>
          <t>Левитина Н.</t>
        </is>
      </c>
      <c r="E523" s="23" t="inlineStr">
        <is>
          <t>Неумышленное ограбление</t>
        </is>
      </c>
      <c r="F523" s="23" t="inlineStr">
        <is>
          <t>        </t>
        </is>
      </c>
      <c r="G523" s="23" t="n">
        <v>168</v>
      </c>
      <c r="H523" s="23" t="n">
        <v>10</v>
      </c>
      <c r="I523" s="23" t="n">
        <v>16</v>
      </c>
      <c r="J523" s="23" t="inlineStr">
        <is>
          <t>978-5-9524-3176-8</t>
        </is>
      </c>
      <c r="K523" s="23" t="inlineStr">
        <is>
          <t>70x90 1/32</t>
        </is>
      </c>
      <c r="L523" s="23" t="inlineStr">
        <is>
          <t>мяг</t>
        </is>
      </c>
      <c r="M523" s="23" t="n">
        <v>427</v>
      </c>
      <c r="N523" s="23" t="n">
        <v>2008</v>
      </c>
      <c r="O523" s="23" t="n">
        <v>174</v>
      </c>
      <c r="P523" s="23" t="n"/>
      <c r="Q523" s="23" t="n"/>
      <c r="R523" s="25" t="n"/>
      <c r="S523" s="26">
        <f>HYPERLINK("http://www.cnpol.ru/covers/9034.jpg","фото на сайте")</f>
        <v/>
      </c>
    </row>
    <row r="524" ht="50.1" customHeight="1" s="3">
      <c r="A524" s="23" t="n"/>
      <c r="B524" s="24" t="inlineStr">
        <is>
          <t>8850</t>
        </is>
      </c>
      <c r="C524" s="23" t="inlineStr">
        <is>
          <t>ЖД</t>
        </is>
      </c>
      <c r="D524" s="23" t="inlineStr">
        <is>
          <t>Левитина Н.</t>
        </is>
      </c>
      <c r="E524" s="23" t="inlineStr">
        <is>
          <t>Опасные удовольствия</t>
        </is>
      </c>
      <c r="F524" s="23" t="inlineStr">
        <is>
          <t>        </t>
        </is>
      </c>
      <c r="G524" s="23" t="n">
        <v>168</v>
      </c>
      <c r="H524" s="23" t="n">
        <v>10</v>
      </c>
      <c r="I524" s="23" t="n">
        <v>16</v>
      </c>
      <c r="J524" s="23" t="inlineStr">
        <is>
          <t>978-5-9524-3038-9</t>
        </is>
      </c>
      <c r="K524" s="23" t="inlineStr">
        <is>
          <t>70x90 1/32</t>
        </is>
      </c>
      <c r="L524" s="23" t="inlineStr">
        <is>
          <t>мяг</t>
        </is>
      </c>
      <c r="M524" s="23" t="n">
        <v>442</v>
      </c>
      <c r="N524" s="23" t="n">
        <v>2008</v>
      </c>
      <c r="O524" s="23" t="n">
        <v>186</v>
      </c>
      <c r="P524" s="23" t="n"/>
      <c r="Q524" s="23" t="n"/>
      <c r="R524" s="25" t="n"/>
      <c r="S524" s="26">
        <f>HYPERLINK("http://www.cnpol.ru/covers/8850.jpg","фото на сайте")</f>
        <v/>
      </c>
    </row>
    <row r="525" ht="50.1" customHeight="1" s="3">
      <c r="A525" s="23" t="n"/>
      <c r="B525" s="24" t="inlineStr">
        <is>
          <t>10742</t>
        </is>
      </c>
      <c r="C525" s="23" t="inlineStr">
        <is>
          <t>ЖД</t>
        </is>
      </c>
      <c r="D525" s="23" t="inlineStr">
        <is>
          <t>Гончаренко С.</t>
        </is>
      </c>
      <c r="E525" s="23" t="inlineStr">
        <is>
          <t>Победитель получит все</t>
        </is>
      </c>
      <c r="F525" s="23" t="inlineStr">
        <is>
          <t>        </t>
        </is>
      </c>
      <c r="G525" s="23" t="n">
        <v>168</v>
      </c>
      <c r="H525" s="23" t="n">
        <v>10</v>
      </c>
      <c r="I525" s="23" t="n">
        <v>24</v>
      </c>
      <c r="J525" s="23" t="inlineStr">
        <is>
          <t>978-5-9524-3846-0</t>
        </is>
      </c>
      <c r="K525" s="23" t="inlineStr">
        <is>
          <t>70x90 1/32</t>
        </is>
      </c>
      <c r="L525" s="23" t="inlineStr">
        <is>
          <t>мяг</t>
        </is>
      </c>
      <c r="M525" s="23" t="n">
        <v>319</v>
      </c>
      <c r="N525" s="23" t="n">
        <v>2008</v>
      </c>
      <c r="O525" s="23" t="n">
        <v>130</v>
      </c>
      <c r="P525" s="23" t="n"/>
      <c r="Q525" s="23" t="n"/>
      <c r="R525" s="25" t="n"/>
      <c r="S525" s="26">
        <f>HYPERLINK("http://www.cnpol.ru/covers/10742.jpg","фото на сайте")</f>
        <v/>
      </c>
    </row>
    <row r="526" ht="50.1" customHeight="1" s="3">
      <c r="A526" s="23" t="n"/>
      <c r="B526" s="24" t="inlineStr">
        <is>
          <t>10569</t>
        </is>
      </c>
      <c r="C526" s="23" t="inlineStr">
        <is>
          <t>ЖД</t>
        </is>
      </c>
      <c r="D526" s="23" t="inlineStr">
        <is>
          <t>Обухова О.Н.</t>
        </is>
      </c>
      <c r="E526" s="23" t="inlineStr">
        <is>
          <t>Пристрелите загнанную лошадь</t>
        </is>
      </c>
      <c r="F526" s="23" t="inlineStr">
        <is>
          <t>        </t>
        </is>
      </c>
      <c r="G526" s="23" t="n">
        <v>168</v>
      </c>
      <c r="H526" s="23" t="n">
        <v>10</v>
      </c>
      <c r="I526" s="23" t="n">
        <v>20</v>
      </c>
      <c r="J526" s="23" t="inlineStr">
        <is>
          <t>978-5-9524-3798-2</t>
        </is>
      </c>
      <c r="K526" s="23" t="inlineStr">
        <is>
          <t>70x90 1/32</t>
        </is>
      </c>
      <c r="L526" s="23" t="inlineStr">
        <is>
          <t>мяг</t>
        </is>
      </c>
      <c r="M526" s="23" t="n">
        <v>318</v>
      </c>
      <c r="N526" s="23" t="n">
        <v>2008</v>
      </c>
      <c r="O526" s="23" t="n">
        <v>130</v>
      </c>
      <c r="P526" s="23" t="n"/>
      <c r="Q526" s="23" t="n"/>
      <c r="R526" s="25" t="n"/>
      <c r="S526" s="26">
        <f>HYPERLINK("http://www.cnpol.ru/covers/10569.jpg","фото на сайте")</f>
        <v/>
      </c>
    </row>
    <row r="527" ht="50.1" customHeight="1" s="3">
      <c r="A527" s="23" t="n"/>
      <c r="B527" s="24" t="inlineStr">
        <is>
          <t>7972</t>
        </is>
      </c>
      <c r="C527" s="23" t="inlineStr">
        <is>
          <t>ЖД</t>
        </is>
      </c>
      <c r="D527" s="23" t="inlineStr">
        <is>
          <t>Гончаренко С.</t>
        </is>
      </c>
      <c r="E527" s="23" t="inlineStr">
        <is>
          <t>Прошлой осенью в аду</t>
        </is>
      </c>
      <c r="F527" s="23" t="inlineStr">
        <is>
          <t>        </t>
        </is>
      </c>
      <c r="G527" s="23" t="n">
        <v>168</v>
      </c>
      <c r="H527" s="23" t="n">
        <v>10</v>
      </c>
      <c r="I527" s="23" t="n">
        <v>28</v>
      </c>
      <c r="J527" s="23" t="inlineStr">
        <is>
          <t>978-5-9524-2871-3</t>
        </is>
      </c>
      <c r="K527" s="23" t="inlineStr">
        <is>
          <t>70x90 1/32</t>
        </is>
      </c>
      <c r="L527" s="23" t="inlineStr">
        <is>
          <t>мяг</t>
        </is>
      </c>
      <c r="M527" s="23" t="n">
        <v>300</v>
      </c>
      <c r="N527" s="23" t="n">
        <v>2008</v>
      </c>
      <c r="O527" s="23" t="n">
        <v>124</v>
      </c>
      <c r="P527" s="23" t="n"/>
      <c r="Q527" s="23" t="n"/>
      <c r="R527" s="25" t="n"/>
      <c r="S527" s="26">
        <f>HYPERLINK("http://www.cnpol.ru/covers/7972.jpg","фото на сайте")</f>
        <v/>
      </c>
    </row>
    <row r="528" ht="50.1" customHeight="1" s="3">
      <c r="A528" s="23" t="n"/>
      <c r="B528" s="24" t="inlineStr">
        <is>
          <t>7771</t>
        </is>
      </c>
      <c r="C528" s="23" t="inlineStr">
        <is>
          <t>ЖД</t>
        </is>
      </c>
      <c r="D528" s="23" t="inlineStr">
        <is>
          <t>Рощина М.</t>
        </is>
      </c>
      <c r="E528" s="23" t="inlineStr">
        <is>
          <t>Прощай мафия</t>
        </is>
      </c>
      <c r="F528" s="23" t="inlineStr">
        <is>
          <t>        </t>
        </is>
      </c>
      <c r="G528" s="23" t="n">
        <v>168</v>
      </c>
      <c r="H528" s="23" t="n">
        <v>10</v>
      </c>
      <c r="I528" s="23" t="n">
        <v>16</v>
      </c>
      <c r="J528" s="23" t="inlineStr">
        <is>
          <t>978-5-9524-2690-0</t>
        </is>
      </c>
      <c r="K528" s="23" t="inlineStr">
        <is>
          <t>70x90 1/32</t>
        </is>
      </c>
      <c r="L528" s="23" t="inlineStr">
        <is>
          <t>мяг</t>
        </is>
      </c>
      <c r="M528" s="23" t="n">
        <v>414</v>
      </c>
      <c r="N528" s="23" t="n">
        <v>2008</v>
      </c>
      <c r="O528" s="23" t="n">
        <v>168</v>
      </c>
      <c r="P528" s="23" t="n"/>
      <c r="Q528" s="23" t="n"/>
      <c r="R528" s="25" t="n"/>
      <c r="S528" s="26">
        <f>HYPERLINK("http://www.cnpol.ru/covers/7771.jpg","фото на сайте")</f>
        <v/>
      </c>
    </row>
    <row r="529" ht="50.1" customHeight="1" s="3">
      <c r="A529" s="23" t="n"/>
      <c r="B529" s="24" t="inlineStr">
        <is>
          <t>12551</t>
        </is>
      </c>
      <c r="C529" s="23" t="inlineStr">
        <is>
          <t>ЖД</t>
        </is>
      </c>
      <c r="D529" s="23" t="inlineStr">
        <is>
          <t>Симонова Д.,Стринадкина Е.</t>
        </is>
      </c>
      <c r="E529" s="23" t="inlineStr">
        <is>
          <t>Пятнадцатый камень</t>
        </is>
      </c>
      <c r="F529" s="23" t="inlineStr">
        <is>
          <t>        </t>
        </is>
      </c>
      <c r="G529" s="23" t="n">
        <v>168</v>
      </c>
      <c r="H529" s="23" t="n">
        <v>10</v>
      </c>
      <c r="I529" s="23" t="n">
        <v>36</v>
      </c>
      <c r="J529" s="23" t="inlineStr">
        <is>
          <t>978-5-227-02348-3</t>
        </is>
      </c>
      <c r="K529" s="23" t="inlineStr">
        <is>
          <t>70x90 1/32</t>
        </is>
      </c>
      <c r="L529" s="23" t="inlineStr">
        <is>
          <t>мяг</t>
        </is>
      </c>
      <c r="M529" s="23" t="n">
        <v>255</v>
      </c>
      <c r="N529" s="23" t="n">
        <v>2011</v>
      </c>
      <c r="O529" s="23" t="n">
        <v>108</v>
      </c>
      <c r="P529" s="23" t="n"/>
      <c r="Q529" s="23" t="n"/>
      <c r="R529" s="25" t="n"/>
      <c r="S529" s="26">
        <f>HYPERLINK("http://www.cnpol.ru/covers/12551.jpg","фото на сайте")</f>
        <v/>
      </c>
    </row>
    <row r="530" ht="50.1" customHeight="1" s="3">
      <c r="A530" s="23" t="n"/>
      <c r="B530" s="24" t="inlineStr">
        <is>
          <t>7831</t>
        </is>
      </c>
      <c r="C530" s="23" t="inlineStr">
        <is>
          <t>ЖД</t>
        </is>
      </c>
      <c r="D530" s="23" t="inlineStr">
        <is>
          <t>Славина О.</t>
        </is>
      </c>
      <c r="E530" s="23" t="inlineStr">
        <is>
          <t>Сколько весит счастье</t>
        </is>
      </c>
      <c r="F530" s="23" t="inlineStr">
        <is>
          <t>        </t>
        </is>
      </c>
      <c r="G530" s="23" t="n">
        <v>168</v>
      </c>
      <c r="H530" s="23" t="n">
        <v>10</v>
      </c>
      <c r="I530" s="23" t="n">
        <v>20</v>
      </c>
      <c r="J530" s="23" t="inlineStr">
        <is>
          <t>978-5-9524-2760-0</t>
        </is>
      </c>
      <c r="K530" s="23" t="inlineStr">
        <is>
          <t>70x90 1/32</t>
        </is>
      </c>
      <c r="L530" s="23" t="inlineStr">
        <is>
          <t>мяг</t>
        </is>
      </c>
      <c r="M530" s="23" t="n">
        <v>285</v>
      </c>
      <c r="N530" s="23" t="n">
        <v>2008</v>
      </c>
      <c r="O530" s="23" t="n">
        <v>122</v>
      </c>
      <c r="P530" s="23" t="n"/>
      <c r="Q530" s="23" t="n"/>
      <c r="R530" s="25" t="n"/>
      <c r="S530" s="26">
        <f>HYPERLINK("http://www.cnpol.ru/covers/7831.jpg","фото на сайте")</f>
        <v/>
      </c>
    </row>
    <row r="531" ht="50.1" customHeight="1" s="3">
      <c r="A531" s="23" t="n"/>
      <c r="B531" s="24" t="inlineStr">
        <is>
          <t>11498</t>
        </is>
      </c>
      <c r="C531" s="23" t="inlineStr">
        <is>
          <t>ЖД</t>
        </is>
      </c>
      <c r="D531" s="23" t="inlineStr">
        <is>
          <t>Обухова О.Н.</t>
        </is>
      </c>
      <c r="E531" s="23" t="inlineStr">
        <is>
          <t>Смерть плохая примета</t>
        </is>
      </c>
      <c r="F531" s="23" t="inlineStr">
        <is>
          <t>        </t>
        </is>
      </c>
      <c r="G531" s="23" t="n">
        <v>168</v>
      </c>
      <c r="H531" s="23" t="n">
        <v>10</v>
      </c>
      <c r="I531" s="23" t="n">
        <v>18</v>
      </c>
      <c r="J531" s="23" t="inlineStr">
        <is>
          <t>978-5-9524-4591-8</t>
        </is>
      </c>
      <c r="K531" s="23" t="inlineStr">
        <is>
          <t>70x90 1/32</t>
        </is>
      </c>
      <c r="L531" s="23" t="inlineStr">
        <is>
          <t>мяг</t>
        </is>
      </c>
      <c r="M531" s="23" t="n">
        <v>317</v>
      </c>
      <c r="N531" s="23" t="n">
        <v>2009</v>
      </c>
      <c r="O531" s="23" t="n">
        <v>132</v>
      </c>
      <c r="P531" s="23" t="n"/>
      <c r="Q531" s="23" t="n"/>
      <c r="R531" s="25" t="n"/>
      <c r="S531" s="26">
        <f>HYPERLINK("http://www.cnpol.ru/covers/11498.jpg","фото на сайте")</f>
        <v/>
      </c>
    </row>
    <row r="532" ht="50.1" customHeight="1" s="3">
      <c r="A532" s="23" t="n"/>
      <c r="B532" s="24" t="inlineStr">
        <is>
          <t>10787</t>
        </is>
      </c>
      <c r="C532" s="23" t="inlineStr">
        <is>
          <t>ЖД</t>
        </is>
      </c>
      <c r="D532" s="23" t="inlineStr">
        <is>
          <t>Кускова А.</t>
        </is>
      </c>
      <c r="E532" s="23" t="inlineStr">
        <is>
          <t>Страсти по криминальному наследству</t>
        </is>
      </c>
      <c r="F532" s="23" t="inlineStr">
        <is>
          <t>        </t>
        </is>
      </c>
      <c r="G532" s="23" t="n">
        <v>168</v>
      </c>
      <c r="H532" s="23" t="n">
        <v>10</v>
      </c>
      <c r="I532" s="23" t="n">
        <v>30</v>
      </c>
      <c r="J532" s="23" t="inlineStr">
        <is>
          <t>978-5-9524-3890-3</t>
        </is>
      </c>
      <c r="K532" s="23" t="inlineStr">
        <is>
          <t>70x90 1/32</t>
        </is>
      </c>
      <c r="L532" s="23" t="inlineStr">
        <is>
          <t>мяг</t>
        </is>
      </c>
      <c r="M532" s="23" t="n">
        <v>255</v>
      </c>
      <c r="N532" s="23" t="n">
        <v>2008</v>
      </c>
      <c r="O532" s="23" t="n">
        <v>100</v>
      </c>
      <c r="P532" s="23" t="n"/>
      <c r="Q532" s="23" t="n"/>
      <c r="R532" s="25" t="n"/>
      <c r="S532" s="26">
        <f>HYPERLINK("http://www.cnpol.ru/covers/10787.jpg","фото на сайте")</f>
        <v/>
      </c>
    </row>
    <row r="533" ht="50.1" customHeight="1" s="3">
      <c r="A533" s="23" t="n"/>
      <c r="B533" s="24" t="inlineStr">
        <is>
          <t>7832</t>
        </is>
      </c>
      <c r="C533" s="23" t="inlineStr">
        <is>
          <t>ЖД</t>
        </is>
      </c>
      <c r="D533" s="23" t="inlineStr">
        <is>
          <t>Гончаренко С.</t>
        </is>
      </c>
      <c r="E533" s="23" t="inlineStr">
        <is>
          <t>Так долго не живут</t>
        </is>
      </c>
      <c r="F533" s="23" t="inlineStr">
        <is>
          <t>        </t>
        </is>
      </c>
      <c r="G533" s="23" t="n">
        <v>168</v>
      </c>
      <c r="H533" s="23" t="n">
        <v>10</v>
      </c>
      <c r="I533" s="23" t="n">
        <v>20</v>
      </c>
      <c r="J533" s="23" t="inlineStr">
        <is>
          <t>978-5-9524-2761-7</t>
        </is>
      </c>
      <c r="K533" s="23" t="inlineStr">
        <is>
          <t>70x90 1/32</t>
        </is>
      </c>
      <c r="L533" s="23" t="inlineStr">
        <is>
          <t>мяг</t>
        </is>
      </c>
      <c r="M533" s="23" t="n">
        <v>285</v>
      </c>
      <c r="N533" s="23" t="n">
        <v>2008</v>
      </c>
      <c r="O533" s="23" t="n">
        <v>120</v>
      </c>
      <c r="P533" s="23" t="n"/>
      <c r="Q533" s="23" t="n"/>
      <c r="R533" s="25" t="n"/>
      <c r="S533" s="26">
        <f>HYPERLINK("http://www.cnpol.ru/covers/7832.jpg","фото на сайте")</f>
        <v/>
      </c>
    </row>
    <row r="534" ht="50.1" customHeight="1" s="3">
      <c r="A534" s="23" t="n"/>
      <c r="B534" s="24" t="inlineStr">
        <is>
          <t>12305</t>
        </is>
      </c>
      <c r="C534" s="23" t="inlineStr">
        <is>
          <t>ЖД</t>
        </is>
      </c>
      <c r="D534" s="23" t="inlineStr">
        <is>
          <t>Розова Я.</t>
        </is>
      </c>
      <c r="E534" s="23" t="inlineStr">
        <is>
          <t>Темная полоса</t>
        </is>
      </c>
      <c r="F534" s="23" t="inlineStr">
        <is>
          <t>        </t>
        </is>
      </c>
      <c r="G534" s="23" t="n">
        <v>168</v>
      </c>
      <c r="H534" s="23" t="n">
        <v>10</v>
      </c>
      <c r="I534" s="23" t="n">
        <v>40</v>
      </c>
      <c r="J534" s="23" t="inlineStr">
        <is>
          <t>978-5-227-02452-7</t>
        </is>
      </c>
      <c r="K534" s="23" t="inlineStr">
        <is>
          <t>70x90 1/32</t>
        </is>
      </c>
      <c r="L534" s="23" t="inlineStr">
        <is>
          <t>мяг</t>
        </is>
      </c>
      <c r="M534" s="23" t="n">
        <v>286</v>
      </c>
      <c r="N534" s="23" t="n">
        <v>2010</v>
      </c>
      <c r="O534" s="23" t="n">
        <v>124</v>
      </c>
      <c r="P534" s="23" t="n"/>
      <c r="Q534" s="23" t="n"/>
      <c r="R534" s="25" t="n"/>
      <c r="S534" s="26">
        <f>HYPERLINK("http://www.cnpol.ru/covers/12305.jpg","фото на сайте")</f>
        <v/>
      </c>
    </row>
    <row r="535" ht="50.1" customHeight="1" s="3">
      <c r="A535" s="23" t="n"/>
      <c r="B535" s="24" t="inlineStr">
        <is>
          <t>10439</t>
        </is>
      </c>
      <c r="C535" s="23" t="inlineStr">
        <is>
          <t>ЖД</t>
        </is>
      </c>
      <c r="D535" s="23" t="inlineStr">
        <is>
          <t>Гончаренко С.</t>
        </is>
      </c>
      <c r="E535" s="23" t="inlineStr">
        <is>
          <t>Уйти красиво и с деньгами</t>
        </is>
      </c>
      <c r="F535" s="23" t="inlineStr">
        <is>
          <t>        </t>
        </is>
      </c>
      <c r="G535" s="23" t="n">
        <v>168</v>
      </c>
      <c r="H535" s="23" t="n">
        <v>10</v>
      </c>
      <c r="I535" s="23" t="n">
        <v>20</v>
      </c>
      <c r="J535" s="23" t="inlineStr">
        <is>
          <t>978-5-9524-3620-6</t>
        </is>
      </c>
      <c r="K535" s="23" t="inlineStr">
        <is>
          <t>70x90 1/32</t>
        </is>
      </c>
      <c r="L535" s="23" t="inlineStr">
        <is>
          <t>мяг</t>
        </is>
      </c>
      <c r="M535" s="23" t="n">
        <v>384</v>
      </c>
      <c r="N535" s="23" t="n">
        <v>2008</v>
      </c>
      <c r="O535" s="23" t="n">
        <v>154</v>
      </c>
      <c r="P535" s="23" t="n"/>
      <c r="Q535" s="23" t="n"/>
      <c r="R535" s="25" t="n"/>
      <c r="S535" s="26">
        <f>HYPERLINK("http://www.cnpol.ru/covers/10439.jpg","фото на сайте")</f>
        <v/>
      </c>
    </row>
    <row r="536" ht="50.1" customHeight="1" s="3">
      <c r="A536" s="23" t="n"/>
      <c r="B536" s="24" t="inlineStr">
        <is>
          <t>12208</t>
        </is>
      </c>
      <c r="C536" s="23" t="inlineStr">
        <is>
          <t>ЖД</t>
        </is>
      </c>
      <c r="D536" s="23" t="inlineStr">
        <is>
          <t>Кускова А.</t>
        </is>
      </c>
      <c r="E536" s="23" t="inlineStr">
        <is>
          <t>Чисто русское преступление</t>
        </is>
      </c>
      <c r="F536" s="23" t="inlineStr">
        <is>
          <t>        </t>
        </is>
      </c>
      <c r="G536" s="23" t="n">
        <v>168</v>
      </c>
      <c r="H536" s="23" t="n">
        <v>10</v>
      </c>
      <c r="I536" s="23" t="n">
        <v>32</v>
      </c>
      <c r="J536" s="23" t="inlineStr">
        <is>
          <t>978-5-227-02286-8</t>
        </is>
      </c>
      <c r="K536" s="23" t="inlineStr">
        <is>
          <t>70x90 1/32</t>
        </is>
      </c>
      <c r="L536" s="23" t="inlineStr">
        <is>
          <t>мяг</t>
        </is>
      </c>
      <c r="M536" s="23" t="n">
        <v>286</v>
      </c>
      <c r="N536" s="23" t="n">
        <v>2010</v>
      </c>
      <c r="O536" s="23" t="n">
        <v>122</v>
      </c>
      <c r="P536" s="23" t="n"/>
      <c r="Q536" s="23" t="n"/>
      <c r="R536" s="25" t="n"/>
      <c r="S536" s="26">
        <f>HYPERLINK("http://www.cnpol.ru/covers/12208.jpg","фото на сайте")</f>
        <v/>
      </c>
    </row>
    <row r="537" ht="50.1" customHeight="1" s="3">
      <c r="A537" s="23" t="n"/>
      <c r="B537" s="24" t="inlineStr">
        <is>
          <t>8846</t>
        </is>
      </c>
      <c r="C537" s="23" t="inlineStr">
        <is>
          <t>ЖД</t>
        </is>
      </c>
      <c r="D537" s="23" t="inlineStr">
        <is>
          <t>Славина О.</t>
        </is>
      </c>
      <c r="E537" s="23" t="inlineStr">
        <is>
          <t>Чужое дело</t>
        </is>
      </c>
      <c r="F537" s="23" t="inlineStr">
        <is>
          <t>        </t>
        </is>
      </c>
      <c r="G537" s="23" t="n">
        <v>168</v>
      </c>
      <c r="H537" s="23" t="n">
        <v>10</v>
      </c>
      <c r="I537" s="23" t="n">
        <v>20</v>
      </c>
      <c r="J537" s="23" t="inlineStr">
        <is>
          <t>978-5-9524-3090-7</t>
        </is>
      </c>
      <c r="K537" s="23" t="inlineStr">
        <is>
          <t>70x90 1/32</t>
        </is>
      </c>
      <c r="L537" s="23" t="inlineStr">
        <is>
          <t>мяг</t>
        </is>
      </c>
      <c r="M537" s="23" t="n">
        <v>301</v>
      </c>
      <c r="N537" s="23" t="n">
        <v>2008</v>
      </c>
      <c r="O537" s="23" t="n">
        <v>126</v>
      </c>
      <c r="P537" s="23" t="n"/>
      <c r="Q537" s="23" t="n"/>
      <c r="R537" s="25" t="n"/>
      <c r="S537" s="26">
        <f>HYPERLINK("http://www.cnpol.ru/covers/8846.jpg","фото на сайте")</f>
        <v/>
      </c>
    </row>
    <row r="538" ht="50.1" customHeight="1" s="3">
      <c r="A538" s="23" t="n"/>
      <c r="B538" s="24" t="inlineStr">
        <is>
          <t>10757</t>
        </is>
      </c>
      <c r="C538" s="23" t="inlineStr">
        <is>
          <t>ЖД</t>
        </is>
      </c>
      <c r="D538" s="23" t="inlineStr">
        <is>
          <t>Славина О.</t>
        </is>
      </c>
      <c r="E538" s="23" t="inlineStr">
        <is>
          <t>Чужое дело</t>
        </is>
      </c>
      <c r="F538" s="23" t="inlineStr">
        <is>
          <t>        </t>
        </is>
      </c>
      <c r="G538" s="23" t="n">
        <v>168</v>
      </c>
      <c r="H538" s="23" t="n">
        <v>10</v>
      </c>
      <c r="I538" s="23" t="n">
        <v>20</v>
      </c>
      <c r="J538" s="23" t="inlineStr">
        <is>
          <t>978-5-9524-3868-2</t>
        </is>
      </c>
      <c r="K538" s="23" t="inlineStr">
        <is>
          <t>70x90 1/32</t>
        </is>
      </c>
      <c r="L538" s="23" t="inlineStr">
        <is>
          <t>мяг</t>
        </is>
      </c>
      <c r="M538" s="23" t="n">
        <v>301</v>
      </c>
      <c r="N538" s="23" t="n">
        <v>2008</v>
      </c>
      <c r="O538" s="23" t="n">
        <v>126</v>
      </c>
      <c r="P538" s="23" t="n"/>
      <c r="Q538" s="23" t="n"/>
      <c r="R538" s="25" t="n"/>
      <c r="S538" s="26">
        <f>HYPERLINK("http://www.cnpol.ru/covers/10757.jpg","фото на сайте")</f>
        <v/>
      </c>
    </row>
    <row r="539" ht="50.1" customHeight="1" s="3">
      <c r="A539" s="23" t="n"/>
      <c r="B539" s="24" t="inlineStr">
        <is>
          <t>8849</t>
        </is>
      </c>
      <c r="C539" s="23" t="inlineStr">
        <is>
          <t>ЖД</t>
        </is>
      </c>
      <c r="D539" s="23" t="inlineStr">
        <is>
          <t>Левитина Н.</t>
        </is>
      </c>
      <c r="E539" s="23" t="inlineStr">
        <is>
          <t>Экстремальная Маргарита</t>
        </is>
      </c>
      <c r="F539" s="23" t="inlineStr">
        <is>
          <t>        </t>
        </is>
      </c>
      <c r="G539" s="23" t="n">
        <v>123</v>
      </c>
      <c r="H539" s="23" t="n">
        <v>10</v>
      </c>
      <c r="I539" s="23" t="n">
        <v>16</v>
      </c>
      <c r="J539" s="23" t="inlineStr">
        <is>
          <t>978-5-9524-3066-2</t>
        </is>
      </c>
      <c r="K539" s="23" t="inlineStr">
        <is>
          <t>70x90 1/32</t>
        </is>
      </c>
      <c r="L539" s="23" t="inlineStr">
        <is>
          <t>мяг</t>
        </is>
      </c>
      <c r="M539" s="23" t="n">
        <v>459</v>
      </c>
      <c r="N539" s="23" t="n">
        <v>2008</v>
      </c>
      <c r="O539" s="23" t="n">
        <v>186</v>
      </c>
      <c r="P539" s="23" t="n"/>
      <c r="Q539" s="23" t="n"/>
      <c r="R539" s="25" t="n"/>
      <c r="S539" s="26">
        <f>HYPERLINK("http://www.cnpol.ru/covers/8849.jpg","фото на сайте")</f>
        <v/>
      </c>
    </row>
    <row r="540" ht="50.1" customHeight="1" s="3">
      <c r="A540" s="23" t="n"/>
      <c r="B540" s="24" t="inlineStr">
        <is>
          <t>19136</t>
        </is>
      </c>
      <c r="C540" s="23" t="inlineStr">
        <is>
          <t>ЖД ОУ НОВ</t>
        </is>
      </c>
      <c r="D540" s="23" t="inlineStr">
        <is>
          <t>Розова Я.</t>
        </is>
      </c>
      <c r="E540" s="23" t="inlineStr">
        <is>
          <t>Безмятежное зло</t>
        </is>
      </c>
      <c r="F540" s="23" t="inlineStr">
        <is>
          <t>        </t>
        </is>
      </c>
      <c r="G540" s="23" t="n">
        <v>186</v>
      </c>
      <c r="H540" s="23" t="n">
        <v>10</v>
      </c>
      <c r="I540" s="23" t="n">
        <v>24</v>
      </c>
      <c r="J540" s="23" t="inlineStr">
        <is>
          <t>978-5-227-08536-8</t>
        </is>
      </c>
      <c r="K540" s="23" t="inlineStr">
        <is>
          <t>70x90 1/32</t>
        </is>
      </c>
      <c r="L540" s="23" t="inlineStr">
        <is>
          <t>мяг</t>
        </is>
      </c>
      <c r="M540" s="23" t="n">
        <v>288</v>
      </c>
      <c r="N540" s="23" t="n">
        <v>2020</v>
      </c>
      <c r="O540" s="23" t="n">
        <v>122</v>
      </c>
      <c r="P540" s="23" t="n"/>
      <c r="Q540" s="23" t="n"/>
      <c r="R540" s="25" t="n"/>
      <c r="S540" s="26">
        <f>HYPERLINK("http://www.cnpol.ru/covers/19136.jpg","фото на сайте")</f>
        <v/>
      </c>
    </row>
    <row r="541" ht="50.1" customHeight="1" s="3">
      <c r="A541" s="23" t="n"/>
      <c r="B541" s="24" t="inlineStr">
        <is>
          <t>19385</t>
        </is>
      </c>
      <c r="C541" s="23" t="inlineStr">
        <is>
          <t>ЖД ОУ НОВ</t>
        </is>
      </c>
      <c r="D541" s="23" t="inlineStr">
        <is>
          <t>Комарова И.М.</t>
        </is>
      </c>
      <c r="E541" s="23" t="inlineStr">
        <is>
          <t>Бывший муж и другие неприятности</t>
        </is>
      </c>
      <c r="F541" s="23" t="inlineStr">
        <is>
          <t>        </t>
        </is>
      </c>
      <c r="G541" s="23" t="n">
        <v>186</v>
      </c>
      <c r="H541" s="23" t="n">
        <v>10</v>
      </c>
      <c r="I541" s="23" t="n">
        <v>32</v>
      </c>
      <c r="J541" s="23" t="inlineStr">
        <is>
          <t>978-5-227-09104-8</t>
        </is>
      </c>
      <c r="K541" s="23" t="inlineStr">
        <is>
          <t>70x90 1/32</t>
        </is>
      </c>
      <c r="L541" s="23" t="inlineStr">
        <is>
          <t>мяг</t>
        </is>
      </c>
      <c r="M541" s="23" t="n">
        <v>288</v>
      </c>
      <c r="N541" s="23" t="n">
        <v>2020</v>
      </c>
      <c r="O541" s="23" t="n">
        <v>122</v>
      </c>
      <c r="P541" s="23" t="n"/>
      <c r="Q541" s="23" t="n"/>
      <c r="R541" s="25" t="inlineStr">
        <is>
          <t>Марина Шубина выходит из отпуска и узнает, что издательство, в котором она проработала девять лет, продано. Мало того, оказалось, что новый хозяин, Евгений Скворцов, — ее первый муж, а значит, недоразумения и другие неприятности гарантированы. Пока Марина пытается удержать на плаву издательство и сохранить свой брак, происходит убийство, все улики указывают на Скворцова. Можно отойти в сторону и дать Скворцову утонуть, но как же тогда любимая работа? Можно помочь бывшему мужу разоблачить настоящего убийцу, но не омрачит ли это семейные отношения Марины?..</t>
        </is>
      </c>
      <c r="S541" s="26">
        <f>HYPERLINK("http://www.cnpol.ru/covers/19385.jpg","фото на сайте")</f>
        <v/>
      </c>
    </row>
    <row r="542" ht="50.1" customHeight="1" s="3">
      <c r="A542" s="23" t="n"/>
      <c r="B542" s="24" t="inlineStr">
        <is>
          <t>20342</t>
        </is>
      </c>
      <c r="C542" s="23" t="inlineStr">
        <is>
          <t>ЖД ОУ НОВ</t>
        </is>
      </c>
      <c r="D542" s="23" t="inlineStr">
        <is>
          <t>Симонова Д.В</t>
        </is>
      </c>
      <c r="E542" s="23" t="inlineStr">
        <is>
          <t>Все, что получает победитель</t>
        </is>
      </c>
      <c r="F542" s="23" t="inlineStr">
        <is>
          <t>        </t>
        </is>
      </c>
      <c r="G542" s="23" t="n">
        <v>186</v>
      </c>
      <c r="H542" s="23" t="n">
        <v>10</v>
      </c>
      <c r="I542" s="23" t="n">
        <v>12</v>
      </c>
      <c r="J542" s="23" t="inlineStr">
        <is>
          <t>978-5-227-10028-3</t>
        </is>
      </c>
      <c r="K542" s="23" t="inlineStr">
        <is>
          <t>70x90 1/32</t>
        </is>
      </c>
      <c r="L542" s="23" t="inlineStr">
        <is>
          <t>мяг</t>
        </is>
      </c>
      <c r="M542" s="23" t="n">
        <v>255</v>
      </c>
      <c r="N542" s="23" t="n">
        <v>2022</v>
      </c>
      <c r="O542" s="23" t="n">
        <v>110</v>
      </c>
      <c r="P542" s="23" t="n"/>
      <c r="Q542" s="23" t="n"/>
      <c r="R542" s="25" t="inlineStr">
        <is>
          <t>«Все, что получает победитель» — в гибели Марты Брахман, богатой женщины, подозревается Сергей Ярцев, ее муж — типичный жиголо, красивый молодой мужчина. Круг интересов Марты весьма широк, она  вращалась в богемно-хипстерской среде, любила эзотерическую чепуху, игры в магию, занималась меценатством и была прирожденным манипулятором — все это затрудняет поиски виновного в ее смерти…_x000D_
«Амнистия» — убийство старухи-процентщицы — прекрасная основа для криминальной драмы в постмодернистском духе. Именно так должен был выглядеть сценарий Игоря в рамках учебного семинара. Однако в основе сюжета не игра воображения, а реальные события, грех, который терзает душу много лет…</t>
        </is>
      </c>
      <c r="S542" s="26">
        <f>HYPERLINK("http://www.cnpol.ru/covers/20342.jpg","фото на сайте")</f>
        <v/>
      </c>
    </row>
    <row r="543" ht="50.1" customHeight="1" s="3">
      <c r="A543" s="23" t="n"/>
      <c r="B543" s="24" t="inlineStr">
        <is>
          <t>19812</t>
        </is>
      </c>
      <c r="C543" s="23" t="inlineStr">
        <is>
          <t>ЖД ОУ НОВ</t>
        </is>
      </c>
      <c r="D543" s="23" t="inlineStr">
        <is>
          <t>Зимова А.С</t>
        </is>
      </c>
      <c r="E543" s="23" t="inlineStr">
        <is>
          <t>Институт благородных убийц</t>
        </is>
      </c>
      <c r="F543" s="23" t="inlineStr">
        <is>
          <t>        </t>
        </is>
      </c>
      <c r="G543" s="23" t="n">
        <v>186</v>
      </c>
      <c r="H543" s="23" t="n">
        <v>10</v>
      </c>
      <c r="I543" s="23" t="n">
        <v>11</v>
      </c>
      <c r="J543" s="23" t="inlineStr">
        <is>
          <t>978-5-227-09574-9</t>
        </is>
      </c>
      <c r="K543" s="23" t="inlineStr">
        <is>
          <t>70x90 1/32</t>
        </is>
      </c>
      <c r="L543" s="23" t="inlineStr">
        <is>
          <t>мяг</t>
        </is>
      </c>
      <c r="M543" s="23" t="n">
        <v>256</v>
      </c>
      <c r="N543" s="23" t="n">
        <v>2021</v>
      </c>
      <c r="O543" s="23" t="n">
        <v>110</v>
      </c>
      <c r="P543" s="23" t="n"/>
      <c r="Q543" s="23" t="n"/>
      <c r="R543" s="25" t="inlineStr">
        <is>
          <t>Севе никак не удается вырваться из-под опеки эмоциональной взбалмошной матери, которая думает только о том, как бы повысить благосостояние семьи. Ради этого она постоянно пускается в какие-то авантюры. На этот раз неугомонная мамаша придумала, как обеспечить сына и его девушку отдельным жильем. Договор пожизненной ренты с одинокой старушкой, собственницей двухкомнатной квартиры — то, что надо. Но старушка оказывается человеком малоприятным и за год ухитряется превратить жизнь Севиного семейства в настоящий ад. Доведенный до отчаяния домашними истериками и тихой войной с подопечной, Сева задумывается о том, чтобы прикончить несносную старуху…</t>
        </is>
      </c>
      <c r="S543" s="26">
        <f>HYPERLINK("http://www.cnpol.ru/covers/19812.jpg","фото на сайте")</f>
        <v/>
      </c>
    </row>
    <row r="544" ht="50.1" customHeight="1" s="3">
      <c r="A544" s="23" t="n"/>
      <c r="B544" s="24" t="inlineStr">
        <is>
          <t>19386</t>
        </is>
      </c>
      <c r="C544" s="23" t="inlineStr">
        <is>
          <t>ЖД ОУ НОВ</t>
        </is>
      </c>
      <c r="D544" s="23" t="inlineStr">
        <is>
          <t>Обухова О.Н.</t>
        </is>
      </c>
      <c r="E544" s="23" t="inlineStr">
        <is>
          <t>Капкан из серебра с эмалью</t>
        </is>
      </c>
      <c r="F544" s="23" t="inlineStr">
        <is>
          <t>        </t>
        </is>
      </c>
      <c r="G544" s="23" t="n">
        <v>186</v>
      </c>
      <c r="H544" s="23" t="n">
        <v>10</v>
      </c>
      <c r="I544" s="23" t="n">
        <v>24</v>
      </c>
      <c r="J544" s="23" t="inlineStr">
        <is>
          <t>978-5-227-09226-7</t>
        </is>
      </c>
      <c r="K544" s="23" t="inlineStr">
        <is>
          <t>70x90 1/32</t>
        </is>
      </c>
      <c r="L544" s="23" t="inlineStr">
        <is>
          <t>мяг</t>
        </is>
      </c>
      <c r="M544" s="23" t="n">
        <v>288</v>
      </c>
      <c r="N544" s="23" t="n">
        <v>2020</v>
      </c>
      <c r="O544" s="23" t="n">
        <v>122</v>
      </c>
      <c r="P544" s="23" t="n"/>
      <c r="Q544" s="23" t="n"/>
      <c r="R544" s="25" t="inlineStr">
        <is>
          <t>Прибранная квартира, роскошный букет на столе, тонкий аромат духов «Митсуко»… и труп задушенной молодой женщины в ванной. Так обставлял сцены убийства серийный маньяк, прозванный правоохранителями Фермером: в букете оранжерейных цветов непременно присутствовали колосья злаков и трогательные полевые васильки. Было еще нечто общее во всех преступлениях. Все убитые женщины при жизни работали в ведомствах, предписывающих ношение форменной одежды. Когда во всех делах обнаружили сходство, их производство объединили и расследование поручили Станиславу Гущину, следователю, уже имевшему на счету успешное раскрытие серийного убийства... Новое преступление, в котором погибла его коллега, работница прокуратуры, отличалось от предыдущих. Но оно же дало ниточку, которая могла привести Стаса Гущина к убийце…</t>
        </is>
      </c>
      <c r="S544" s="26">
        <f>HYPERLINK("http://www.cnpol.ru/covers/19386.jpg","фото на сайте")</f>
        <v/>
      </c>
    </row>
    <row r="545" ht="50.1" customHeight="1" s="3">
      <c r="A545" s="23" t="n"/>
      <c r="B545" s="24" t="inlineStr">
        <is>
          <t>19679</t>
        </is>
      </c>
      <c r="C545" s="23" t="inlineStr">
        <is>
          <t>ЖД ОУ НОВ</t>
        </is>
      </c>
      <c r="D545" s="23" t="inlineStr">
        <is>
          <t>Симонова Д.В</t>
        </is>
      </c>
      <c r="E545" s="23" t="inlineStr">
        <is>
          <t>Кассандра пила массандру</t>
        </is>
      </c>
      <c r="F545" s="23" t="inlineStr">
        <is>
          <t>        </t>
        </is>
      </c>
      <c r="G545" s="23" t="n">
        <v>186</v>
      </c>
      <c r="H545" s="23" t="n">
        <v>10</v>
      </c>
      <c r="I545" s="23" t="n">
        <v>11</v>
      </c>
      <c r="J545" s="23" t="inlineStr">
        <is>
          <t>978-5-227-09410-0</t>
        </is>
      </c>
      <c r="K545" s="23" t="inlineStr">
        <is>
          <t>70x90 1/32</t>
        </is>
      </c>
      <c r="L545" s="23" t="inlineStr">
        <is>
          <t>мяг</t>
        </is>
      </c>
      <c r="M545" s="23" t="n">
        <v>288</v>
      </c>
      <c r="N545" s="23" t="n">
        <v>2021</v>
      </c>
      <c r="O545" s="23" t="n">
        <v>122</v>
      </c>
      <c r="P545" s="23" t="n"/>
      <c r="Q545" s="23" t="n"/>
      <c r="R545" s="25" t="inlineStr">
        <is>
          <t>При загадочных обстоятельствах погиб бывший прокурор и бизнесмен­застройщик, известный скандальным делом с долгостроем и обманутыми дольщиками. По разным причинам пострадавшие в этой истории начинают параллельное официальному собственное расследование. И тут обнаруживаются непостижимые связи безумного мира, в котором оказались молодой миллиардер с завиральными идеями, скромная литераторша, бывшая учительница, их отцы, братья, внуки… Связи эти были предназначены для сцепки с каким­то другим миром. И мир этот куда более интересный и, возможно, еще более безумный, в котором Добро и Зло идут рука об руку, и забывать об этом опасно.</t>
        </is>
      </c>
      <c r="S545" s="26">
        <f>HYPERLINK("http://www.cnpol.ru/covers/19679.jpg","фото на сайте")</f>
        <v/>
      </c>
    </row>
    <row r="546" ht="50.1" customHeight="1" s="3">
      <c r="A546" s="23" t="n"/>
      <c r="B546" s="24" t="inlineStr">
        <is>
          <t>20792</t>
        </is>
      </c>
      <c r="C546" s="23" t="inlineStr">
        <is>
          <t>ЖД ОУ НОВ</t>
        </is>
      </c>
      <c r="D546" s="23" t="inlineStr">
        <is>
          <t>Шелеметьева Е.А.</t>
        </is>
      </c>
      <c r="E546" s="23" t="inlineStr">
        <is>
          <t>Лисий след на снегу</t>
        </is>
      </c>
      <c r="F546" s="23" t="inlineStr">
        <is>
          <t>        </t>
        </is>
      </c>
      <c r="G546" s="23" t="n">
        <v>186</v>
      </c>
      <c r="H546" s="23" t="n">
        <v>10</v>
      </c>
      <c r="I546" s="23" t="n">
        <v>10</v>
      </c>
      <c r="J546" s="23" t="inlineStr">
        <is>
          <t>978-5-227-10074-0</t>
        </is>
      </c>
      <c r="K546" s="23" t="inlineStr">
        <is>
          <t>70x90 1/32</t>
        </is>
      </c>
      <c r="L546" s="23" t="inlineStr">
        <is>
          <t>мяг</t>
        </is>
      </c>
      <c r="M546" s="23" t="n">
        <v>255</v>
      </c>
      <c r="N546" s="23" t="n">
        <v>2023</v>
      </c>
      <c r="O546" s="23" t="n">
        <v>110</v>
      </c>
      <c r="P546" s="23" t="n"/>
      <c r="Q546" s="23" t="n"/>
      <c r="R546" s="25" t="inlineStr">
        <is>
          <t>Московская журналистка Алиса Куратова наткнулась на странные неувязки в громком криминальном скандале, о котором она узнала во время туристической поездки в Исландию. Убийство юной девушки всколыхнуло небольшое островное государство, и его продолжали обсуждать даже спустя три года после ареста и осуждения подозреваемого. Но Алиса сомневалась в правильности расследования и в том, что осужден настоящий виновник преступления. Своими сомнениями она поделилась по телефону с другом юности, специалистом в журналистских расследованиях Дмитрием Стриженовым. А спустя три дня Алиса пропала. Стриженов немедленно вылетел в Исландию, потому что законы настоящей дружбы, которые друзья установили в годы студенчества, не позволяли ему поступить иначе. А главное, он не мог поверить и принять, что в его жизни больше не будет Лисы…</t>
        </is>
      </c>
      <c r="S546" s="26">
        <f>HYPERLINK("http://www.cnpol.ru/covers/20792.jpg","фото на сайте")</f>
        <v/>
      </c>
    </row>
    <row r="547" ht="50.1" customHeight="1" s="3">
      <c r="A547" s="23" t="n"/>
      <c r="B547" s="24" t="inlineStr">
        <is>
          <t>20056</t>
        </is>
      </c>
      <c r="C547" s="23" t="inlineStr">
        <is>
          <t>ЖД ОУ НОВ</t>
        </is>
      </c>
      <c r="D547" s="23" t="inlineStr">
        <is>
          <t>Яковлева А.Я</t>
        </is>
      </c>
      <c r="E547" s="23" t="inlineStr">
        <is>
          <t>Отчаянные подружки</t>
        </is>
      </c>
      <c r="F547" s="23" t="inlineStr">
        <is>
          <t>        </t>
        </is>
      </c>
      <c r="G547" s="23" t="n">
        <v>186</v>
      </c>
      <c r="H547" s="23" t="n">
        <v>10</v>
      </c>
      <c r="I547" s="23" t="n">
        <v>16</v>
      </c>
      <c r="J547" s="23" t="inlineStr">
        <is>
          <t>978-5-227-09429-2</t>
        </is>
      </c>
      <c r="K547" s="23" t="inlineStr">
        <is>
          <t>70x90 1/32</t>
        </is>
      </c>
      <c r="L547" s="23" t="inlineStr">
        <is>
          <t>мяг</t>
        </is>
      </c>
      <c r="M547" s="23" t="n">
        <v>318</v>
      </c>
      <c r="N547" s="23" t="n">
        <v>2021</v>
      </c>
      <c r="O547" s="23" t="n">
        <v>132</v>
      </c>
      <c r="P547" s="23" t="n"/>
      <c r="Q547" s="23" t="n"/>
      <c r="R547" s="25" t="n"/>
      <c r="S547" s="26">
        <f>HYPERLINK("http://www.cnpol.ru/covers/20056.jpg","фото на сайте")</f>
        <v/>
      </c>
    </row>
    <row r="548" ht="50.1" customHeight="1" s="3">
      <c r="A548" s="23" t="n"/>
      <c r="B548" s="24" t="inlineStr">
        <is>
          <t>19716</t>
        </is>
      </c>
      <c r="C548" s="23" t="inlineStr">
        <is>
          <t>ЖД ОУ НОВ</t>
        </is>
      </c>
      <c r="D548" s="23" t="inlineStr">
        <is>
          <t>Обухова О.Н.</t>
        </is>
      </c>
      <c r="E548" s="23" t="inlineStr">
        <is>
          <t>Плюшевый оракул</t>
        </is>
      </c>
      <c r="F548" s="23" t="inlineStr">
        <is>
          <t>        </t>
        </is>
      </c>
      <c r="G548" s="23" t="n">
        <v>186</v>
      </c>
      <c r="H548" s="23" t="n">
        <v>10</v>
      </c>
      <c r="I548" s="23" t="n">
        <v>12</v>
      </c>
      <c r="J548" s="23" t="inlineStr">
        <is>
          <t>978-5-227-09490-2</t>
        </is>
      </c>
      <c r="K548" s="23" t="inlineStr">
        <is>
          <t>70x90 1/32</t>
        </is>
      </c>
      <c r="L548" s="23" t="inlineStr">
        <is>
          <t>мяг</t>
        </is>
      </c>
      <c r="M548" s="23" t="n">
        <v>256</v>
      </c>
      <c r="N548" s="23" t="n">
        <v>2021</v>
      </c>
      <c r="O548" s="23" t="n">
        <v>110</v>
      </c>
      <c r="P548" s="23" t="n"/>
      <c r="Q548" s="23" t="n"/>
      <c r="R548" s="25" t="n"/>
      <c r="S548" s="26">
        <f>HYPERLINK("http://www.cnpol.ru/covers/19716.jpg","фото на сайте")</f>
        <v/>
      </c>
    </row>
    <row r="549" ht="50.1" customHeight="1" s="3">
      <c r="A549" s="23" t="n"/>
      <c r="B549" s="24" t="inlineStr">
        <is>
          <t>19020</t>
        </is>
      </c>
      <c r="C549" s="23" t="inlineStr">
        <is>
          <t>ЖД ОУ НОВ</t>
        </is>
      </c>
      <c r="D549" s="23" t="inlineStr">
        <is>
          <t>Комарова И.М.</t>
        </is>
      </c>
      <c r="E549" s="23" t="inlineStr">
        <is>
          <t>Последний хит сезона</t>
        </is>
      </c>
      <c r="F549" s="23" t="inlineStr">
        <is>
          <t>        </t>
        </is>
      </c>
      <c r="G549" s="23" t="n">
        <v>186</v>
      </c>
      <c r="H549" s="23" t="n">
        <v>10</v>
      </c>
      <c r="I549" s="23" t="n">
        <v>24</v>
      </c>
      <c r="J549" s="23" t="inlineStr">
        <is>
          <t>978-5-227-08930-4</t>
        </is>
      </c>
      <c r="K549" s="23" t="inlineStr">
        <is>
          <t>70x90 1/32</t>
        </is>
      </c>
      <c r="L549" s="23" t="inlineStr">
        <is>
          <t>мяг</t>
        </is>
      </c>
      <c r="M549" s="23" t="n">
        <v>288</v>
      </c>
      <c r="N549" s="23" t="n">
        <v>2020</v>
      </c>
      <c r="O549" s="23" t="n">
        <v>122</v>
      </c>
      <c r="P549" s="23" t="n"/>
      <c r="Q549" s="23" t="n"/>
      <c r="R549" s="25" t="n"/>
      <c r="S549" s="26">
        <f>HYPERLINK("http://www.cnpol.ru/covers/19020.jpg","фото на сайте")</f>
        <v/>
      </c>
    </row>
    <row r="550" ht="50.1" customHeight="1" s="3">
      <c r="A550" s="23" t="n"/>
      <c r="B550" s="24" t="inlineStr">
        <is>
          <t>19198</t>
        </is>
      </c>
      <c r="C550" s="23" t="inlineStr">
        <is>
          <t>ЖД ОУ НОВ</t>
        </is>
      </c>
      <c r="D550" s="23" t="inlineStr">
        <is>
          <t>Обухова О.Н.</t>
        </is>
      </c>
      <c r="E550" s="23" t="inlineStr">
        <is>
          <t>Простись со всеми, детка!</t>
        </is>
      </c>
      <c r="F550" s="23" t="inlineStr">
        <is>
          <t>        </t>
        </is>
      </c>
      <c r="G550" s="23" t="n">
        <v>186</v>
      </c>
      <c r="H550" s="23" t="n">
        <v>10</v>
      </c>
      <c r="I550" s="23" t="n">
        <v>24</v>
      </c>
      <c r="J550" s="23" t="inlineStr">
        <is>
          <t>978-5-227-08979-3</t>
        </is>
      </c>
      <c r="K550" s="23" t="inlineStr">
        <is>
          <t>70x90 1/32</t>
        </is>
      </c>
      <c r="L550" s="23" t="inlineStr">
        <is>
          <t>мяг</t>
        </is>
      </c>
      <c r="M550" s="23" t="n">
        <v>319</v>
      </c>
      <c r="N550" s="23" t="n">
        <v>2020</v>
      </c>
      <c r="O550" s="23" t="n">
        <v>134</v>
      </c>
      <c r="P550" s="23" t="n"/>
      <c r="Q550" s="23" t="n"/>
      <c r="R550" s="25" t="n"/>
      <c r="S550" s="26">
        <f>HYPERLINK("http://www.cnpol.ru/covers/19198.jpg","фото на сайте")</f>
        <v/>
      </c>
    </row>
    <row r="551" ht="50.1" customHeight="1" s="3">
      <c r="A551" s="23" t="n"/>
      <c r="B551" s="24" t="inlineStr">
        <is>
          <t>19534</t>
        </is>
      </c>
      <c r="C551" s="23" t="inlineStr">
        <is>
          <t>ЖД ОУ НОВ</t>
        </is>
      </c>
      <c r="D551" s="23" t="inlineStr">
        <is>
          <t>Симонова Д.В</t>
        </is>
      </c>
      <c r="E551" s="23" t="inlineStr">
        <is>
          <t>Пыльная корона</t>
        </is>
      </c>
      <c r="F551" s="23" t="inlineStr">
        <is>
          <t>        </t>
        </is>
      </c>
      <c r="G551" s="23" t="n">
        <v>186</v>
      </c>
      <c r="H551" s="23" t="n">
        <v>10</v>
      </c>
      <c r="I551" s="23" t="n">
        <v>32</v>
      </c>
      <c r="J551" s="23" t="inlineStr">
        <is>
          <t>978-5-227-09284-7</t>
        </is>
      </c>
      <c r="K551" s="23" t="inlineStr">
        <is>
          <t>70x90 1/32</t>
        </is>
      </c>
      <c r="L551" s="23" t="inlineStr">
        <is>
          <t>мяг</t>
        </is>
      </c>
      <c r="M551" s="23" t="n">
        <v>288</v>
      </c>
      <c r="N551" s="23" t="n">
        <v>2021</v>
      </c>
      <c r="O551" s="23" t="n">
        <v>122</v>
      </c>
      <c r="P551" s="23" t="n"/>
      <c r="Q551" s="23" t="n"/>
      <c r="R551" s="25" t="n"/>
      <c r="S551" s="26">
        <f>HYPERLINK("http://www.cnpol.ru/covers/19534.jpg","фото на сайте")</f>
        <v/>
      </c>
    </row>
    <row r="552" ht="50.1" customHeight="1" s="3">
      <c r="A552" s="23" t="n"/>
      <c r="B552" s="24" t="inlineStr">
        <is>
          <t>19553</t>
        </is>
      </c>
      <c r="C552" s="23" t="inlineStr">
        <is>
          <t>ЖД ОУ НОВ</t>
        </is>
      </c>
      <c r="D552" s="23" t="inlineStr">
        <is>
          <t>Комарова И.М.</t>
        </is>
      </c>
      <c r="E552" s="23" t="inlineStr">
        <is>
          <t>Реквием по соседу</t>
        </is>
      </c>
      <c r="F552" s="23" t="inlineStr">
        <is>
          <t>        </t>
        </is>
      </c>
      <c r="G552" s="23" t="n">
        <v>186</v>
      </c>
      <c r="H552" s="23" t="n">
        <v>10</v>
      </c>
      <c r="I552" s="23" t="n">
        <v>12</v>
      </c>
      <c r="J552" s="23" t="inlineStr">
        <is>
          <t>978-5-227-09346-2</t>
        </is>
      </c>
      <c r="K552" s="23" t="inlineStr">
        <is>
          <t>70x90 1/32</t>
        </is>
      </c>
      <c r="L552" s="23" t="inlineStr">
        <is>
          <t>мяг</t>
        </is>
      </c>
      <c r="M552" s="23" t="n">
        <v>288</v>
      </c>
      <c r="N552" s="23" t="n">
        <v>2021</v>
      </c>
      <c r="O552" s="23" t="n">
        <v>122</v>
      </c>
      <c r="P552" s="23" t="n"/>
      <c r="Q552" s="23" t="n"/>
      <c r="R552" s="25" t="n"/>
      <c r="S552" s="26">
        <f>HYPERLINK("http://www.cnpol.ru/covers/19553.jpg","фото на сайте")</f>
        <v/>
      </c>
    </row>
    <row r="553" ht="50.1" customHeight="1" s="3">
      <c r="A553" s="23" t="n"/>
      <c r="B553" s="24" t="inlineStr">
        <is>
          <t>20167</t>
        </is>
      </c>
      <c r="C553" s="23" t="inlineStr">
        <is>
          <t>ЖД ОУ НОВ</t>
        </is>
      </c>
      <c r="D553" s="23" t="inlineStr">
        <is>
          <t>Обухова О.Н.</t>
        </is>
      </c>
      <c r="E553" s="23" t="inlineStr">
        <is>
          <t>Рецепты сладкой мести</t>
        </is>
      </c>
      <c r="F553" s="23" t="inlineStr">
        <is>
          <t>        </t>
        </is>
      </c>
      <c r="G553" s="23" t="n">
        <v>186</v>
      </c>
      <c r="H553" s="23" t="n">
        <v>10</v>
      </c>
      <c r="I553" s="23" t="n">
        <v>16</v>
      </c>
      <c r="J553" s="23" t="inlineStr">
        <is>
          <t>978-5-227-09666-1</t>
        </is>
      </c>
      <c r="K553" s="23" t="inlineStr">
        <is>
          <t>70x90 1/32</t>
        </is>
      </c>
      <c r="L553" s="23" t="inlineStr">
        <is>
          <t>мяг</t>
        </is>
      </c>
      <c r="M553" s="23" t="n">
        <v>287</v>
      </c>
      <c r="N553" s="23" t="n">
        <v>2022</v>
      </c>
      <c r="O553" s="23" t="n">
        <v>122</v>
      </c>
      <c r="P553" s="23" t="n"/>
      <c r="Q553" s="23" t="n"/>
      <c r="R553" s="25" t="n"/>
      <c r="S553" s="26">
        <f>HYPERLINK("http://www.cnpol.ru/covers/20167.jpg","фото на сайте")</f>
        <v/>
      </c>
    </row>
    <row r="554" ht="50.1" customHeight="1" s="3">
      <c r="A554" s="23" t="n"/>
      <c r="B554" s="24" t="inlineStr">
        <is>
          <t>20753</t>
        </is>
      </c>
      <c r="C554" s="23" t="inlineStr">
        <is>
          <t>ЖД ОУ НОВ</t>
        </is>
      </c>
      <c r="D554" s="23" t="inlineStr">
        <is>
          <t>Комарова И.М.</t>
        </is>
      </c>
      <c r="E554" s="23" t="inlineStr">
        <is>
          <t>Смерть за наследство</t>
        </is>
      </c>
      <c r="F554" s="23" t="inlineStr">
        <is>
          <t>        </t>
        </is>
      </c>
      <c r="G554" s="23" t="n">
        <v>186</v>
      </c>
      <c r="H554" s="23" t="n">
        <v>10</v>
      </c>
      <c r="I554" s="23" t="n">
        <v>10</v>
      </c>
      <c r="J554" s="23" t="inlineStr">
        <is>
          <t>978-5-227-10442-7</t>
        </is>
      </c>
      <c r="K554" s="23" t="inlineStr">
        <is>
          <t>70x90 1/32</t>
        </is>
      </c>
      <c r="L554" s="23" t="inlineStr">
        <is>
          <t>мяг</t>
        </is>
      </c>
      <c r="M554" s="23" t="n">
        <v>255</v>
      </c>
      <c r="N554" s="23" t="n">
        <v>2023</v>
      </c>
      <c r="O554" s="23" t="n">
        <v>110</v>
      </c>
      <c r="P554" s="23" t="n"/>
      <c r="Q554" s="23" t="n"/>
      <c r="R554" s="25" t="inlineStr">
        <is>
          <t>К Лизе Решетовской, владелице салона «Дамское рукоделие», частенько обращаются за помощью, считая женщину ясновидящей, хотя она утверждает, что обладает лишь скромными экстрасенсорными способностями. На этот раз ее попросили отыскать пропавшую девочку. Лизе было достаточно одного взгляда на фото Лены Соломиной, чтобы почувствовать – ее уже нет в живых. Решетовская раздражает следователя настолько, что он готов даже включить ее в список подозреваемых. Но его друг, частный сыщик Сергей Лихарев, с ним не согласен, он намерен найти настоящих виновников в гибели девочки…</t>
        </is>
      </c>
      <c r="S554" s="26">
        <f>HYPERLINK("http://www.cnpol.ru/covers/20753.jpg","фото на сайте")</f>
        <v/>
      </c>
    </row>
    <row r="555" ht="50.1" customHeight="1" s="3">
      <c r="A555" s="23" t="n"/>
      <c r="B555" s="24" t="inlineStr">
        <is>
          <t>19966</t>
        </is>
      </c>
      <c r="C555" s="23" t="inlineStr">
        <is>
          <t>ЖД ОУ НОВ</t>
        </is>
      </c>
      <c r="D555" s="23" t="inlineStr">
        <is>
          <t>Шелеметьева Е.А.</t>
        </is>
      </c>
      <c r="E555" s="23" t="inlineStr">
        <is>
          <t>Смерть кукловода</t>
        </is>
      </c>
      <c r="F555" s="23" t="inlineStr">
        <is>
          <t>        </t>
        </is>
      </c>
      <c r="G555" s="23" t="n">
        <v>186</v>
      </c>
      <c r="H555" s="23" t="n">
        <v>10</v>
      </c>
      <c r="I555" s="23" t="n">
        <v>18</v>
      </c>
      <c r="J555" s="23" t="inlineStr">
        <is>
          <t>978-5-227-09623-4</t>
        </is>
      </c>
      <c r="K555" s="23" t="inlineStr">
        <is>
          <t>70x90 1/32</t>
        </is>
      </c>
      <c r="L555" s="23" t="inlineStr">
        <is>
          <t>мяг</t>
        </is>
      </c>
      <c r="M555" s="23" t="n">
        <v>297</v>
      </c>
      <c r="N555" s="23" t="n">
        <v>2021</v>
      </c>
      <c r="O555" s="23" t="n">
        <v>260</v>
      </c>
      <c r="P555" s="23" t="n"/>
      <c r="Q555" s="23" t="n"/>
      <c r="R555" s="25" t="n"/>
      <c r="S555" s="26">
        <f>HYPERLINK("http://www.cnpol.ru/covers/19966.jpg","фото на сайте")</f>
        <v/>
      </c>
    </row>
    <row r="556" ht="50.1" customHeight="1" s="3">
      <c r="A556" s="23" t="n"/>
      <c r="B556" s="24" t="inlineStr">
        <is>
          <t>18806</t>
        </is>
      </c>
      <c r="C556" s="23" t="inlineStr">
        <is>
          <t>ЖД ОУ НОВ</t>
        </is>
      </c>
      <c r="D556" s="23" t="inlineStr">
        <is>
          <t>Розова Я.</t>
        </is>
      </c>
      <c r="E556" s="23" t="inlineStr">
        <is>
          <t>Сожженные цветы</t>
        </is>
      </c>
      <c r="F556" s="23" t="inlineStr">
        <is>
          <t>        </t>
        </is>
      </c>
      <c r="G556" s="23" t="n">
        <v>186</v>
      </c>
      <c r="H556" s="23" t="n">
        <v>10</v>
      </c>
      <c r="I556" s="23" t="n">
        <v>24</v>
      </c>
      <c r="J556" s="23" t="inlineStr">
        <is>
          <t>978-5-227-08524-5</t>
        </is>
      </c>
      <c r="K556" s="23" t="inlineStr">
        <is>
          <t>70x90 1/32</t>
        </is>
      </c>
      <c r="L556" s="23" t="inlineStr">
        <is>
          <t>мяг</t>
        </is>
      </c>
      <c r="M556" s="23" t="n">
        <v>288</v>
      </c>
      <c r="N556" s="23" t="n">
        <v>2019</v>
      </c>
      <c r="O556" s="23" t="n">
        <v>122</v>
      </c>
      <c r="P556" s="23" t="n"/>
      <c r="Q556" s="23" t="n"/>
      <c r="R556" s="25" t="n"/>
      <c r="S556" s="26">
        <f>HYPERLINK("http://www.cnpol.ru/covers/18806.jpg","фото на сайте")</f>
        <v/>
      </c>
    </row>
    <row r="557" ht="50.1" customHeight="1" s="3">
      <c r="A557" s="23" t="n"/>
      <c r="B557" s="24" t="inlineStr">
        <is>
          <t>18838</t>
        </is>
      </c>
      <c r="C557" s="23" t="inlineStr">
        <is>
          <t>ЖД ОУ НОВ</t>
        </is>
      </c>
      <c r="D557" s="23" t="inlineStr">
        <is>
          <t>Комарова И.М.</t>
        </is>
      </c>
      <c r="E557" s="23" t="inlineStr">
        <is>
          <t>Список опасных профессий</t>
        </is>
      </c>
      <c r="F557" s="23" t="inlineStr">
        <is>
          <t>        </t>
        </is>
      </c>
      <c r="G557" s="23" t="n">
        <v>186</v>
      </c>
      <c r="H557" s="23" t="n">
        <v>10</v>
      </c>
      <c r="I557" s="23" t="n">
        <v>40</v>
      </c>
      <c r="J557" s="23" t="inlineStr">
        <is>
          <t>978-5-227-08501-6</t>
        </is>
      </c>
      <c r="K557" s="23" t="inlineStr">
        <is>
          <t>70x90 1/32</t>
        </is>
      </c>
      <c r="L557" s="23" t="inlineStr">
        <is>
          <t>мяг</t>
        </is>
      </c>
      <c r="M557" s="23" t="n">
        <v>288</v>
      </c>
      <c r="N557" s="23" t="n">
        <v>2019</v>
      </c>
      <c r="O557" s="23" t="n">
        <v>122</v>
      </c>
      <c r="P557" s="23" t="n"/>
      <c r="Q557" s="23" t="n"/>
      <c r="R557" s="25" t="n"/>
      <c r="S557" s="26">
        <f>HYPERLINK("http://www.cnpol.ru/covers/18838.jpg","фото на сайте")</f>
        <v/>
      </c>
    </row>
    <row r="558" ht="50.1" customHeight="1" s="3">
      <c r="A558" s="23" t="n"/>
      <c r="B558" s="24" t="inlineStr">
        <is>
          <t>19619</t>
        </is>
      </c>
      <c r="C558" s="23" t="inlineStr">
        <is>
          <t>ЖД ОУ НОВ</t>
        </is>
      </c>
      <c r="D558" s="23" t="inlineStr">
        <is>
          <t>Зимова А.С</t>
        </is>
      </c>
      <c r="E558" s="23" t="inlineStr">
        <is>
          <t>Убийство с гарантией</t>
        </is>
      </c>
      <c r="F558" s="23" t="inlineStr">
        <is>
          <t>        </t>
        </is>
      </c>
      <c r="G558" s="23" t="n">
        <v>186</v>
      </c>
      <c r="H558" s="23" t="n">
        <v>10</v>
      </c>
      <c r="I558" s="23" t="n">
        <v>10</v>
      </c>
      <c r="J558" s="23" t="inlineStr">
        <is>
          <t>978-5-227-09393-6</t>
        </is>
      </c>
      <c r="K558" s="23" t="inlineStr">
        <is>
          <t>70x90 1/32</t>
        </is>
      </c>
      <c r="L558" s="23" t="inlineStr">
        <is>
          <t>мяг</t>
        </is>
      </c>
      <c r="M558" s="23" t="n">
        <v>288</v>
      </c>
      <c r="N558" s="23" t="n">
        <v>2021</v>
      </c>
      <c r="O558" s="23" t="n">
        <v>122</v>
      </c>
      <c r="P558" s="23" t="n"/>
      <c r="Q558" s="23" t="n"/>
      <c r="R558" s="25" t="n"/>
      <c r="S558" s="26">
        <f>HYPERLINK("http://www.cnpol.ru/covers/19619.jpg","фото на сайте")</f>
        <v/>
      </c>
    </row>
    <row r="559" ht="50.1" customHeight="1" s="3">
      <c r="A559" s="23" t="n"/>
      <c r="B559" s="24" t="inlineStr">
        <is>
          <t>20249</t>
        </is>
      </c>
      <c r="C559" s="23" t="inlineStr">
        <is>
          <t>ЖД ОУ НОВ</t>
        </is>
      </c>
      <c r="D559" s="23" t="inlineStr">
        <is>
          <t>Комарова И.М.</t>
        </is>
      </c>
      <c r="E559" s="23" t="inlineStr">
        <is>
          <t>Умереть на сцене</t>
        </is>
      </c>
      <c r="F559" s="23" t="inlineStr">
        <is>
          <t>        </t>
        </is>
      </c>
      <c r="G559" s="23" t="n">
        <v>186</v>
      </c>
      <c r="H559" s="23" t="n">
        <v>10</v>
      </c>
      <c r="I559" s="23" t="n">
        <v>11</v>
      </c>
      <c r="J559" s="23" t="inlineStr">
        <is>
          <t>978-5-227-09818-4</t>
        </is>
      </c>
      <c r="K559" s="23" t="inlineStr">
        <is>
          <t>70x90 1/32</t>
        </is>
      </c>
      <c r="L559" s="23" t="inlineStr">
        <is>
          <t>мяг</t>
        </is>
      </c>
      <c r="M559" s="23" t="n">
        <v>287</v>
      </c>
      <c r="N559" s="23" t="n">
        <v>2022</v>
      </c>
      <c r="O559" s="23" t="n">
        <v>125</v>
      </c>
      <c r="P559" s="23" t="n"/>
      <c r="Q559" s="23" t="n"/>
      <c r="R559" s="25" t="n"/>
      <c r="S559" s="26">
        <f>HYPERLINK("http://www.cnpol.ru/covers/20249.jpg","фото на сайте")</f>
        <v/>
      </c>
    </row>
    <row r="560" ht="50.1" customHeight="1" s="3">
      <c r="A560" s="23" t="n"/>
      <c r="B560" s="24" t="inlineStr">
        <is>
          <t>18992</t>
        </is>
      </c>
      <c r="C560" s="23" t="inlineStr">
        <is>
          <t>ЖД ОУ НОВ</t>
        </is>
      </c>
      <c r="D560" s="23" t="inlineStr">
        <is>
          <t>Обухова О.Н.</t>
        </is>
      </c>
      <c r="E560" s="23" t="inlineStr">
        <is>
          <t>Флаг, барабан и паровоз</t>
        </is>
      </c>
      <c r="F560" s="23" t="inlineStr">
        <is>
          <t>        </t>
        </is>
      </c>
      <c r="G560" s="23" t="n">
        <v>186</v>
      </c>
      <c r="H560" s="23" t="n">
        <v>10</v>
      </c>
      <c r="I560" s="23" t="n">
        <v>24</v>
      </c>
      <c r="J560" s="23" t="inlineStr">
        <is>
          <t>978-5-227-08678-5</t>
        </is>
      </c>
      <c r="K560" s="23" t="inlineStr">
        <is>
          <t>70x90 1/32</t>
        </is>
      </c>
      <c r="L560" s="23" t="inlineStr">
        <is>
          <t>мяг</t>
        </is>
      </c>
      <c r="M560" s="23" t="n">
        <v>288</v>
      </c>
      <c r="N560" s="23" t="n">
        <v>2019</v>
      </c>
      <c r="O560" s="23" t="n">
        <v>122</v>
      </c>
      <c r="P560" s="23" t="n"/>
      <c r="Q560" s="23" t="n"/>
      <c r="R560" s="25" t="n"/>
      <c r="S560" s="26">
        <f>HYPERLINK("http://www.cnpol.ru/covers/18992.jpg","фото на сайте")</f>
        <v/>
      </c>
    </row>
    <row r="561" ht="50.1" customHeight="1" s="3">
      <c r="A561" s="23" t="n"/>
      <c r="B561" s="24" t="inlineStr">
        <is>
          <t>6786</t>
        </is>
      </c>
      <c r="C561" s="23" t="inlineStr">
        <is>
          <t>ЖД+</t>
        </is>
      </c>
      <c r="D561" s="23" t="inlineStr">
        <is>
          <t>Михалева А.</t>
        </is>
      </c>
      <c r="E561" s="23" t="inlineStr">
        <is>
          <t>Все блондинки любят бриллианты</t>
        </is>
      </c>
      <c r="F561" s="23" t="inlineStr">
        <is>
          <t>        </t>
        </is>
      </c>
      <c r="G561" s="23" t="n">
        <v>168</v>
      </c>
      <c r="H561" s="23" t="n">
        <v>10</v>
      </c>
      <c r="I561" s="23" t="n">
        <v>24</v>
      </c>
      <c r="J561" s="23" t="inlineStr">
        <is>
          <t>978-5-9524-3091-4</t>
        </is>
      </c>
      <c r="K561" s="23" t="inlineStr">
        <is>
          <t>70x90 1/32</t>
        </is>
      </c>
      <c r="L561" s="23" t="inlineStr">
        <is>
          <t>мяг</t>
        </is>
      </c>
      <c r="M561" s="23" t="n">
        <v>318</v>
      </c>
      <c r="N561" s="23" t="n">
        <v>2008</v>
      </c>
      <c r="O561" s="23" t="n">
        <v>128</v>
      </c>
      <c r="P561" s="23" t="n"/>
      <c r="Q561" s="23" t="n"/>
      <c r="R561" s="25" t="inlineStr">
        <is>
          <t>Блондинка Марго была недовольна: новые шубы пылятся в шкафу по причине глобального потепления, а супруг лучшей подруги собрался жениться на "черной вдове", схоронившей не менее пяти мужей. Страдания подруги задели Марго за живое, и она решила помочь. Но стоило ей взяться за дело, как она тут же стала главной подозреваемой в кражеколлекции бриллиантов. Дальше - больше: ее квартира перевернута вверх дном, офис разобран на части, охранник убит. Единственный способ отвести угрозу - найти настоящих похитителей.</t>
        </is>
      </c>
      <c r="S561" s="26">
        <f>HYPERLINK("http://www.cnpol.ru/covers/6786.jpg","фото на сайте")</f>
        <v/>
      </c>
    </row>
    <row r="562" ht="50.1" customHeight="1" s="3">
      <c r="A562" s="23" t="n"/>
      <c r="B562" s="24" t="inlineStr">
        <is>
          <t>7924</t>
        </is>
      </c>
      <c r="C562" s="23" t="inlineStr">
        <is>
          <t>ЖД+</t>
        </is>
      </c>
      <c r="D562" s="23" t="inlineStr">
        <is>
          <t>Михалева А.</t>
        </is>
      </c>
      <c r="E562" s="23" t="inlineStr">
        <is>
          <t>Портрет блондинки в голубом</t>
        </is>
      </c>
      <c r="F562" s="23" t="inlineStr">
        <is>
          <t>        </t>
        </is>
      </c>
      <c r="G562" s="23" t="n">
        <v>168</v>
      </c>
      <c r="H562" s="23" t="n">
        <v>10</v>
      </c>
      <c r="I562" s="23" t="n">
        <v>20</v>
      </c>
      <c r="J562" s="23" t="inlineStr">
        <is>
          <t>978-5-9524-2847-8</t>
        </is>
      </c>
      <c r="K562" s="23" t="inlineStr">
        <is>
          <t>70x90 1/32</t>
        </is>
      </c>
      <c r="L562" s="23" t="inlineStr">
        <is>
          <t>мяг</t>
        </is>
      </c>
      <c r="M562" s="23" t="n">
        <v>318</v>
      </c>
      <c r="N562" s="23" t="n">
        <v>2008</v>
      </c>
      <c r="O562" s="23" t="n">
        <v>140</v>
      </c>
      <c r="P562" s="23" t="n"/>
      <c r="Q562" s="23" t="n"/>
      <c r="R562" s="25" t="n"/>
      <c r="S562" s="26">
        <f>HYPERLINK("http://www.cnpol.ru/covers/7924.jpg","фото на сайте")</f>
        <v/>
      </c>
    </row>
    <row r="563" ht="50.1" customHeight="1" s="3">
      <c r="A563" s="23" t="inlineStr">
        <is>
          <t>Д</t>
        </is>
      </c>
      <c r="B563" s="24" t="inlineStr">
        <is>
          <t>21506</t>
        </is>
      </c>
      <c r="C563" s="23" t="inlineStr">
        <is>
          <t>ЗАДОРНОВ</t>
        </is>
      </c>
      <c r="D563" s="23" t="inlineStr">
        <is>
          <t>Задорнов М.Н.</t>
        </is>
      </c>
      <c r="E563" s="23" t="inlineStr">
        <is>
          <t>Большой концерт</t>
        </is>
      </c>
      <c r="F563" s="23" t="inlineStr">
        <is>
          <t>        </t>
        </is>
      </c>
      <c r="G563" s="27" t="n">
        <v>1405</v>
      </c>
      <c r="H563" s="23" t="n">
        <v>10</v>
      </c>
      <c r="I563" s="23" t="n">
        <v>12</v>
      </c>
      <c r="J563" s="23" t="inlineStr">
        <is>
          <t>978-5-227-10894-4</t>
        </is>
      </c>
      <c r="K563" s="23" t="inlineStr">
        <is>
          <t>60x90 1/16</t>
        </is>
      </c>
      <c r="L563" s="23" t="inlineStr">
        <is>
          <t>тв</t>
        </is>
      </c>
      <c r="M563" s="23" t="n">
        <v>447</v>
      </c>
      <c r="N563" s="23" t="n">
        <v>2025</v>
      </c>
      <c r="O563" s="23" t="n">
        <v>522</v>
      </c>
      <c r="P563" s="23" t="n"/>
      <c r="Q563" s="23" t="n"/>
      <c r="R563" s="25" t="inlineStr">
        <is>
          <t>Не всем в этой жизни посчастливилось попасть на концерт Задорнова. Почувствовать на себе, как действует магия смеха, которой он мгновенно, начиная со вступительных слов, окутывает зал. Поэтому мы предлагаем вам книгу, составленную из НИКОГДА НЕ ПУБЛИКОВАВШИХСЯ частей архива концертов Михаила Николаевича. Взяв в руки это издание, вы побываете на Одном Большом Концерте замечательного и любимого всеми писателя и сатирика._x000D_
Книга выстроена по тому же принципу, что и многие концерты автора. Здесь впервые вы прочтёте наиболее полное собрание шуток, входящих в разделы концертов «Только наши» и «Знаете ли вы, что…», вспомните шутки «лихих девяностых», над которыми и теперь смеются дети, рождённые уже в иную эпоху. Но самое главное — в этой книге мы надеемся сохранить тот заряд энергии и творческого отношения к жизни, который каждый зритель может получить, только побывав на концерте Михаила Задорнова.</t>
        </is>
      </c>
      <c r="S563" s="26">
        <f>HYPERLINK("http://www.cnpol.ru/covers/21506.jpg","фото на сайте")</f>
        <v/>
      </c>
    </row>
    <row r="564" ht="50.1" customHeight="1" s="3">
      <c r="A564" s="23" t="n"/>
      <c r="B564" s="24" t="inlineStr">
        <is>
          <t>18346</t>
        </is>
      </c>
      <c r="C564" s="23" t="inlineStr">
        <is>
          <t>ЗАДОРНОВ</t>
        </is>
      </c>
      <c r="D564" s="23" t="inlineStr">
        <is>
          <t>Задорнов М.Н.</t>
        </is>
      </c>
      <c r="E564" s="23" t="inlineStr">
        <is>
          <t>Задорный неФормат</t>
        </is>
      </c>
      <c r="F564" s="23" t="inlineStr">
        <is>
          <t>        </t>
        </is>
      </c>
      <c r="G564" s="23" t="n">
        <v>763</v>
      </c>
      <c r="H564" s="23" t="n">
        <v>10</v>
      </c>
      <c r="I564" s="23" t="n">
        <v>16</v>
      </c>
      <c r="J564" s="23" t="inlineStr">
        <is>
          <t>978-5-227-08267-1</t>
        </is>
      </c>
      <c r="K564" s="23" t="inlineStr">
        <is>
          <t>84x108 1/32</t>
        </is>
      </c>
      <c r="L564" s="23" t="inlineStr">
        <is>
          <t>тв</t>
        </is>
      </c>
      <c r="M564" s="23" t="n">
        <v>352</v>
      </c>
      <c r="N564" s="23" t="n">
        <v>2018</v>
      </c>
      <c r="O564" s="23" t="n">
        <v>382</v>
      </c>
      <c r="P564" s="23" t="n"/>
      <c r="Q564" s="23" t="n"/>
      <c r="R564" s="25" t="inlineStr">
        <is>
          <t>На протяжении трёх с лишним лет программа «НеФормат» на радио «Юмор FM» оставалась суперпопулярной. Количество просмотров её выпусков на сегодня составляет около двух миллионов и продолжает расти! Очень надеемся, что эта книга послужит ещё одним толчком к популяризации творчества остроумного, всеми любимого, ироничного и невероятно популярного в нашей стране писателя-сатирика Михаила Задорнова._x000D_
Первая книга по мотивам «НеФормата» мгновенно разлетелась с прилавков, поэтому читайте вторую! В ней самые интересные, самые важные, самые смешные выдержки из радиопередач.</t>
        </is>
      </c>
      <c r="S564" s="26">
        <f>HYPERLINK("http://www.cnpol.ru/covers/18346.jpg","фото на сайте")</f>
        <v/>
      </c>
    </row>
    <row r="565" ht="50.1" customHeight="1" s="3">
      <c r="A565" s="23" t="n"/>
      <c r="B565" s="24" t="inlineStr">
        <is>
          <t>17278</t>
        </is>
      </c>
      <c r="C565" s="23" t="inlineStr">
        <is>
          <t>ЗАДОРНОВ</t>
        </is>
      </c>
      <c r="D565" s="23" t="inlineStr">
        <is>
          <t>Задорнов М.Н.</t>
        </is>
      </c>
      <c r="E565" s="23" t="inlineStr">
        <is>
          <t>Записки из твиттера</t>
        </is>
      </c>
      <c r="F565" s="23" t="inlineStr">
        <is>
          <t>        </t>
        </is>
      </c>
      <c r="G565" s="23" t="n">
        <v>574</v>
      </c>
      <c r="H565" s="23" t="n">
        <v>10</v>
      </c>
      <c r="I565" s="23" t="n">
        <v>16</v>
      </c>
      <c r="J565" s="23" t="inlineStr">
        <is>
          <t>978-5-227-07254-2</t>
        </is>
      </c>
      <c r="K565" s="23" t="inlineStr">
        <is>
          <t>70x108 1/32</t>
        </is>
      </c>
      <c r="L565" s="23" t="inlineStr">
        <is>
          <t>тв</t>
        </is>
      </c>
      <c r="M565" s="23" t="n">
        <v>256</v>
      </c>
      <c r="N565" s="23" t="n">
        <v>2017</v>
      </c>
      <c r="O565" s="23" t="n">
        <v>268</v>
      </c>
      <c r="P565" s="23" t="n"/>
      <c r="Q565" s="23" t="n"/>
      <c r="R565" s="25" t="inlineStr">
        <is>
          <t>Михаил Задорнов — горячо любимый жителями России и зарубежья писатель-сатирик, драматург и юморист. Его устное творчество знает вся наша огромная страна и жители зарубежья, его книги мгновенно разбирают с прилавков, а многие выражения ушли в народ и стали крылатыми. Но не всем известно, что этот неравнодушный человек является активным жителем социальных сетей, через которые несет читателям свои мысли — весе­лые и грустные, наболевшие и мимолетные, мудрые и задорные..._x000D_
Рады представить вам уникальную книгу, в которой мы собрали самые острые и интересные записи Михаила Николаевича в Твиттере. Теперь, даже если вы не являетесь поклонником ­Интернета и эта сторона автора была вам недоступна, — читайте на бумаге.</t>
        </is>
      </c>
      <c r="S565" s="26">
        <f>HYPERLINK("http://www.cnpol.ru/covers/17278.jpg","фото на сайте")</f>
        <v/>
      </c>
    </row>
    <row r="566" ht="50.1" customHeight="1" s="3">
      <c r="A566" s="23" t="inlineStr">
        <is>
          <t>Д</t>
        </is>
      </c>
      <c r="B566" s="24" t="inlineStr">
        <is>
          <t>22165</t>
        </is>
      </c>
      <c r="C566" s="23" t="inlineStr">
        <is>
          <t>ЗАДОРНОВ</t>
        </is>
      </c>
      <c r="D566" s="23" t="inlineStr">
        <is>
          <t>Задорнов М.Н.</t>
        </is>
      </c>
      <c r="E566" s="23" t="inlineStr">
        <is>
          <t>Князь Рюрик и Вещий Олег. Потерянная быль. Откуда пошла земля Русская</t>
        </is>
      </c>
      <c r="F566" s="23" t="inlineStr">
        <is>
          <t>        </t>
        </is>
      </c>
      <c r="G566" s="23" t="n">
        <v>763</v>
      </c>
      <c r="H566" s="23" t="n">
        <v>10</v>
      </c>
      <c r="I566" s="23" t="n">
        <v>18</v>
      </c>
      <c r="J566" s="23" t="inlineStr">
        <is>
          <t>978-5-227-11077-0</t>
        </is>
      </c>
      <c r="K566" s="23" t="inlineStr">
        <is>
          <t>84x108 1/32</t>
        </is>
      </c>
      <c r="L566" s="23" t="inlineStr">
        <is>
          <t>тв</t>
        </is>
      </c>
      <c r="M566" s="23" t="n">
        <v>287</v>
      </c>
      <c r="N566" s="23" t="n">
        <v>2025</v>
      </c>
      <c r="O566" s="23" t="n">
        <v>340</v>
      </c>
      <c r="P566" s="23" t="n"/>
      <c r="Q566" s="23" t="n"/>
      <c r="R566" s="25" t="inlineStr">
        <is>
          <t>Всем известно, что наш знаменитый современник Михаил Задорнов был не только выдающимся сатириком, драматургом и юмористом. Одной из самых ярких граней этой выдающейся личности была огромная любовь к России и глубокий интерес к её истории._x000D_
Но просто интересом Михаил Николаевич не ограничивался: он активно искал информацию, кропотливо собирал её, снимал познавательные фильмы, чтобы мы, жители России, знали, откуда пошла земля Русская._x000D_
«У кого нет прошлого — нет и будущего», — говорил Задорнов, и его авторский взгляд на древнерусскую историю, созвучный взглядам историков, не принявших норманнскую теорию, отражается в его замечательной книге, которой он пытается вернуть нам украденную быль.</t>
        </is>
      </c>
      <c r="S566" s="26">
        <f>HYPERLINK("http://www.cnpol.ru/covers/22165.jpg","фото на сайте")</f>
        <v/>
      </c>
    </row>
    <row r="567" ht="50.1" customHeight="1" s="3">
      <c r="A567" s="23" t="inlineStr">
        <is>
          <t>Д</t>
        </is>
      </c>
      <c r="B567" s="24" t="inlineStr">
        <is>
          <t>21822</t>
        </is>
      </c>
      <c r="C567" s="23" t="inlineStr">
        <is>
          <t>ЗАДОРНОВ</t>
        </is>
      </c>
      <c r="D567" s="23" t="inlineStr">
        <is>
          <t>Задорнов М.Н.</t>
        </is>
      </c>
      <c r="E567" s="23" t="inlineStr">
        <is>
          <t>Энциклопедия всенародной глупости</t>
        </is>
      </c>
      <c r="F567" s="23" t="inlineStr">
        <is>
          <t>        </t>
        </is>
      </c>
      <c r="G567" s="27" t="n">
        <v>1136</v>
      </c>
      <c r="H567" s="23" t="n">
        <v>10</v>
      </c>
      <c r="I567" s="23" t="n">
        <v>12</v>
      </c>
      <c r="J567" s="23" t="inlineStr">
        <is>
          <t>978-5-227-11158-6</t>
        </is>
      </c>
      <c r="K567" s="23" t="inlineStr">
        <is>
          <t>84x108 1/32</t>
        </is>
      </c>
      <c r="L567" s="23" t="inlineStr">
        <is>
          <t>тв</t>
        </is>
      </c>
      <c r="M567" s="23" t="n">
        <v>383</v>
      </c>
      <c r="N567" s="23" t="n">
        <v>2025</v>
      </c>
      <c r="O567" s="23" t="n">
        <v>415</v>
      </c>
      <c r="P567" s="23" t="n"/>
      <c r="Q567" s="23" t="n"/>
      <c r="R567" s="25" t="inlineStr">
        <is>
          <t>Представляем вашему вниманию новую книгу горячо люби¬мого жителями России писателя-сатирика, драматурга, юмориста — Михаила Задорнова. В «¬Энциклопедии всенародной глупости» речь пойдёт, несмотря на название, о вполне серьёзных вещах. Понаблюдайте, над чем смеются ваши приятели, коллеги на работе, и вы многое о них узнаете: что им дорого, что их тревожит, чем они живут и чего не понимают… Ведь хохот — это голос души. К тому же не секрет, что благодаря шутке может разрешиться давний конфликт, а может и возникнуть новый. Поэтому, разделив книгу на два полюса: «Они» и «Мы», автор хотел утвердить читателя в мысли, что нет ничего благотворнее умения человека, будь он русский или американец, в первую очередь смеяться над собой! А уж потом…_x000D_
Авторство этой книги Михаил Николаевич разделяет со всеми своими читателями и зрителями, теми, кто присылает на его элект¬ронную почту свои забавные случаи из собственного опыта, и не исключено, что кто-то увидит в этой книге историю из своей жизни._x000D_
Приятного чтения!</t>
        </is>
      </c>
      <c r="S567" s="26">
        <f>HYPERLINK("http://www.cnpol.ru/covers/21822.jpg","фото на сайте")</f>
        <v/>
      </c>
    </row>
    <row r="568" ht="50.1" customHeight="1" s="3">
      <c r="A568" s="23" t="n"/>
      <c r="B568" s="24" t="inlineStr">
        <is>
          <t>15418</t>
        </is>
      </c>
      <c r="C568" s="23" t="inlineStr">
        <is>
          <t>ЗАРУБ ДЕТЕК №1</t>
        </is>
      </c>
      <c r="D568" s="23" t="inlineStr">
        <is>
          <t>Соларес Мартин</t>
        </is>
      </c>
      <c r="E568" s="23" t="inlineStr">
        <is>
          <t>Черные минуты</t>
        </is>
      </c>
      <c r="F568" s="23" t="inlineStr">
        <is>
          <t>        </t>
        </is>
      </c>
      <c r="G568" s="23" t="n">
        <v>743</v>
      </c>
      <c r="H568" s="23" t="n">
        <v>10</v>
      </c>
      <c r="I568" s="23" t="n">
        <v>12</v>
      </c>
      <c r="J568" s="23" t="inlineStr">
        <is>
          <t>978-5-227-05383-1</t>
        </is>
      </c>
      <c r="K568" s="23" t="inlineStr">
        <is>
          <t>75x100 1/32</t>
        </is>
      </c>
      <c r="L568" s="23" t="inlineStr">
        <is>
          <t>тв</t>
        </is>
      </c>
      <c r="M568" s="23" t="n">
        <v>381</v>
      </c>
      <c r="N568" s="23" t="n">
        <v>2014</v>
      </c>
      <c r="O568" s="23" t="n">
        <v>346</v>
      </c>
      <c r="P568" s="23" t="n"/>
      <c r="Q568" s="23" t="n"/>
      <c r="R568" s="25" t="n"/>
      <c r="S568" s="26">
        <f>HYPERLINK("http://www.cnpol.ru/covers/15418.jpg","фото на сайте")</f>
        <v/>
      </c>
    </row>
    <row r="569" ht="50.1" customHeight="1" s="3">
      <c r="A569" s="23" t="inlineStr">
        <is>
          <t>Н</t>
        </is>
      </c>
      <c r="B569" s="24" t="inlineStr">
        <is>
          <t>22136</t>
        </is>
      </c>
      <c r="C569" s="23" t="inlineStr">
        <is>
          <t>ЗАРУБ ДЕТЕКТИВ</t>
        </is>
      </c>
      <c r="D569" s="23" t="inlineStr">
        <is>
          <t>Парецки С.</t>
        </is>
      </c>
      <c r="E569" s="23" t="inlineStr">
        <is>
          <t>Ангел-хранитель</t>
        </is>
      </c>
      <c r="F569" s="23" t="inlineStr">
        <is>
          <t>        </t>
        </is>
      </c>
      <c r="G569" s="27" t="n">
        <v>1184</v>
      </c>
      <c r="H569" s="23" t="n">
        <v>10</v>
      </c>
      <c r="I569" s="23" t="n">
        <v>10</v>
      </c>
      <c r="J569" s="23" t="inlineStr">
        <is>
          <t>978-5-9524-6686-9</t>
        </is>
      </c>
      <c r="K569" s="23" t="inlineStr">
        <is>
          <t>84x108 1/32</t>
        </is>
      </c>
      <c r="L569" s="23" t="inlineStr">
        <is>
          <t>тв</t>
        </is>
      </c>
      <c r="M569" s="23" t="n">
        <v>415</v>
      </c>
      <c r="N569" s="23" t="n">
        <v>2026</v>
      </c>
      <c r="O569" s="23" t="n">
        <v>452</v>
      </c>
      <c r="P569" s="23" t="n"/>
      <c r="Q569" s="23" t="n"/>
      <c r="R569" s="25" t="inlineStr">
        <is>
          <t>Пожилой сосед частного детектива В. Варшавски просит ее разобраться с внезапным исчезновением восьмидесятилетнего соратника из профсоюза. Она начинает расследование и узнает, что пропавший пенсионер найден плавающим лицом вниз в канале. Теперь приходится пристегнуть наплечную кобуру, чтобы разузнать о профсоюзах и политиках Чикаго, потому что, если она будет на стороне полицейских «ангелов-хранителей», это не принесет ей бонусов… но идеально подходит для расследования насильственной смерти.</t>
        </is>
      </c>
      <c r="S569" s="26">
        <f>HYPERLINK("http://www.cnpol.ru/covers/22136.jpg","фото на сайте")</f>
        <v/>
      </c>
    </row>
    <row r="570" ht="50.1" customHeight="1" s="3">
      <c r="A570" s="23" t="inlineStr">
        <is>
          <t>Н</t>
        </is>
      </c>
      <c r="B570" s="24" t="inlineStr">
        <is>
          <t>22134</t>
        </is>
      </c>
      <c r="C570" s="23" t="inlineStr">
        <is>
          <t>ЗАРУБ ДЕТЕКТИВ</t>
        </is>
      </c>
      <c r="D570" s="23" t="inlineStr">
        <is>
          <t>Мосли У.</t>
        </is>
      </c>
      <c r="E570" s="23" t="inlineStr">
        <is>
          <t>Белая Бабочка</t>
        </is>
      </c>
      <c r="F570" s="23" t="inlineStr">
        <is>
          <t>        </t>
        </is>
      </c>
      <c r="G570" s="23" t="n">
        <v>888</v>
      </c>
      <c r="H570" s="23" t="n">
        <v>10</v>
      </c>
      <c r="I570" s="23" t="n">
        <v>10</v>
      </c>
      <c r="J570" s="23" t="inlineStr">
        <is>
          <t>978-5-9524-6682-1</t>
        </is>
      </c>
      <c r="K570" s="23" t="inlineStr">
        <is>
          <t>84x108 1/32</t>
        </is>
      </c>
      <c r="L570" s="23" t="inlineStr">
        <is>
          <t>тв</t>
        </is>
      </c>
      <c r="M570" s="23" t="n">
        <v>239</v>
      </c>
      <c r="N570" s="23" t="n">
        <v>2026</v>
      </c>
      <c r="O570" s="23" t="n">
        <v>307</v>
      </c>
      <c r="P570" s="23" t="n"/>
      <c r="Q570" s="23" t="n"/>
      <c r="R570" s="25" t="inlineStr">
        <is>
          <t>В Лос-Анджелесе убита не одна чернокожая девушка, прежде чем копы всерьез берутся за дело. И, когда столь же жестокая смерть настигает белую студентку колледжа, вспоминают об Изи Роулинзе. Как он сам говорит: «Я стоил целого участка детективов, когда требовалось нарыть сведений в гетто». Но Изи отказывается сотрудничать. Он женат, растит ребенка — и его детективная карьера закончилась. Однако полицейское начальство играет по своим правилам: если Роулинз не поможет, то его лучший друг отправится в тюрьму. Изи возвращается, погружаясь в опасный мир ночных улиц квартала Уоттс и темные, извращенные закоулки сознания убийцы…</t>
        </is>
      </c>
      <c r="S570" s="26">
        <f>HYPERLINK("http://www.cnpol.ru/covers/22134.jpg","фото на сайте")</f>
        <v/>
      </c>
    </row>
    <row r="571" ht="50.1" customHeight="1" s="3">
      <c r="A571" s="23" t="inlineStr">
        <is>
          <t>Н</t>
        </is>
      </c>
      <c r="B571" s="24" t="inlineStr">
        <is>
          <t>21788</t>
        </is>
      </c>
      <c r="C571" s="23" t="inlineStr">
        <is>
          <t>ЗАРУБ ДЕТЕКТИВ</t>
        </is>
      </c>
      <c r="D571" s="23" t="inlineStr">
        <is>
          <t>Фитцек С.</t>
        </is>
      </c>
      <c r="E571" s="23" t="inlineStr">
        <is>
          <t>Дорога домой</t>
        </is>
      </c>
      <c r="F571" s="23" t="inlineStr">
        <is>
          <t>        </t>
        </is>
      </c>
      <c r="G571" s="23" t="n">
        <v>917</v>
      </c>
      <c r="H571" s="23" t="n">
        <v>10</v>
      </c>
      <c r="I571" s="23" t="n">
        <v>12</v>
      </c>
      <c r="J571" s="23" t="inlineStr">
        <is>
          <t>978-5-9524-6473-5</t>
        </is>
      </c>
      <c r="K571" s="23" t="inlineStr">
        <is>
          <t>84x108 1/32</t>
        </is>
      </c>
      <c r="L571" s="23" t="inlineStr">
        <is>
          <t>тв</t>
        </is>
      </c>
      <c r="M571" s="23" t="n">
        <v>319</v>
      </c>
      <c r="N571" s="23" t="n">
        <v>2025</v>
      </c>
      <c r="O571" s="23" t="n">
        <v>358</v>
      </c>
      <c r="P571" s="23" t="n"/>
      <c r="Q571" s="23" t="n"/>
      <c r="R571" s="25" t="inlineStr">
        <is>
          <t>Субботний вечер, начало одиннадцатого. Джулс Таннберг дежурит в волонтерской телефонной службе ночного сопровождения для женщин, которым стало страшно по пути домой, и они нуждаются в виртуальном попутчике. Легкой доброжелательной беседой он создаст впечатление, что женщина не одна в темных пустынных уголках города, а при необходимости вызовет помощь. Но при по-настоящему опасной для жизни ситуации сюда еще никто не обращался. До сегодняшнего вечера, когда Джулс ответил на звонок Клары. Молодая женщина до смерти напугана. Она утверждает, что ее преследует мужчина, который уже однажды напал на нее и кровью написал на стене спальни дату: день смерти Клары! И до наступления этого дня осталось менее двух часов...</t>
        </is>
      </c>
      <c r="S571" s="26">
        <f>HYPERLINK("http://www.cnpol.ru/covers/21788.jpg","фото на сайте")</f>
        <v/>
      </c>
    </row>
    <row r="572" ht="50.1" customHeight="1" s="3">
      <c r="A572" s="23" t="inlineStr">
        <is>
          <t>Н</t>
        </is>
      </c>
      <c r="B572" s="24" t="inlineStr">
        <is>
          <t>22251</t>
        </is>
      </c>
      <c r="C572" s="23" t="inlineStr">
        <is>
          <t>ЗАРУБ ДЕТЕКТИВ</t>
        </is>
      </c>
      <c r="D572" s="23" t="inlineStr">
        <is>
          <t>Грэнджер Э.</t>
        </is>
      </c>
      <c r="E572" s="23" t="inlineStr">
        <is>
          <t>Исповедь приговоренного</t>
        </is>
      </c>
      <c r="F572" s="23" t="inlineStr">
        <is>
          <t>        </t>
        </is>
      </c>
      <c r="G572" s="23" t="n">
        <v>888</v>
      </c>
      <c r="H572" s="23" t="n">
        <v>10</v>
      </c>
      <c r="I572" s="23" t="n">
        <v>10</v>
      </c>
      <c r="J572" s="23" t="inlineStr">
        <is>
          <t>978-5-9524-6714-9</t>
        </is>
      </c>
      <c r="K572" s="23" t="inlineStr">
        <is>
          <t>84x108 1/32</t>
        </is>
      </c>
      <c r="L572" s="23" t="inlineStr">
        <is>
          <t>тв</t>
        </is>
      </c>
      <c r="M572" s="23" t="n">
        <v>255</v>
      </c>
      <c r="N572" s="23" t="n">
        <v>2026</v>
      </c>
      <c r="O572" s="23" t="n">
        <v>316</v>
      </c>
      <c r="P572" s="23" t="n"/>
      <c r="Q572" s="23" t="n"/>
      <c r="R572" s="25" t="inlineStr">
        <is>
          <t>Инспектора Бена Росса вызывают в Ньюгейтскую тюрьму. Такова последняя просьба осужденного Джеймса Миллса. Он перед смертью хочет облегчить душу и сообщает об убийстве, свидетелем которого стал шестнадцать лет назад. Россу не удается отложить казнь Миллса и заняться этим убийством. Ему поручают дело о похищении жены и дочери богатого лондонского виноторговца. Но Лиззи, жена Росса, которая часто принимает участие в расследованиях мужа, отправляется в архив, потому что уверена: Миллс сказал правду и, значит, убийца по-прежнему на свободе.</t>
        </is>
      </c>
      <c r="S572" s="26">
        <f>HYPERLINK("http://www.cnpol.ru/covers/22251.jpg","фото на сайте")</f>
        <v/>
      </c>
    </row>
    <row r="573" ht="50.1" customHeight="1" s="3">
      <c r="A573" s="23" t="inlineStr">
        <is>
          <t>Н</t>
        </is>
      </c>
      <c r="B573" s="24" t="inlineStr">
        <is>
          <t>22242</t>
        </is>
      </c>
      <c r="C573" s="23" t="inlineStr">
        <is>
          <t>ЗАРУБ ДЕТЕКТИВ</t>
        </is>
      </c>
      <c r="D573" s="23" t="inlineStr">
        <is>
          <t>Грубер А.</t>
        </is>
      </c>
      <c r="E573" s="23" t="inlineStr">
        <is>
          <t>Мельница ангелов</t>
        </is>
      </c>
      <c r="F573" s="23" t="inlineStr">
        <is>
          <t>        </t>
        </is>
      </c>
      <c r="G573" s="23" t="n">
        <v>917</v>
      </c>
      <c r="H573" s="23" t="n">
        <v>10</v>
      </c>
      <c r="I573" s="23" t="n">
        <v>14</v>
      </c>
      <c r="J573" s="23" t="inlineStr">
        <is>
          <t>978-5-9524-6723-1</t>
        </is>
      </c>
      <c r="K573" s="23" t="inlineStr">
        <is>
          <t>84x108 1/32</t>
        </is>
      </c>
      <c r="L573" s="23" t="inlineStr">
        <is>
          <t>тв</t>
        </is>
      </c>
      <c r="M573" s="23" t="n">
        <v>287</v>
      </c>
      <c r="N573" s="23" t="n">
        <v>2026</v>
      </c>
      <c r="O573" s="23" t="n">
        <v>321</v>
      </c>
      <c r="P573" s="23" t="n"/>
      <c r="Q573" s="23" t="n"/>
      <c r="R573" s="25" t="inlineStr">
        <is>
          <t>Венскому частному детективу Петеру Хогарту пришлось взяться за собственное расследование, когда его брата Курта заподозрили в убийстве доктора Абеля Островского. Жестоко изуродованное пытками тело вышедшего на пенсию врача было найдено в доме на окраине Вены. Помочь Хогарту доказать невиновность брата, казалось бы, должно таинственное видео, которое Островский спрятал незадолго до смерти. Однако девятиминутная последовательность черно-белых кадров вроде бы не содержит ничего загадочного. Но почему же Хогарт не единственный, кому очень важно завладеть этой записью? Вскоре становится ясно, что он вступил в гонку с убийцей, оставляющим за собой кровавый след по всему городу. Попытки докопаться до истины приводят Хогарта к таинственной старой мельнице за городскими воротами…</t>
        </is>
      </c>
      <c r="S573" s="26">
        <f>HYPERLINK("http://www.cnpol.ru/covers/22242.jpg","фото на сайте")</f>
        <v/>
      </c>
    </row>
    <row r="574" ht="50.1" customHeight="1" s="3">
      <c r="A574" s="23" t="inlineStr">
        <is>
          <t>Н</t>
        </is>
      </c>
      <c r="B574" s="24" t="inlineStr">
        <is>
          <t>21947</t>
        </is>
      </c>
      <c r="C574" s="23" t="inlineStr">
        <is>
          <t>ЗАРУБ ДЕТЕКТИВ</t>
        </is>
      </c>
      <c r="D574" s="23" t="inlineStr">
        <is>
          <t>Джованни М. де</t>
        </is>
      </c>
      <c r="E574" s="23" t="inlineStr">
        <is>
          <t>Место каждого. Лето комиссара Ричарди</t>
        </is>
      </c>
      <c r="F574" s="23" t="inlineStr">
        <is>
          <t>        </t>
        </is>
      </c>
      <c r="G574" s="27" t="n">
        <v>1009</v>
      </c>
      <c r="H574" s="23" t="n">
        <v>10</v>
      </c>
      <c r="I574" s="23" t="n">
        <v>10</v>
      </c>
      <c r="J574" s="23" t="inlineStr">
        <is>
          <t>978-5-9524-6562-6</t>
        </is>
      </c>
      <c r="K574" s="23" t="inlineStr">
        <is>
          <t>84x108 1/32</t>
        </is>
      </c>
      <c r="L574" s="23" t="inlineStr">
        <is>
          <t>тв</t>
        </is>
      </c>
      <c r="M574" s="23" t="n">
        <v>319</v>
      </c>
      <c r="N574" s="23" t="n">
        <v>2026</v>
      </c>
      <c r="O574" s="23" t="n">
        <v>370</v>
      </c>
      <c r="P574" s="23" t="n"/>
      <c r="Q574" s="23" t="n"/>
      <c r="R574" s="25" t="inlineStr">
        <is>
          <t>Этим жарким летом комиссар полиции Неаполя Луиджи Ричарди, сыщик, который видит призраков людей, умерших насильственной смертью, и слышит их последние мысли, снова получил трудное задание. Ему предстоит расследовать убийство герцогини ди Кампарино, таинственной женщины, известной своей бурной жизнью. В ночь, когда на площади перед особняком семьи ди Кампарино жители квартала шумно отмечали праздник, герцогиню нашли убитой в своей прихожей. Кто-то задушил ее, потом выстрелил ей в голову из пистолета. Кто мог это сделать? Подозреваемых несколько, и улики противоречат одна другой. Комиссар будет блуждать неверными и порой опасными путями в поисках истины, а развязка окажется совершенно неожиданной.</t>
        </is>
      </c>
      <c r="S574" s="26">
        <f>HYPERLINK("http://www.cnpol.ru/covers/21947.jpg","фото на сайте")</f>
        <v/>
      </c>
    </row>
    <row r="575" ht="50.1" customHeight="1" s="3">
      <c r="A575" s="23" t="inlineStr">
        <is>
          <t>Н</t>
        </is>
      </c>
      <c r="B575" s="24" t="inlineStr">
        <is>
          <t>22002</t>
        </is>
      </c>
      <c r="C575" s="23" t="inlineStr">
        <is>
          <t>ЗАРУБ ДЕТЕКТИВ</t>
        </is>
      </c>
      <c r="D575" s="23" t="inlineStr">
        <is>
          <t>Фитцек С.</t>
        </is>
      </c>
      <c r="E575" s="23" t="inlineStr">
        <is>
          <t>Плейлист</t>
        </is>
      </c>
      <c r="F575" s="23" t="inlineStr">
        <is>
          <t>        </t>
        </is>
      </c>
      <c r="G575" s="23" t="n">
        <v>917</v>
      </c>
      <c r="H575" s="23" t="n">
        <v>10</v>
      </c>
      <c r="I575" s="23" t="n">
        <v>12</v>
      </c>
      <c r="J575" s="23" t="inlineStr">
        <is>
          <t>978-5-9524-6619-7</t>
        </is>
      </c>
      <c r="K575" s="23" t="inlineStr">
        <is>
          <t>84x108 1/32</t>
        </is>
      </c>
      <c r="L575" s="23" t="inlineStr">
        <is>
          <t>тв</t>
        </is>
      </c>
      <c r="M575" s="23" t="n">
        <v>319</v>
      </c>
      <c r="N575" s="23" t="n">
        <v>2026</v>
      </c>
      <c r="O575" s="23" t="n">
        <v>360</v>
      </c>
      <c r="P575" s="23" t="n"/>
      <c r="Q575" s="23" t="n"/>
      <c r="R575" s="25" t="inlineStr">
        <is>
          <t>Месяц назад пятнадцатилетняя Фелина Ягов бесследно исчезла по пути в школу. Нанятый ее матерью частный детектив Александер Цорбах наткнулся на музыкальный сервис в Интернете, через который Фелина всегда слушала свои любимые песни. Удивительное дело: всего несколько дней назад плейлист был изменен. Не посылает ли Фелина с помощью выбранных треков тайный сигнал о том, где она находится и как ее можно спасти? Цорбах лихорадочно пытается расшифровать загадку плейлиста, не подозревая, что поиски Фелины и разгадка музыкальной головоломки обернутся для него настоящим кошмаром. Впереди безжалостная гонка со временем, где шансы на выживание всех участников стремятся к нулю.</t>
        </is>
      </c>
      <c r="S575" s="26">
        <f>HYPERLINK("http://www.cnpol.ru/covers/22002.jpg","фото на сайте")</f>
        <v/>
      </c>
    </row>
    <row r="576" ht="50.1" customHeight="1" s="3">
      <c r="A576" s="23" t="inlineStr">
        <is>
          <t>Н</t>
        </is>
      </c>
      <c r="B576" s="24" t="inlineStr">
        <is>
          <t>22195</t>
        </is>
      </c>
      <c r="C576" s="23" t="inlineStr">
        <is>
          <t>ЗАРУБ ДЕТЕКТИВ</t>
        </is>
      </c>
      <c r="D576" s="23" t="inlineStr">
        <is>
          <t>Парецки С.</t>
        </is>
      </c>
      <c r="E576" s="23" t="inlineStr">
        <is>
          <t>Слепая зона</t>
        </is>
      </c>
      <c r="F576" s="23" t="inlineStr">
        <is>
          <t>        </t>
        </is>
      </c>
      <c r="G576" s="27" t="n">
        <v>1197</v>
      </c>
      <c r="H576" s="23" t="n">
        <v>10</v>
      </c>
      <c r="I576" s="23" t="n">
        <v>10</v>
      </c>
      <c r="J576" s="23" t="inlineStr">
        <is>
          <t>978-5-9524-6698-2</t>
        </is>
      </c>
      <c r="K576" s="23" t="inlineStr">
        <is>
          <t>84x108 1/32</t>
        </is>
      </c>
      <c r="L576" s="23" t="inlineStr">
        <is>
          <t>тв</t>
        </is>
      </c>
      <c r="M576" s="23" t="n">
        <v>415</v>
      </c>
      <c r="N576" s="23" t="n">
        <v>2026</v>
      </c>
      <c r="O576" s="23" t="n">
        <v>455</v>
      </c>
      <c r="P576" s="23" t="n"/>
      <c r="Q576" s="23" t="n"/>
      <c r="R576" s="25" t="inlineStr">
        <is>
          <t>Упрямство частного детектива Виктории Варшавски втянуло ее в большие неприятности. Главное — ее обвиняют в убийстве Дердри Мессенджер, жены известного адвоката. Некогда Виктория работала с Дердри волонтером в женском приюте и подозревает, что ее смерть связана с делом о домашнем насилии в высшем обществе, настолько искусно завуалированном, что полиция отказывается в это верить. Все больше расходясь во мнениях с полицией, Варшавски слепо идет на поиски правды. И ее путь может привести к коррупции в самых высоких кругах, скрывающих свои тайны в мрачных заброшенных туннелях под улицами Чикаго</t>
        </is>
      </c>
      <c r="S576" s="26">
        <f>HYPERLINK("http://www.cnpol.ru/covers/22195.jpg","фото на сайте")</f>
        <v/>
      </c>
    </row>
    <row r="577" ht="50.1" customHeight="1" s="3">
      <c r="A577" s="23" t="inlineStr">
        <is>
          <t>Д</t>
        </is>
      </c>
      <c r="B577" s="24" t="inlineStr">
        <is>
          <t>22130</t>
        </is>
      </c>
      <c r="C577" s="23" t="inlineStr">
        <is>
          <t>ЗАРУБ ДЕТЕКТИВ</t>
        </is>
      </c>
      <c r="D577" s="23" t="inlineStr">
        <is>
          <t>Грубер А.</t>
        </is>
      </c>
      <c r="E577" s="23" t="inlineStr">
        <is>
          <t>Смертельная боль</t>
        </is>
      </c>
      <c r="F577" s="23" t="inlineStr">
        <is>
          <t>        </t>
        </is>
      </c>
      <c r="G577" s="23" t="n">
        <v>917</v>
      </c>
      <c r="H577" s="23" t="n">
        <v>10</v>
      </c>
      <c r="I577" s="23" t="n">
        <v>10</v>
      </c>
      <c r="J577" s="23" t="inlineStr">
        <is>
          <t>978-5-9524-6684-5</t>
        </is>
      </c>
      <c r="K577" s="23" t="inlineStr">
        <is>
          <t>84x108 1/32</t>
        </is>
      </c>
      <c r="L577" s="23" t="inlineStr">
        <is>
          <t>тв</t>
        </is>
      </c>
      <c r="M577" s="23" t="n">
        <v>431</v>
      </c>
      <c r="N577" s="23" t="n">
        <v>2026</v>
      </c>
      <c r="O577" s="23" t="n">
        <v>428</v>
      </c>
      <c r="P577" s="23" t="n"/>
      <c r="Q577" s="23" t="n"/>
      <c r="R577" s="25" t="inlineStr">
        <is>
          <t>В самый разгар внутреннего расследования и поисков «крота» в своих рядах профайлера БКА Мартена С. Снейдера и его команду отправляют в Норвегию, чтобы раскрыть убийство немецкого посла. Мотив остается загадкой, а норвежская полиция отказывается сотрудничать. Снейдер проявляет креативность — и тем самым привлекает к себе внимание опасного противника. Когда жертвой хладнокровного убийцы становится член команды следователей БКА, Снейдер сталкивается с самым тяжелым испытанием в своей жизни…</t>
        </is>
      </c>
      <c r="S577" s="26">
        <f>HYPERLINK("http://www.cnpol.ru/covers/22130.jpg","фото на сайте")</f>
        <v/>
      </c>
    </row>
    <row r="578" ht="50.1" customHeight="1" s="3">
      <c r="A578" s="23" t="inlineStr">
        <is>
          <t>Д</t>
        </is>
      </c>
      <c r="B578" s="24" t="inlineStr">
        <is>
          <t>22271</t>
        </is>
      </c>
      <c r="C578" s="23" t="inlineStr">
        <is>
          <t>ЗАРУБ ДЕТЕКТИВ</t>
        </is>
      </c>
      <c r="D578" s="23" t="inlineStr">
        <is>
          <t>Грубер А.</t>
        </is>
      </c>
      <c r="E578" s="23" t="inlineStr">
        <is>
          <t>Смертельная месть</t>
        </is>
      </c>
      <c r="F578" s="23" t="inlineStr">
        <is>
          <t>        </t>
        </is>
      </c>
      <c r="G578" s="23" t="n">
        <v>917</v>
      </c>
      <c r="H578" s="23" t="n">
        <v>10</v>
      </c>
      <c r="I578" s="23" t="n">
        <v>10</v>
      </c>
      <c r="J578" s="23" t="inlineStr">
        <is>
          <t>978-5-9524-6730-9</t>
        </is>
      </c>
      <c r="K578" s="23" t="inlineStr">
        <is>
          <t>84x108 1/32</t>
        </is>
      </c>
      <c r="L578" s="23" t="inlineStr">
        <is>
          <t>тв</t>
        </is>
      </c>
      <c r="M578" s="23" t="n">
        <v>431</v>
      </c>
      <c r="N578" s="23" t="n">
        <v>2026</v>
      </c>
      <c r="O578" s="23" t="n">
        <v>471</v>
      </c>
      <c r="P578" s="23" t="n"/>
      <c r="Q578" s="23" t="n"/>
      <c r="R578" s="25" t="inlineStr">
        <is>
          <t>Последнее дело глубоко потрясло эксперта БКА Мартена С. Снейдера. Ему противостоял беспринципный противник, готовый на все. Хотя Снейдеру чудом удалось выжить, он потерял почти всю свою команду, в том числе давнюю напарницу и близкого человека Сабину Немез. Сломленный, он решает завершить не только карьеру, но и жизнь. Однако неожиданный таинственный намек дает надежду: возможно, Сабина все еще жива. Снейдер с головой уходит в опасные и, казалось бы, безнадежные поиски. Рядом с ним новая небольшая команда, собранная из проверенных коллег. Однако, несмотря на все усилия, они вскоре оказываются в тупике. Единственный, кто может им помочь, — следователь из Лейпцига, мелкая сошка в уголовном розыске. У этого несколько эксцентричного коллеги по имени Вальтер Пуласки свои заботы, и начало сотрудничества выходит далеко не идеальным...</t>
        </is>
      </c>
      <c r="S578" s="26">
        <f>HYPERLINK("http://www.cnpol.ru/covers/22271.jpg","фото на сайте")</f>
        <v/>
      </c>
    </row>
    <row r="579" ht="50.1" customHeight="1" s="3">
      <c r="A579" s="23" t="inlineStr">
        <is>
          <t>Н</t>
        </is>
      </c>
      <c r="B579" s="24" t="inlineStr">
        <is>
          <t>22158</t>
        </is>
      </c>
      <c r="C579" s="23" t="inlineStr">
        <is>
          <t>ЗАРУБ ДЕТЕКТИВ</t>
        </is>
      </c>
      <c r="D579" s="23" t="inlineStr">
        <is>
          <t>Грубер А.</t>
        </is>
      </c>
      <c r="E579" s="23" t="inlineStr">
        <is>
          <t>Смертельный след</t>
        </is>
      </c>
      <c r="F579" s="23" t="inlineStr">
        <is>
          <t>        </t>
        </is>
      </c>
      <c r="G579" s="23" t="n">
        <v>917</v>
      </c>
      <c r="H579" s="23" t="n">
        <v>10</v>
      </c>
      <c r="I579" s="23" t="n">
        <v>10</v>
      </c>
      <c r="J579" s="23" t="inlineStr">
        <is>
          <t>978-5-9524-6693-7</t>
        </is>
      </c>
      <c r="K579" s="23" t="inlineStr">
        <is>
          <t>84x108 1/32</t>
        </is>
      </c>
      <c r="L579" s="23" t="inlineStr">
        <is>
          <t>тв</t>
        </is>
      </c>
      <c r="M579" s="23" t="n">
        <v>447</v>
      </c>
      <c r="N579" s="23" t="n">
        <v>2026</v>
      </c>
      <c r="O579" s="23" t="n">
        <v>474</v>
      </c>
      <c r="P579" s="23" t="n"/>
      <c r="Q579" s="23" t="n"/>
      <c r="R579" s="25" t="inlineStr">
        <is>
          <t>Во время крупномасштабной операции в городке Бад-Кройцнах следователи Федерального ведомства уголовной полиции Мартен С. Снейдер и Сабина Немез пытаются задержать ученого Пауля Конрада, которого подозревают в планировании беспрецедентной серии терактов. Однако Конраду удается бежать, и Снейдер вместе со своей командой устремляется по его следу. Тем временем в Куфштайне консультант по безопасности Леа Фукс всего лишь собиралась отметить свой день рождения, но по собственной вине оказалась втянута в крайне опасную ситуацию. Пытаясь выбраться из нее, Леа разрабатывает безжалостный и рискованный план – и даже не догадывается, что в момент его реализации столкнется со Снейдером. Эта встреча полностью меняет ход расследования Снейдера и ставит под угрозу жизни обоих…</t>
        </is>
      </c>
      <c r="S579" s="26">
        <f>HYPERLINK("http://www.cnpol.ru/covers/22158.jpg","фото на сайте")</f>
        <v/>
      </c>
    </row>
    <row r="580" ht="50.1" customHeight="1" s="3">
      <c r="A580" s="23" t="inlineStr">
        <is>
          <t>Н</t>
        </is>
      </c>
      <c r="B580" s="24" t="inlineStr">
        <is>
          <t>21948</t>
        </is>
      </c>
      <c r="C580" s="23" t="inlineStr">
        <is>
          <t>ЗАРУБ ДЕТЕКТИВ</t>
        </is>
      </c>
      <c r="D580" s="23" t="inlineStr">
        <is>
          <t>Фет М.</t>
        </is>
      </c>
      <c r="E580" s="23" t="inlineStr">
        <is>
          <t>Темная тайна художника</t>
        </is>
      </c>
      <c r="F580" s="23" t="inlineStr">
        <is>
          <t>        </t>
        </is>
      </c>
      <c r="G580" s="27" t="n">
        <v>1009</v>
      </c>
      <c r="H580" s="23" t="n">
        <v>10</v>
      </c>
      <c r="I580" s="23" t="n">
        <v>10</v>
      </c>
      <c r="J580" s="23" t="inlineStr">
        <is>
          <t>978-5-9524-6561-9</t>
        </is>
      </c>
      <c r="K580" s="23" t="inlineStr">
        <is>
          <t>84x108 1/32</t>
        </is>
      </c>
      <c r="L580" s="23" t="inlineStr">
        <is>
          <t>тв</t>
        </is>
      </c>
      <c r="M580" s="23" t="n">
        <v>319</v>
      </c>
      <c r="N580" s="23" t="n">
        <v>2026</v>
      </c>
      <c r="O580" s="23" t="n">
        <v>373</v>
      </c>
      <c r="P580" s="23" t="n"/>
      <c r="Q580" s="23" t="n"/>
      <c r="R580" s="25" t="inlineStr">
        <is>
          <t>Студентки Ютта и Мерли знакомятся с возлюбленной их нового соседа по квартире. Родители девушки Майка погибли в автокатастрофе, и Ильке теперь жила у тети. Но внезапно она бесследно исчезла. Майк в отчаянии, и Ютта не осталась в стороне. Полагая, что девушка похищена, она обращается к комиссару криминальной полиции Берту Мельцигу, который раньше уже приходил ей на помощь. Но инспектор считает, что Ютта  преувеличивает опасность. Тогда она начинает расследование самостоятельно и вскоре раскрывает темную сторону прошлого Ильке. Теперь она сама в смертельной западне, и спасти ее может только один человек — Мельциг...</t>
        </is>
      </c>
      <c r="S580" s="26">
        <f>HYPERLINK("http://www.cnpol.ru/covers/21948.jpg","фото на сайте")</f>
        <v/>
      </c>
    </row>
    <row r="581" ht="50.1" customHeight="1" s="3">
      <c r="A581" s="23" t="inlineStr">
        <is>
          <t>Н</t>
        </is>
      </c>
      <c r="B581" s="24" t="inlineStr">
        <is>
          <t>22252</t>
        </is>
      </c>
      <c r="C581" s="23" t="inlineStr">
        <is>
          <t>ЗАРУБ ДЕТЕКТИВ</t>
        </is>
      </c>
      <c r="D581" s="23" t="inlineStr">
        <is>
          <t>Мосли У.</t>
        </is>
      </c>
      <c r="E581" s="23" t="inlineStr">
        <is>
          <t>Черная Бетти</t>
        </is>
      </c>
      <c r="F581" s="23" t="inlineStr">
        <is>
          <t>        </t>
        </is>
      </c>
      <c r="G581" s="23" t="n">
        <v>936</v>
      </c>
      <c r="H581" s="23" t="n">
        <v>10</v>
      </c>
      <c r="I581" s="23" t="n">
        <v>10</v>
      </c>
      <c r="J581" s="23" t="inlineStr">
        <is>
          <t>978-5-9524-6717-0</t>
        </is>
      </c>
      <c r="K581" s="23" t="inlineStr">
        <is>
          <t>84x108 1/32</t>
        </is>
      </c>
      <c r="L581" s="23" t="inlineStr">
        <is>
          <t>тв</t>
        </is>
      </c>
      <c r="M581" s="23" t="n">
        <v>287</v>
      </c>
      <c r="N581" s="23" t="n">
        <v>2026</v>
      </c>
      <c r="O581" s="23" t="n">
        <v>342</v>
      </c>
      <c r="P581" s="23" t="n"/>
      <c r="Q581" s="23" t="n"/>
      <c r="R581" s="25" t="inlineStr">
        <is>
          <t>Лос-Анджелес, начало 1960-х. Детектив Изи Роулинз берется за новое дело — за солидное вознаграждение он должен разыскать женщину из черных кварталов, исчезновение которой странным образом совпало со смертью коррумпированного миллионера, в доме которого та работала. Раскрывая мрачные тайны прошлого, Изи оказывается в самом эпицентре межэтнического конфликта и сталкивается с противодействием как со стороны полиции, так и со стороны преступных группировок Города ангелов.</t>
        </is>
      </c>
      <c r="S581" s="26">
        <f>HYPERLINK("http://www.cnpol.ru/covers/22252.jpg","фото на сайте")</f>
        <v/>
      </c>
    </row>
    <row r="582" ht="50.1" customHeight="1" s="3">
      <c r="A582" s="23" t="inlineStr">
        <is>
          <t>Н</t>
        </is>
      </c>
      <c r="B582" s="24" t="inlineStr">
        <is>
          <t>22082</t>
        </is>
      </c>
      <c r="C582" s="23" t="inlineStr">
        <is>
          <t>ЗАРУБ ДЕТЕКТИВ</t>
        </is>
      </c>
      <c r="D582" s="23" t="inlineStr">
        <is>
          <t>Грубер А.</t>
        </is>
      </c>
      <c r="E582" s="23" t="inlineStr">
        <is>
          <t>Черная королева</t>
        </is>
      </c>
      <c r="F582" s="23" t="inlineStr">
        <is>
          <t>        </t>
        </is>
      </c>
      <c r="G582" s="23" t="n">
        <v>917</v>
      </c>
      <c r="H582" s="23" t="n">
        <v>10</v>
      </c>
      <c r="I582" s="23" t="n">
        <v>16</v>
      </c>
      <c r="J582" s="23" t="inlineStr">
        <is>
          <t>978-5-9524-6644-9</t>
        </is>
      </c>
      <c r="K582" s="23" t="inlineStr">
        <is>
          <t>84x108 1/32</t>
        </is>
      </c>
      <c r="L582" s="23" t="inlineStr">
        <is>
          <t>тв</t>
        </is>
      </c>
      <c r="M582" s="23" t="n">
        <v>287</v>
      </c>
      <c r="N582" s="23" t="n">
        <v>2026</v>
      </c>
      <c r="O582" s="23" t="n">
        <v>310</v>
      </c>
      <c r="P582" s="23" t="n"/>
      <c r="Q582" s="23" t="n"/>
      <c r="R582" s="25" t="inlineStr">
        <is>
          <t>В поисках бесследно пропавшей Александры Шеллинг, страхового следователя и эксперта по искусству, венский частный детектив Петер Хогарт отправляется в Прагу. Но Золотой город открывает Хогарту свою самую темную сторону. Его расследование разворошило осиное гнездо, и за несколько часов он не только привлек к себе множество весьма сомнительных личностей, но и настроил против себя пражскую полицию. И лишь его молодая коллега Ивона Маркович, которая в данный момент расследует серию странных убийств с расчленением, кажется, на стороне Хогарта. Когда они чудом избегают смерти во время нападения, становится ясно, что между их делами есть связь. И что время до следующего убийства катастрофически истекает…</t>
        </is>
      </c>
      <c r="S582" s="26">
        <f>HYPERLINK("http://www.cnpol.ru/covers/22082.jpg","фото на сайте")</f>
        <v/>
      </c>
    </row>
    <row r="583" ht="50.1" customHeight="1" s="3">
      <c r="A583" s="23" t="n"/>
      <c r="B583" s="24" t="inlineStr">
        <is>
          <t>5421</t>
        </is>
      </c>
      <c r="C583" s="23" t="inlineStr">
        <is>
          <t>ЗВ</t>
        </is>
      </c>
      <c r="D583" s="23" t="inlineStr">
        <is>
          <t>Гладкий В.</t>
        </is>
      </c>
      <c r="E583" s="23" t="inlineStr">
        <is>
          <t>Жизнь взаймы</t>
        </is>
      </c>
      <c r="F583" s="23" t="inlineStr">
        <is>
          <t>        </t>
        </is>
      </c>
      <c r="G583" s="23" t="n">
        <v>358</v>
      </c>
      <c r="H583" s="23" t="n">
        <v>10</v>
      </c>
      <c r="I583" s="23" t="n">
        <v>14</v>
      </c>
      <c r="J583" s="23" t="inlineStr">
        <is>
          <t>5-9524-1457-5</t>
        </is>
      </c>
      <c r="K583" s="23" t="inlineStr">
        <is>
          <t>84x108 1/32</t>
        </is>
      </c>
      <c r="L583" s="23" t="inlineStr">
        <is>
          <t>тв</t>
        </is>
      </c>
      <c r="M583" s="23" t="n">
        <v>349</v>
      </c>
      <c r="N583" s="23" t="n">
        <v>2005</v>
      </c>
      <c r="O583" s="23" t="n">
        <v>302</v>
      </c>
      <c r="P583" s="23" t="n"/>
      <c r="Q583" s="23" t="n"/>
      <c r="R583" s="25" t="inlineStr">
        <is>
          <t>Жалкий бродяга, не помнящий даже своего имени, волею судьбы занимает место убитого бизнесмена Александра Князева. Никто не догадывается о подмене — скальпель пластического хирурга творит чудеса. Но что толку в огромных деньгах, если охота на Князева продолжается, а самозванец не знает, где искать врагов...</t>
        </is>
      </c>
      <c r="S583" s="26">
        <f>HYPERLINK("http://www.cnpol.ru/covers/5421.jpg","фото на сайте")</f>
        <v/>
      </c>
    </row>
    <row r="584" ht="50.1" customHeight="1" s="3">
      <c r="A584" s="23" t="n"/>
      <c r="B584" s="24" t="inlineStr">
        <is>
          <t>10893</t>
        </is>
      </c>
      <c r="C584" s="23" t="inlineStr">
        <is>
          <t>ЗВЕЗДЫ</t>
        </is>
      </c>
      <c r="D584" s="23" t="inlineStr">
        <is>
          <t>Дэйвис</t>
        </is>
      </c>
      <c r="E584" s="23" t="inlineStr">
        <is>
          <t>Инструкция по возвращению твоего парня. Почему он не с тобой</t>
        </is>
      </c>
      <c r="F584" s="23" t="inlineStr">
        <is>
          <t>        </t>
        </is>
      </c>
      <c r="G584" s="23" t="n">
        <v>158</v>
      </c>
      <c r="H584" s="23" t="n">
        <v>22</v>
      </c>
      <c r="I584" s="23" t="n">
        <v>40</v>
      </c>
      <c r="J584" s="23" t="inlineStr">
        <is>
          <t>978-5-9524-3912-2</t>
        </is>
      </c>
      <c r="K584" s="23" t="inlineStr">
        <is>
          <t>60х108 1/32</t>
        </is>
      </c>
      <c r="L584" s="23" t="inlineStr">
        <is>
          <t>мяг</t>
        </is>
      </c>
      <c r="M584" s="23" t="n">
        <v>160</v>
      </c>
      <c r="N584" s="23" t="n">
        <v>2008</v>
      </c>
      <c r="O584" s="23" t="n">
        <v>96</v>
      </c>
      <c r="P584" s="23" t="n"/>
      <c r="Q584" s="23" t="n"/>
      <c r="R584" s="25" t="inlineStr">
        <is>
          <t>Узнав особенности знаков зодиака, изложенные в этой книге, ты легко оценишь плюсы и минусы своего бывшего парня и вашу взаимную совместимость. Тебе станет ясно, что могло привести вас к разрыву и на чем можно сыграть, чтобы сделать расставание менее болезненным или при желании вернуть утраченную близость. Кроме того, ты поймешь, как можно «подстелить соломки» на будущее, чтобы твои отношения со следующим парнем стали прочными и безоблачными и принесли тебе все, о чем ты мечтаешь.</t>
        </is>
      </c>
      <c r="S584" s="26">
        <f>HYPERLINK("http://www.cnpol.ru/covers/10893.jpg","фото на сайте")</f>
        <v/>
      </c>
    </row>
    <row r="585" ht="50.1" customHeight="1" s="3">
      <c r="A585" s="23" t="n"/>
      <c r="B585" s="24" t="inlineStr">
        <is>
          <t>10410</t>
        </is>
      </c>
      <c r="C585" s="23" t="inlineStr">
        <is>
          <t>ЗВЕЗДЫ</t>
        </is>
      </c>
      <c r="D585" s="23" t="inlineStr">
        <is>
          <t>Дэйвис</t>
        </is>
      </c>
      <c r="E585" s="23" t="inlineStr">
        <is>
          <t>Инструкция по устранению соперниц</t>
        </is>
      </c>
      <c r="F585" s="23" t="inlineStr">
        <is>
          <t>        </t>
        </is>
      </c>
      <c r="G585" s="23" t="n">
        <v>158</v>
      </c>
      <c r="H585" s="23" t="n">
        <v>22</v>
      </c>
      <c r="I585" s="23" t="n">
        <v>48</v>
      </c>
      <c r="J585" s="23" t="inlineStr">
        <is>
          <t>978-5-9524-3582-7</t>
        </is>
      </c>
      <c r="K585" s="23" t="inlineStr">
        <is>
          <t>70x108 1/32</t>
        </is>
      </c>
      <c r="L585" s="23" t="inlineStr">
        <is>
          <t>мяг</t>
        </is>
      </c>
      <c r="M585" s="23" t="n">
        <v>159</v>
      </c>
      <c r="N585" s="23" t="n">
        <v>2008</v>
      </c>
      <c r="O585" s="23" t="n">
        <v>90</v>
      </c>
      <c r="P585" s="23" t="n"/>
      <c r="Q585" s="23" t="n"/>
      <c r="R585" s="25" t="inlineStr">
        <is>
          <t>Вам не дает покоя прошлое вашего мужчины? Бывшие пассии не торопятся исчезнуть из его жизни? Мысли о том, что он променяет вас на одну из них, выводят из себя? Пришло время действовать! Астрология поможет вам обвести хитроумных соперниц вокруг пальца, ведь автор отмечает все те особенности знаков зодиака, которые могут сыграть вам на руку.</t>
        </is>
      </c>
      <c r="S585" s="26">
        <f>HYPERLINK("http://www.cnpol.ru/covers/10410.jpg","фото на сайте")</f>
        <v/>
      </c>
    </row>
    <row r="586" ht="50.1" customHeight="1" s="3">
      <c r="A586" s="23" t="n"/>
      <c r="B586" s="24" t="inlineStr">
        <is>
          <t>19439</t>
        </is>
      </c>
      <c r="C586" s="23" t="inlineStr">
        <is>
          <t>ЗДН НОВ</t>
        </is>
      </c>
      <c r="D586" s="23" t="inlineStr">
        <is>
          <t>Бакстон Д.</t>
        </is>
      </c>
      <c r="E586" s="23" t="inlineStr">
        <is>
          <t>Абиссинцы. Потомки царя Соломона</t>
        </is>
      </c>
      <c r="F586" s="23" t="inlineStr">
        <is>
          <t>        </t>
        </is>
      </c>
      <c r="G586" s="23" t="n">
        <v>704</v>
      </c>
      <c r="H586" s="23" t="n">
        <v>10</v>
      </c>
      <c r="I586" s="23" t="n">
        <v>14</v>
      </c>
      <c r="J586" s="23" t="inlineStr">
        <is>
          <t>978-5-9524-5470-5</t>
        </is>
      </c>
      <c r="K586" s="23" t="inlineStr">
        <is>
          <t>84x108 1/32</t>
        </is>
      </c>
      <c r="L586" s="23" t="inlineStr">
        <is>
          <t>тв</t>
        </is>
      </c>
      <c r="M586" s="23" t="n">
        <v>240</v>
      </c>
      <c r="N586" s="23" t="n">
        <v>2020</v>
      </c>
      <c r="O586" s="23" t="n">
        <v>346</v>
      </c>
      <c r="P586" s="23" t="n"/>
      <c r="Q586" s="23" t="n"/>
      <c r="R586" s="25" t="inlineStr">
        <is>
          <t>Увлекательный экскурс в богатейшую историю народов Эфиопии (современное название Абиссинии), проживающих на самом большом плато Африки - Африканском Роге. В книге охвачены все аспекты истории развития этого уголка земли со времен каменного века до Средневековья. Яркое и образное повествование передает атмосферу вечного очарования Эфиопии.</t>
        </is>
      </c>
      <c r="S586" s="26">
        <f>HYPERLINK("http://www.cnpol.ru/covers/19439.jpg","фото на сайте")</f>
        <v/>
      </c>
    </row>
    <row r="587" ht="50.1" customHeight="1" s="3">
      <c r="A587" s="23" t="n"/>
      <c r="B587" s="24" t="inlineStr">
        <is>
          <t>19440</t>
        </is>
      </c>
      <c r="C587" s="23" t="inlineStr">
        <is>
          <t>ЗДН НОВ</t>
        </is>
      </c>
      <c r="D587" s="23" t="inlineStr">
        <is>
          <t>Вильсон Д. М.</t>
        </is>
      </c>
      <c r="E587" s="23" t="inlineStr">
        <is>
          <t>Англосаксы. Покорители кельтской Британии</t>
        </is>
      </c>
      <c r="F587" s="23" t="inlineStr">
        <is>
          <t>        </t>
        </is>
      </c>
      <c r="G587" s="23" t="n">
        <v>704</v>
      </c>
      <c r="H587" s="23" t="n">
        <v>10</v>
      </c>
      <c r="I587" s="23" t="n">
        <v>14</v>
      </c>
      <c r="J587" s="23" t="inlineStr">
        <is>
          <t>978-5-9524-5469-9</t>
        </is>
      </c>
      <c r="K587" s="23" t="inlineStr">
        <is>
          <t>84x108 1/32</t>
        </is>
      </c>
      <c r="L587" s="23" t="inlineStr">
        <is>
          <t>тв</t>
        </is>
      </c>
      <c r="M587" s="23" t="n">
        <v>192</v>
      </c>
      <c r="N587" s="23" t="n">
        <v>2020</v>
      </c>
      <c r="O587" s="23" t="n">
        <v>294</v>
      </c>
      <c r="P587" s="23" t="n"/>
      <c r="Q587" s="23" t="n"/>
      <c r="R587" s="25" t="inlineStr">
        <is>
          <t>Дэвид Вильсон попытался объединить все имеющиеся научные сведения, чтобы дать по возможности полную картину жизни германских племен, на рубеже V—VI веков появившихся на территории кельтской Британии и постепенно утвердивших там свое главенство. Особое внимание в книге уделяется своеобразию культурных традиций различных областей Англии.</t>
        </is>
      </c>
      <c r="S587" s="26">
        <f>HYPERLINK("http://www.cnpol.ru/covers/19440.jpg","фото на сайте")</f>
        <v/>
      </c>
    </row>
    <row r="588" ht="50.1" customHeight="1" s="3">
      <c r="A588" s="23" t="n"/>
      <c r="B588" s="24" t="inlineStr">
        <is>
          <t>20285</t>
        </is>
      </c>
      <c r="C588" s="23" t="inlineStr">
        <is>
          <t>ЗДН НОВ</t>
        </is>
      </c>
      <c r="D588" s="23" t="inlineStr">
        <is>
          <t>Лэнг Д.</t>
        </is>
      </c>
      <c r="E588" s="23" t="inlineStr">
        <is>
          <t>Армяне. Народ­созидатель</t>
        </is>
      </c>
      <c r="F588" s="23" t="inlineStr">
        <is>
          <t>        </t>
        </is>
      </c>
      <c r="G588" s="23" t="n">
        <v>875</v>
      </c>
      <c r="H588" s="23" t="n">
        <v>10</v>
      </c>
      <c r="I588" s="23" t="n">
        <v>16</v>
      </c>
      <c r="J588" s="23" t="inlineStr">
        <is>
          <t>978-5-9524-5764-5</t>
        </is>
      </c>
      <c r="K588" s="23" t="inlineStr">
        <is>
          <t>84x108 1/32</t>
        </is>
      </c>
      <c r="L588" s="23" t="inlineStr">
        <is>
          <t>тв</t>
        </is>
      </c>
      <c r="M588" s="23" t="n">
        <v>352</v>
      </c>
      <c r="N588" s="23" t="n">
        <v>2022</v>
      </c>
      <c r="O588" s="23" t="n">
        <v>428</v>
      </c>
      <c r="P588" s="23" t="n"/>
      <c r="Q588" s="23" t="n"/>
      <c r="R588" s="25" t="inlineStr">
        <is>
          <t>Дэвид Лэнг, известный английский кавказовед, на основе археологических отчетов и исторических исследований воспроизводит религиозные представления, быт и традиции племен, населявших территорию древней Армении. История армян предстает в этой книге во всем своем величии.</t>
        </is>
      </c>
      <c r="S588" s="26">
        <f>HYPERLINK("http://www.cnpol.ru/covers/20285.jpg","фото на сайте")</f>
        <v/>
      </c>
    </row>
    <row r="589" ht="50.1" customHeight="1" s="3">
      <c r="A589" s="23" t="n"/>
      <c r="B589" s="24" t="inlineStr">
        <is>
          <t>19438</t>
        </is>
      </c>
      <c r="C589" s="23" t="inlineStr">
        <is>
          <t>ЗДН НОВ</t>
        </is>
      </c>
      <c r="D589" s="23" t="inlineStr">
        <is>
          <t>Лессёэ Й.</t>
        </is>
      </c>
      <c r="E589" s="23" t="inlineStr">
        <is>
          <t>Ассирийцы. Покорители народов</t>
        </is>
      </c>
      <c r="F589" s="23" t="inlineStr">
        <is>
          <t>        </t>
        </is>
      </c>
      <c r="G589" s="23" t="n">
        <v>704</v>
      </c>
      <c r="H589" s="23" t="n">
        <v>10</v>
      </c>
      <c r="I589" s="23" t="n">
        <v>14</v>
      </c>
      <c r="J589" s="23" t="inlineStr">
        <is>
          <t>978-5-9524-5468-2</t>
        </is>
      </c>
      <c r="K589" s="23" t="inlineStr">
        <is>
          <t>84x108 1/32</t>
        </is>
      </c>
      <c r="L589" s="23" t="inlineStr">
        <is>
          <t>тв</t>
        </is>
      </c>
      <c r="M589" s="23" t="n">
        <v>256</v>
      </c>
      <c r="N589" s="23" t="n">
        <v>2020</v>
      </c>
      <c r="O589" s="23" t="n">
        <v>326</v>
      </c>
      <c r="P589" s="23" t="n"/>
      <c r="Q589" s="23" t="n"/>
      <c r="R589" s="25" t="inlineStr">
        <is>
          <t>В своей книге известный датский ассириолог, профессор копенгагенского университета, исследует многообразный и переменчивый мир Месопотамии. На основе свидетельств материальной культуры Шумера, Вавилона и расшифрованных клинописных текстов Ассирии автор прослеживает развитие культуры и распространение ремесел, способы ведения хозяйства и государственного управления древнего Междуречья, отмечает важность географического положения для развития городов страны «меж рек». С помощью щедро цитируемых на страницах этой книги писем, которыми обменивались между собой правители, автор воссоздает важные события, проливающие свет на историю развития древнего Междуречья.</t>
        </is>
      </c>
      <c r="S589" s="26">
        <f>HYPERLINK("http://www.cnpol.ru/covers/19438.jpg","фото на сайте")</f>
        <v/>
      </c>
    </row>
    <row r="590" ht="50.1" customHeight="1" s="3">
      <c r="A590" s="23" t="n"/>
      <c r="B590" s="24" t="inlineStr">
        <is>
          <t>20502</t>
        </is>
      </c>
      <c r="C590" s="23" t="inlineStr">
        <is>
          <t>ЗДН НОВ</t>
        </is>
      </c>
      <c r="D590" s="23" t="inlineStr">
        <is>
          <t>Спенс Л.</t>
        </is>
      </c>
      <c r="E590" s="23" t="inlineStr">
        <is>
          <t>Атлантида. История исчезнувшей цивилизации</t>
        </is>
      </c>
      <c r="F590" s="23" t="inlineStr">
        <is>
          <t>        </t>
        </is>
      </c>
      <c r="G590" s="23" t="n">
        <v>704</v>
      </c>
      <c r="H590" s="23" t="n">
        <v>10</v>
      </c>
      <c r="I590" s="23" t="n">
        <v>18</v>
      </c>
      <c r="J590" s="23" t="inlineStr">
        <is>
          <t>978-5-227-10191-4</t>
        </is>
      </c>
      <c r="K590" s="23" t="inlineStr">
        <is>
          <t>84x108 1/32</t>
        </is>
      </c>
      <c r="L590" s="23" t="inlineStr">
        <is>
          <t>тв</t>
        </is>
      </c>
      <c r="M590" s="23" t="n">
        <v>272</v>
      </c>
      <c r="N590" s="23" t="n">
        <v>2023</v>
      </c>
      <c r="O590" s="23" t="n">
        <v>322</v>
      </c>
      <c r="P590" s="23" t="n"/>
      <c r="Q590" s="23" t="n"/>
      <c r="R590" s="25" t="inlineStr">
        <is>
          <t>Книга Льюиса Спенса — это исследование тайн цивилизации, которая, как полагают, погрузилась в пучину океана более 11 тысяч лет назад. Ученый выдвигает основные версии и гипотезы существования Атлантиды как высокоразвитого государства с самобытной религией, традициями и культурой, простиравшего господство на все Средиземноморье.</t>
        </is>
      </c>
      <c r="S590" s="26">
        <f>HYPERLINK("http://www.cnpol.ru/covers/20502.jpg","фото на сайте")</f>
        <v/>
      </c>
    </row>
    <row r="591" ht="50.1" customHeight="1" s="3">
      <c r="A591" s="23" t="n"/>
      <c r="B591" s="24" t="inlineStr">
        <is>
          <t>19333</t>
        </is>
      </c>
      <c r="C591" s="23" t="inlineStr">
        <is>
          <t>ЗДН НОВ</t>
        </is>
      </c>
      <c r="D591" s="23" t="inlineStr">
        <is>
          <t>Сустель Ж.</t>
        </is>
      </c>
      <c r="E591" s="23" t="inlineStr">
        <is>
          <t>Ацтеки. Воинственные подданные Монтесумы</t>
        </is>
      </c>
      <c r="F591" s="23" t="inlineStr">
        <is>
          <t>        </t>
        </is>
      </c>
      <c r="G591" s="23" t="n">
        <v>704</v>
      </c>
      <c r="H591" s="23" t="n">
        <v>10</v>
      </c>
      <c r="I591" s="23" t="n">
        <v>14</v>
      </c>
      <c r="J591" s="23" t="inlineStr">
        <is>
          <t>978-5-227-09218-2</t>
        </is>
      </c>
      <c r="K591" s="23" t="inlineStr">
        <is>
          <t>84x108 1/32</t>
        </is>
      </c>
      <c r="L591" s="23" t="inlineStr">
        <is>
          <t>тв</t>
        </is>
      </c>
      <c r="M591" s="23" t="n">
        <v>288</v>
      </c>
      <c r="N591" s="23" t="n">
        <v>2020</v>
      </c>
      <c r="O591" s="23" t="n">
        <v>338</v>
      </c>
      <c r="P591" s="23" t="n"/>
      <c r="Q591" s="23" t="n"/>
      <c r="R591" s="25" t="n"/>
      <c r="S591" s="26">
        <f>HYPERLINK("http://www.cnpol.ru/covers/19333.jpg","фото на сайте")</f>
        <v/>
      </c>
    </row>
    <row r="592" ht="50.1" customHeight="1" s="3">
      <c r="A592" s="23" t="n"/>
      <c r="B592" s="24" t="inlineStr">
        <is>
          <t>19459</t>
        </is>
      </c>
      <c r="C592" s="23" t="inlineStr">
        <is>
          <t>ЗДН НОВ</t>
        </is>
      </c>
      <c r="D592" s="23" t="inlineStr">
        <is>
          <t>Гимбутас М.</t>
        </is>
      </c>
      <c r="E592" s="23" t="inlineStr">
        <is>
          <t>Балты. Люди янтарного моря</t>
        </is>
      </c>
      <c r="F592" s="23" t="inlineStr">
        <is>
          <t>        </t>
        </is>
      </c>
      <c r="G592" s="23" t="n">
        <v>704</v>
      </c>
      <c r="H592" s="23" t="n">
        <v>10</v>
      </c>
      <c r="I592" s="23" t="n">
        <v>14</v>
      </c>
      <c r="J592" s="23" t="inlineStr">
        <is>
          <t>978-5-9524-5482-8</t>
        </is>
      </c>
      <c r="K592" s="23" t="inlineStr">
        <is>
          <t>84x108 1/32</t>
        </is>
      </c>
      <c r="L592" s="23" t="inlineStr">
        <is>
          <t>тв</t>
        </is>
      </c>
      <c r="M592" s="23" t="n">
        <v>224</v>
      </c>
      <c r="N592" s="23" t="n">
        <v>2021</v>
      </c>
      <c r="O592" s="23" t="n">
        <v>316</v>
      </c>
      <c r="P592" s="23" t="n"/>
      <c r="Q592" s="23" t="n"/>
      <c r="R592" s="25" t="inlineStr">
        <is>
          <t>Всемирно известный археолог и этнограф Мария Гимбутас рассказывает о важнейших фазах развития, культуре, религиозных представлениях и быте древних балтов. В книге использованы данные экспедиций, в которых исследовательница принимала непосредственное участие.</t>
        </is>
      </c>
      <c r="S592" s="26">
        <f>HYPERLINK("http://www.cnpol.ru/covers/19459.jpg","фото на сайте")</f>
        <v/>
      </c>
    </row>
    <row r="593" ht="50.1" customHeight="1" s="3">
      <c r="A593" s="23" t="n"/>
      <c r="B593" s="24" t="inlineStr">
        <is>
          <t>19626</t>
        </is>
      </c>
      <c r="C593" s="23" t="inlineStr">
        <is>
          <t>ЗДН НОВ</t>
        </is>
      </c>
      <c r="D593" s="23" t="inlineStr">
        <is>
          <t>Жио П.­Р.</t>
        </is>
      </c>
      <c r="E593" s="23" t="inlineStr">
        <is>
          <t>Бретонцы. Романтики моря</t>
        </is>
      </c>
      <c r="F593" s="23" t="inlineStr">
        <is>
          <t>        </t>
        </is>
      </c>
      <c r="G593" s="23" t="n">
        <v>704</v>
      </c>
      <c r="H593" s="23" t="n">
        <v>10</v>
      </c>
      <c r="I593" s="23" t="n">
        <v>16</v>
      </c>
      <c r="J593" s="23" t="inlineStr">
        <is>
          <t>978-5-9524-5479-8</t>
        </is>
      </c>
      <c r="K593" s="23" t="inlineStr">
        <is>
          <t>84x108 1/32</t>
        </is>
      </c>
      <c r="L593" s="23" t="inlineStr">
        <is>
          <t>тв</t>
        </is>
      </c>
      <c r="M593" s="23" t="n">
        <v>224</v>
      </c>
      <c r="N593" s="23" t="n">
        <v>2021</v>
      </c>
      <c r="O593" s="23" t="n">
        <v>216</v>
      </c>
      <c r="P593" s="23" t="n"/>
      <c r="Q593" s="23" t="n"/>
      <c r="R593" s="25" t="inlineStr">
        <is>
          <t>Известный антрополог Пьер-Ролан Жио в своей книге рассказывает о ранних цивилизациях Бретани. Под давлением саксов часть древнекельтского племени бриттов переселилась с Британских островов в северо-западную Галлию. Автор приводит подробное описание древнейших сооружений, керамики, оружия и бытового инвентаря начиная с эпохи палеолита.</t>
        </is>
      </c>
      <c r="S593" s="26">
        <f>HYPERLINK("http://www.cnpol.ru/covers/19626.jpg","фото на сайте")</f>
        <v/>
      </c>
    </row>
    <row r="594" ht="50.1" customHeight="1" s="3">
      <c r="A594" s="23" t="n"/>
      <c r="B594" s="24" t="inlineStr">
        <is>
          <t>19458</t>
        </is>
      </c>
      <c r="C594" s="23" t="inlineStr">
        <is>
          <t>ЗДН НОВ</t>
        </is>
      </c>
      <c r="D594" s="23" t="inlineStr">
        <is>
          <t>Веллард Д</t>
        </is>
      </c>
      <c r="E594" s="23" t="inlineStr">
        <is>
          <t>Вавилоняне. Жители города Чудес</t>
        </is>
      </c>
      <c r="F594" s="23" t="inlineStr">
        <is>
          <t>        </t>
        </is>
      </c>
      <c r="G594" s="23" t="n">
        <v>704</v>
      </c>
      <c r="H594" s="23" t="n">
        <v>10</v>
      </c>
      <c r="I594" s="23" t="n">
        <v>14</v>
      </c>
      <c r="J594" s="23" t="inlineStr">
        <is>
          <t>978-5-9524-5481-1</t>
        </is>
      </c>
      <c r="K594" s="23" t="inlineStr">
        <is>
          <t>84x108 1/32</t>
        </is>
      </c>
      <c r="L594" s="23" t="inlineStr">
        <is>
          <t>тв</t>
        </is>
      </c>
      <c r="M594" s="23" t="n">
        <v>272</v>
      </c>
      <c r="N594" s="23" t="n">
        <v>2021</v>
      </c>
      <c r="O594" s="23" t="n">
        <v>322</v>
      </c>
      <c r="P594" s="23" t="n"/>
      <c r="Q594" s="23" t="n"/>
      <c r="R594" s="25" t="inlineStr">
        <is>
          <t>В книге исследуется политическая, общественная и культурная история Вавилона — центра могущественной империи Среднего Востока, более двух тысяч лет влияющего на развитие цивилизаций Древнего мира. Вы познакомитесь с периодами расцвета и падений высокоразвитой цивилизации. Узнаете о пантеоне богов и царских династиях, науке и искусстве, юриспруденции и алфавите этой легендарной культуры.</t>
        </is>
      </c>
      <c r="S594" s="26">
        <f>HYPERLINK("http://www.cnpol.ru/covers/19458.jpg","фото на сайте")</f>
        <v/>
      </c>
    </row>
    <row r="595" ht="50.1" customHeight="1" s="3">
      <c r="A595" s="23" t="n"/>
      <c r="B595" s="24" t="inlineStr">
        <is>
          <t>19460</t>
        </is>
      </c>
      <c r="C595" s="23" t="inlineStr">
        <is>
          <t>ЗДН НОВ</t>
        </is>
      </c>
      <c r="D595" s="23" t="inlineStr">
        <is>
          <t>Райс Д.Т.</t>
        </is>
      </c>
      <c r="E595" s="23" t="inlineStr">
        <is>
          <t>Византийцы. Наследники Рима</t>
        </is>
      </c>
      <c r="F595" s="23" t="inlineStr">
        <is>
          <t>        </t>
        </is>
      </c>
      <c r="G595" s="23" t="n">
        <v>704</v>
      </c>
      <c r="H595" s="23" t="n">
        <v>10</v>
      </c>
      <c r="I595" s="23" t="n">
        <v>16</v>
      </c>
      <c r="J595" s="23" t="inlineStr">
        <is>
          <t>978-5-9524-5480-4</t>
        </is>
      </c>
      <c r="K595" s="23" t="inlineStr">
        <is>
          <t>84x108 1/32</t>
        </is>
      </c>
      <c r="L595" s="23" t="inlineStr">
        <is>
          <t>тв</t>
        </is>
      </c>
      <c r="M595" s="23" t="n">
        <v>208</v>
      </c>
      <c r="N595" s="23" t="n">
        <v>2021</v>
      </c>
      <c r="O595" s="23" t="n">
        <v>304</v>
      </c>
      <c r="P595" s="23" t="n"/>
      <c r="Q595" s="23" t="n"/>
      <c r="R595" s="25" t="n"/>
      <c r="S595" s="26">
        <f>HYPERLINK("http://www.cnpol.ru/covers/19460.jpg","фото на сайте")</f>
        <v/>
      </c>
    </row>
    <row r="596" ht="50.1" customHeight="1" s="3">
      <c r="A596" s="23" t="n"/>
      <c r="B596" s="24" t="inlineStr">
        <is>
          <t>20267</t>
        </is>
      </c>
      <c r="C596" s="23" t="inlineStr">
        <is>
          <t>ЗДН НОВ</t>
        </is>
      </c>
      <c r="D596" s="23" t="inlineStr">
        <is>
          <t>Джонс Г.</t>
        </is>
      </c>
      <c r="E596" s="23" t="inlineStr">
        <is>
          <t>Викинги. Потомки Одина и Тора</t>
        </is>
      </c>
      <c r="F596" s="23" t="inlineStr">
        <is>
          <t>        </t>
        </is>
      </c>
      <c r="G596" s="23" t="n">
        <v>941</v>
      </c>
      <c r="H596" s="23" t="n">
        <v>10</v>
      </c>
      <c r="I596" s="23" t="n">
        <v>12</v>
      </c>
      <c r="J596" s="23" t="inlineStr">
        <is>
          <t>978-5-9524-5613-6</t>
        </is>
      </c>
      <c r="K596" s="23" t="inlineStr">
        <is>
          <t>84x108 1/32</t>
        </is>
      </c>
      <c r="L596" s="23" t="inlineStr">
        <is>
          <t>тв</t>
        </is>
      </c>
      <c r="M596" s="23" t="n">
        <v>415</v>
      </c>
      <c r="N596" s="23" t="n">
        <v>2022</v>
      </c>
      <c r="O596" s="23" t="n">
        <v>490</v>
      </c>
      <c r="P596" s="23" t="n"/>
      <c r="Q596" s="23" t="n"/>
      <c r="R596" s="25" t="inlineStr">
        <is>
          <t>В книге собран уникальный материал из истории эпохи викингов. Рассказано о беспрецедентной экспансии на запад, в поисках неведомых земель, жителей Скандинавии, которые говорили на одном наречии, исповедовали одну религию, признавая сходные законы, и в течение трех столетий вели жестокие войны на море и суше Западной Европы. Данные археологических исследований, анализ литературных памятников и исторических свидетельств призваны создать многомерный образ викингов.</t>
        </is>
      </c>
      <c r="S596" s="26">
        <f>HYPERLINK("http://www.cnpol.ru/covers/20267.jpg","фото на сайте")</f>
        <v/>
      </c>
    </row>
    <row r="597" ht="50.1" customHeight="1" s="3">
      <c r="A597" s="23" t="n"/>
      <c r="B597" s="24" t="inlineStr">
        <is>
          <t>19516</t>
        </is>
      </c>
      <c r="C597" s="23" t="inlineStr">
        <is>
          <t>ЗДН НОВ</t>
        </is>
      </c>
      <c r="D597" s="23" t="inlineStr">
        <is>
          <t>Лэнг Д.</t>
        </is>
      </c>
      <c r="E597" s="23" t="inlineStr">
        <is>
          <t>Грузины. Хранители святынь</t>
        </is>
      </c>
      <c r="F597" s="23" t="inlineStr">
        <is>
          <t>        </t>
        </is>
      </c>
      <c r="G597" s="23" t="n">
        <v>704</v>
      </c>
      <c r="H597" s="23" t="n">
        <v>10</v>
      </c>
      <c r="I597" s="23" t="n">
        <v>16</v>
      </c>
      <c r="J597" s="23" t="inlineStr">
        <is>
          <t>978-5-9524-5490-3</t>
        </is>
      </c>
      <c r="K597" s="23" t="inlineStr">
        <is>
          <t>84x108 1/32</t>
        </is>
      </c>
      <c r="L597" s="23" t="inlineStr">
        <is>
          <t>тв</t>
        </is>
      </c>
      <c r="M597" s="23" t="n">
        <v>224</v>
      </c>
      <c r="N597" s="23" t="n">
        <v>2021</v>
      </c>
      <c r="O597" s="23" t="n">
        <v>310</v>
      </c>
      <c r="P597" s="23" t="n"/>
      <c r="Q597" s="23" t="n"/>
      <c r="R597" s="25" t="inlineStr">
        <is>
          <t>Автор на основе археологических отчетов и материалов исторических исследований воспроизводит религиозные представления, быт древних племен, населявших территорию Грузии. Лэнг ведет свое насыщенное яркими красками подробное повествование из глубины веков до периода, который считается золотым веком в истории Грузии.</t>
        </is>
      </c>
      <c r="S597" s="26">
        <f>HYPERLINK("http://www.cnpol.ru/covers/19516.jpg","фото на сайте")</f>
        <v/>
      </c>
    </row>
    <row r="598" ht="50.1" customHeight="1" s="3">
      <c r="A598" s="23" t="n"/>
      <c r="B598" s="24" t="inlineStr">
        <is>
          <t>19781</t>
        </is>
      </c>
      <c r="C598" s="23" t="inlineStr">
        <is>
          <t>ЗДН НОВ</t>
        </is>
      </c>
      <c r="D598" s="23" t="inlineStr">
        <is>
          <t>Томпсон Э.А</t>
        </is>
      </c>
      <c r="E598" s="23" t="inlineStr">
        <is>
          <t>Гунны. Грозные воины степей</t>
        </is>
      </c>
      <c r="F598" s="23" t="inlineStr">
        <is>
          <t>        </t>
        </is>
      </c>
      <c r="G598" s="23" t="n">
        <v>704</v>
      </c>
      <c r="H598" s="23" t="n">
        <v>10</v>
      </c>
      <c r="I598" s="23" t="n">
        <v>14</v>
      </c>
      <c r="J598" s="23" t="inlineStr">
        <is>
          <t>978-5-9524-5489-7</t>
        </is>
      </c>
      <c r="K598" s="23" t="inlineStr">
        <is>
          <t>84x108 1/32</t>
        </is>
      </c>
      <c r="L598" s="23" t="inlineStr">
        <is>
          <t>тв</t>
        </is>
      </c>
      <c r="M598" s="23" t="n">
        <v>256</v>
      </c>
      <c r="N598" s="23" t="n">
        <v>2021</v>
      </c>
      <c r="O598" s="23" t="n">
        <v>160</v>
      </c>
      <c r="P598" s="23" t="n"/>
      <c r="Q598" s="23" t="n"/>
      <c r="R598" s="25" t="inlineStr">
        <is>
          <t>Гунны — первое известное государственное объединение кочевых тюркоязычных народов. Что заставило эти племена объединиться? Какими они были? Чем руководствовались римляне в торговых отношениях с гуннами? Автор отвечает на эти и многие другие вопросы, исследует материальную организацию и социальную структуру гуннского общества до Аттилы и подвергает анализу то, что было сделано этим вождем, вошедшим в анналы мировой истории.</t>
        </is>
      </c>
      <c r="S598" s="26">
        <f>HYPERLINK("http://www.cnpol.ru/covers/19781.jpg","фото на сайте")</f>
        <v/>
      </c>
    </row>
    <row r="599" ht="50.1" customHeight="1" s="3">
      <c r="A599" s="23" t="n"/>
      <c r="B599" s="24" t="inlineStr">
        <is>
          <t>20919</t>
        </is>
      </c>
      <c r="C599" s="23" t="inlineStr">
        <is>
          <t>ЗДН НОВ</t>
        </is>
      </c>
      <c r="D599" s="23" t="inlineStr">
        <is>
          <t>Дэвидсон Х.Э.</t>
        </is>
      </c>
      <c r="E599" s="23" t="inlineStr">
        <is>
          <t>Древние скандинавы. Сыны северных богов</t>
        </is>
      </c>
      <c r="F599" s="23" t="inlineStr">
        <is>
          <t>        </t>
        </is>
      </c>
      <c r="G599" s="23" t="n">
        <v>704</v>
      </c>
      <c r="H599" s="23" t="n">
        <v>10</v>
      </c>
      <c r="I599" s="23" t="n">
        <v>16</v>
      </c>
      <c r="J599" s="23" t="inlineStr">
        <is>
          <t>978-5-9524-6033-1</t>
        </is>
      </c>
      <c r="K599" s="23" t="inlineStr">
        <is>
          <t>84x108 1/32</t>
        </is>
      </c>
      <c r="L599" s="23" t="inlineStr">
        <is>
          <t>тв</t>
        </is>
      </c>
      <c r="M599" s="23" t="n">
        <v>186</v>
      </c>
      <c r="N599" s="23" t="n">
        <v>2023</v>
      </c>
      <c r="O599" s="23" t="n">
        <v>285</v>
      </c>
      <c r="P599" s="23" t="n"/>
      <c r="Q599" s="23" t="n"/>
      <c r="R599" s="25" t="inlineStr">
        <is>
          <t>Скандинавские страны — Исландия, Дания, Норвегия и Швеция, — несмотря на близость культур и традиций, все же очень отличаются друг от друга. Используя археологические отчеты, описания наскальных рисунков, анализируя и сопоставляя изделия древних ремесленников, Хильда Эллис Дэвидсон реконструировала целостную картину представлений об окружающем мире бесстрашного северного человека, создавшего пантеон языческих богов и превыше всего ценившего боевую славу и толкование мудрых рун.</t>
        </is>
      </c>
      <c r="S599" s="26">
        <f>HYPERLINK("http://www.cnpol.ru/covers/20919.jpg","фото на сайте")</f>
        <v/>
      </c>
    </row>
    <row r="600" ht="50.1" customHeight="1" s="3">
      <c r="A600" s="23" t="inlineStr">
        <is>
          <t>Н</t>
        </is>
      </c>
      <c r="B600" s="24" t="inlineStr">
        <is>
          <t>21290</t>
        </is>
      </c>
      <c r="C600" s="23" t="inlineStr">
        <is>
          <t>ЗДН НОВ</t>
        </is>
      </c>
      <c r="D600" s="23" t="inlineStr">
        <is>
          <t>Киддер Д. Э.</t>
        </is>
      </c>
      <c r="E600" s="23" t="inlineStr">
        <is>
          <t>Древние японцы. Предки легендарных самураев</t>
        </is>
      </c>
      <c r="F600" s="23" t="inlineStr">
        <is>
          <t>        </t>
        </is>
      </c>
      <c r="G600" s="23" t="n">
        <v>753</v>
      </c>
      <c r="H600" s="23" t="n">
        <v>10</v>
      </c>
      <c r="I600" s="23" t="n">
        <v>16</v>
      </c>
      <c r="J600" s="23" t="inlineStr">
        <is>
          <t>978-5-9524-6140-6</t>
        </is>
      </c>
      <c r="K600" s="23" t="inlineStr">
        <is>
          <t>84x108 1/32</t>
        </is>
      </c>
      <c r="L600" s="23" t="inlineStr">
        <is>
          <t>тв</t>
        </is>
      </c>
      <c r="M600" s="23" t="n">
        <v>286</v>
      </c>
      <c r="N600" s="23" t="n">
        <v>2024</v>
      </c>
      <c r="O600" s="23" t="n">
        <v>277</v>
      </c>
      <c r="P600" s="23" t="n"/>
      <c r="Q600" s="23" t="n"/>
      <c r="R600" s="25" t="inlineStr">
        <is>
          <t>Археологические исследования кьёкемёдингов (раковинных куч), могильных курганов и анализ древних японских хроник позволяют восстановить структуру и быт японского общества в периоды Дзёмон и Яёй. Книга знакомит с ремеслами и архитектурой, верованиями и обрядами древних японцев и представляет плеяду императоров добуддийского периода и пантеон богов, возглавляемый богиней солнца Аматэрасу.</t>
        </is>
      </c>
      <c r="S600" s="26">
        <f>HYPERLINK("http://www.cnpol.ru/covers/21290.jpg","фото на сайте")</f>
        <v/>
      </c>
    </row>
    <row r="601" ht="50.1" customHeight="1" s="3">
      <c r="A601" s="23" t="n"/>
      <c r="B601" s="24" t="inlineStr">
        <is>
          <t>19648</t>
        </is>
      </c>
      <c r="C601" s="23" t="inlineStr">
        <is>
          <t>ЗДН НОВ</t>
        </is>
      </c>
      <c r="D601" s="23" t="inlineStr">
        <is>
          <t>Пиготт С.</t>
        </is>
      </c>
      <c r="E601" s="23" t="inlineStr">
        <is>
          <t>Друиды. Поэты, ученые, прорицатели</t>
        </is>
      </c>
      <c r="F601" s="23" t="inlineStr">
        <is>
          <t>        </t>
        </is>
      </c>
      <c r="G601" s="23" t="n">
        <v>704</v>
      </c>
      <c r="H601" s="23" t="n">
        <v>10</v>
      </c>
      <c r="I601" s="23" t="n">
        <v>16</v>
      </c>
      <c r="J601" s="23" t="inlineStr">
        <is>
          <t>978-5-9524-5496-5</t>
        </is>
      </c>
      <c r="K601" s="23" t="inlineStr">
        <is>
          <t>84x108 1/32</t>
        </is>
      </c>
      <c r="L601" s="23" t="inlineStr">
        <is>
          <t>тв</t>
        </is>
      </c>
      <c r="M601" s="23" t="n">
        <v>224</v>
      </c>
      <c r="N601" s="23" t="n">
        <v>2021</v>
      </c>
      <c r="O601" s="23" t="n">
        <v>292</v>
      </c>
      <c r="P601" s="23" t="n"/>
      <c r="Q601" s="23" t="n"/>
      <c r="R601" s="25" t="inlineStr">
        <is>
          <t>Знаменитый ученый, профессор Стюарт Пиготт в Своей Блестящей книге изящно и остроумно представил все за и против сложного и очень запутанного вопроса о том, кто же такие были друиды древних кельтов. Знаток археологии и классических источников Пиготт разоблачает лженаучные теории недобросовестных ученых.</t>
        </is>
      </c>
      <c r="S601" s="26">
        <f>HYPERLINK("http://www.cnpol.ru/covers/19648.jpg","фото на сайте")</f>
        <v/>
      </c>
    </row>
    <row r="602" ht="50.1" customHeight="1" s="3">
      <c r="A602" s="23" t="n"/>
      <c r="B602" s="24" t="inlineStr">
        <is>
          <t>19861</t>
        </is>
      </c>
      <c r="C602" s="23" t="inlineStr">
        <is>
          <t>ЗДН НОВ</t>
        </is>
      </c>
      <c r="D602" s="23" t="inlineStr">
        <is>
          <t>Альдред С.</t>
        </is>
      </c>
      <c r="E602" s="23" t="inlineStr">
        <is>
          <t>Египтяне. Великие строители пирамид</t>
        </is>
      </c>
      <c r="F602" s="23" t="inlineStr">
        <is>
          <t>        </t>
        </is>
      </c>
      <c r="G602" s="23" t="n">
        <v>704</v>
      </c>
      <c r="H602" s="23" t="n">
        <v>10</v>
      </c>
      <c r="I602" s="23" t="n">
        <v>12</v>
      </c>
      <c r="J602" s="23" t="inlineStr">
        <is>
          <t>978-5-9524-5535-1</t>
        </is>
      </c>
      <c r="K602" s="23" t="inlineStr">
        <is>
          <t>84x108 1/32</t>
        </is>
      </c>
      <c r="L602" s="23" t="inlineStr">
        <is>
          <t>тв</t>
        </is>
      </c>
      <c r="M602" s="23" t="n">
        <v>190</v>
      </c>
      <c r="N602" s="23" t="n">
        <v>2021</v>
      </c>
      <c r="O602" s="23" t="n">
        <v>300</v>
      </c>
      <c r="P602" s="23" t="n"/>
      <c r="Q602" s="23" t="n"/>
      <c r="R602" s="25" t="inlineStr">
        <is>
          <t>Увлекательный экскурс в древнюю историю плодородной долины Нила - в царство светоносного Ра и животворящего Осириса. Автор на основе археологических находок и древних исторических источников создает летопись загадочной страны от момента возникновения уникальной цивилизации до победоносного вторжения на землю египтян Александра Македонского.</t>
        </is>
      </c>
      <c r="S602" s="26">
        <f>HYPERLINK("http://www.cnpol.ru/covers/19861.jpg","фото на сайте")</f>
        <v/>
      </c>
    </row>
    <row r="603" ht="50.1" customHeight="1" s="3">
      <c r="A603" s="23" t="n"/>
      <c r="B603" s="24" t="inlineStr">
        <is>
          <t>19686</t>
        </is>
      </c>
      <c r="C603" s="23" t="inlineStr">
        <is>
          <t>ЗДН НОВ</t>
        </is>
      </c>
      <c r="D603" s="23" t="inlineStr">
        <is>
          <t>Пауэлл Т.</t>
        </is>
      </c>
      <c r="E603" s="23" t="inlineStr">
        <is>
          <t>Кельты. Воины и маги</t>
        </is>
      </c>
      <c r="F603" s="23" t="inlineStr">
        <is>
          <t>        </t>
        </is>
      </c>
      <c r="G603" s="23" t="n">
        <v>822</v>
      </c>
      <c r="H603" s="23" t="n">
        <v>10</v>
      </c>
      <c r="I603" s="23" t="n">
        <v>16</v>
      </c>
      <c r="J603" s="23" t="inlineStr">
        <is>
          <t>978-5-9524-5540-5</t>
        </is>
      </c>
      <c r="K603" s="23" t="inlineStr">
        <is>
          <t>84x108 1/32</t>
        </is>
      </c>
      <c r="L603" s="23" t="inlineStr">
        <is>
          <t>тв</t>
        </is>
      </c>
      <c r="M603" s="23" t="n">
        <v>240</v>
      </c>
      <c r="N603" s="23" t="n">
        <v>2021</v>
      </c>
      <c r="O603" s="23" t="n">
        <v>346</v>
      </c>
      <c r="P603" s="23" t="n"/>
      <c r="Q603" s="23" t="n"/>
      <c r="R603" s="25" t="inlineStr">
        <is>
          <t>В книге собран уникальный материал об истории древних кельтов — первого из заселявших земли к северу от Альп великих народов, чье название нам известно. Обилие археологического материала, свидетельства античных историков, кельтское литературное наследие и результаты современных филологических исследований...</t>
        </is>
      </c>
      <c r="S603" s="26">
        <f>HYPERLINK("http://www.cnpol.ru/covers/19686.jpg","фото на сайте")</f>
        <v/>
      </c>
    </row>
    <row r="604" ht="50.1" customHeight="1" s="3">
      <c r="A604" s="23" t="n"/>
      <c r="B604" s="24" t="inlineStr">
        <is>
          <t>20679</t>
        </is>
      </c>
      <c r="C604" s="23" t="inlineStr">
        <is>
          <t>ЗДН НОВ</t>
        </is>
      </c>
      <c r="D604" s="23" t="inlineStr">
        <is>
          <t>Ко М.</t>
        </is>
      </c>
      <c r="E604" s="23" t="inlineStr">
        <is>
          <t>Майя. Исчезнувшая цивилизация: легенды и факты</t>
        </is>
      </c>
      <c r="F604" s="23" t="inlineStr">
        <is>
          <t>        </t>
        </is>
      </c>
      <c r="G604" s="23" t="n">
        <v>704</v>
      </c>
      <c r="H604" s="23" t="n">
        <v>10</v>
      </c>
      <c r="I604" s="23" t="n">
        <v>18</v>
      </c>
      <c r="J604" s="23" t="inlineStr">
        <is>
          <t>978-5-9524-5653-2</t>
        </is>
      </c>
      <c r="K604" s="23" t="inlineStr">
        <is>
          <t>84x108 1/32</t>
        </is>
      </c>
      <c r="L604" s="23" t="inlineStr">
        <is>
          <t>тв</t>
        </is>
      </c>
      <c r="M604" s="23" t="n">
        <v>237</v>
      </c>
      <c r="N604" s="23" t="n">
        <v>2023</v>
      </c>
      <c r="O604" s="23" t="n">
        <v>335</v>
      </c>
      <c r="P604" s="23" t="n"/>
      <c r="Q604" s="23" t="n"/>
      <c r="R604" s="25" t="inlineStr">
        <is>
          <t>Книга Майкла Ко, профессора антропологии Йельского университета, автора нескольких научно-популярных исследований цивилизаций Мезоамерики, — увлекательный рассказ о зарождении, расцвете и крушении цивилизации майя, чья история на протяжении полутора веков вызывает повышенный интерес ученых и неспециалистов. Вы узнаете много интересного о достижениях древнего народа в области математики, письменности, астрономии, искусства, архитектуры. Специальная статья посвящена трудам российского ученого Ю.В. Кнорозова, внесшего неоценимый вклад в расшифровку письменности майя.</t>
        </is>
      </c>
      <c r="S604" s="26">
        <f>HYPERLINK("http://www.cnpol.ru/covers/20679.jpg","фото на сайте")</f>
        <v/>
      </c>
    </row>
    <row r="605" ht="50.1" customHeight="1" s="3">
      <c r="A605" s="23" t="n"/>
      <c r="B605" s="24" t="inlineStr">
        <is>
          <t>20764</t>
        </is>
      </c>
      <c r="C605" s="23" t="inlineStr">
        <is>
          <t>ЗДН НОВ</t>
        </is>
      </c>
      <c r="D605" s="23" t="inlineStr">
        <is>
          <t>Филипс Э.Д.</t>
        </is>
      </c>
      <c r="E605" s="23" t="inlineStr">
        <is>
          <t>Монголы. Основатели империи Великих ханов</t>
        </is>
      </c>
      <c r="F605" s="23" t="inlineStr">
        <is>
          <t>        </t>
        </is>
      </c>
      <c r="G605" s="23" t="n">
        <v>704</v>
      </c>
      <c r="H605" s="23" t="n">
        <v>10</v>
      </c>
      <c r="I605" s="23" t="n">
        <v>16</v>
      </c>
      <c r="J605" s="23" t="inlineStr">
        <is>
          <t>978-5-9524-5872-7</t>
        </is>
      </c>
      <c r="K605" s="23" t="inlineStr">
        <is>
          <t>84x108 1/32</t>
        </is>
      </c>
      <c r="L605" s="23" t="inlineStr">
        <is>
          <t>тв</t>
        </is>
      </c>
      <c r="M605" s="23" t="n">
        <v>174</v>
      </c>
      <c r="N605" s="23" t="n">
        <v>2023</v>
      </c>
      <c r="O605" s="23" t="n">
        <v>264</v>
      </c>
      <c r="P605" s="23" t="n"/>
      <c r="Q605" s="23" t="n"/>
      <c r="R605" s="25" t="inlineStr">
        <is>
          <t>В книге исследуются наиболее значимые миграции и завоевания кочевников северных степей XIII—XIV вв., их образ жизни, культура, обычаи, верования и быт. Начатые Чингисханом завоевательные походы, прокатившиеся мощным потоком по Азии и Европе, позволили образовать огромную монгольскую державу, диктующую на протяжении долгого времени свою волю другим народам.</t>
        </is>
      </c>
      <c r="S605" s="26">
        <f>HYPERLINK("http://www.cnpol.ru/covers/20764.jpg","фото на сайте")</f>
        <v/>
      </c>
    </row>
    <row r="606" ht="50.1" customHeight="1" s="3">
      <c r="A606" s="23" t="n"/>
      <c r="B606" s="24" t="inlineStr">
        <is>
          <t>19728</t>
        </is>
      </c>
      <c r="C606" s="23" t="inlineStr">
        <is>
          <t>ЗДН НОВ</t>
        </is>
      </c>
      <c r="D606" s="23" t="inlineStr">
        <is>
          <t>Райс Д.Т.</t>
        </is>
      </c>
      <c r="E606" s="23" t="inlineStr">
        <is>
          <t>Скифы. Строители степных пирамид</t>
        </is>
      </c>
      <c r="F606" s="23" t="inlineStr">
        <is>
          <t>        </t>
        </is>
      </c>
      <c r="G606" s="23" t="n">
        <v>704</v>
      </c>
      <c r="H606" s="23" t="n">
        <v>10</v>
      </c>
      <c r="I606" s="23" t="n">
        <v>14</v>
      </c>
      <c r="J606" s="23" t="inlineStr">
        <is>
          <t>978-5-9524-5541-2</t>
        </is>
      </c>
      <c r="K606" s="23" t="inlineStr">
        <is>
          <t>84x108 1/32</t>
        </is>
      </c>
      <c r="L606" s="23" t="inlineStr">
        <is>
          <t>тв</t>
        </is>
      </c>
      <c r="M606" s="23" t="n">
        <v>224</v>
      </c>
      <c r="N606" s="23" t="n">
        <v>2021</v>
      </c>
      <c r="O606" s="23" t="n">
        <v>220</v>
      </c>
      <c r="P606" s="23" t="n"/>
      <c r="Q606" s="23" t="n"/>
      <c r="R606" s="25" t="n"/>
      <c r="S606" s="26">
        <f>HYPERLINK("http://www.cnpol.ru/covers/19728.jpg","фото на сайте")</f>
        <v/>
      </c>
    </row>
    <row r="607" ht="50.1" customHeight="1" s="3">
      <c r="A607" s="23" t="n"/>
      <c r="B607" s="24" t="inlineStr">
        <is>
          <t>19081</t>
        </is>
      </c>
      <c r="C607" s="23" t="inlineStr">
        <is>
          <t>ЗДН НОВ</t>
        </is>
      </c>
      <c r="D607" s="23" t="inlineStr">
        <is>
          <t>Гимбутас М.</t>
        </is>
      </c>
      <c r="E607" s="23" t="inlineStr">
        <is>
          <t>Славяне. Сыны Перуна</t>
        </is>
      </c>
      <c r="F607" s="23" t="inlineStr">
        <is>
          <t>        </t>
        </is>
      </c>
      <c r="G607" s="23" t="n">
        <v>704</v>
      </c>
      <c r="H607" s="23" t="n">
        <v>10</v>
      </c>
      <c r="I607" s="23" t="n">
        <v>20</v>
      </c>
      <c r="J607" s="23" t="inlineStr">
        <is>
          <t>978-5-9524-5412-5</t>
        </is>
      </c>
      <c r="K607" s="23" t="inlineStr">
        <is>
          <t>84x108 1/32</t>
        </is>
      </c>
      <c r="L607" s="23" t="inlineStr">
        <is>
          <t>тв</t>
        </is>
      </c>
      <c r="M607" s="23" t="n">
        <v>224</v>
      </c>
      <c r="N607" s="23" t="n">
        <v>2020</v>
      </c>
      <c r="O607" s="23" t="n">
        <v>302</v>
      </c>
      <c r="P607" s="23" t="n"/>
      <c r="Q607" s="23" t="n"/>
      <c r="R607" s="25" t="n"/>
      <c r="S607" s="26">
        <f>HYPERLINK("http://www.cnpol.ru/covers/19081.jpg","фото на сайте")</f>
        <v/>
      </c>
    </row>
    <row r="608" ht="50.1" customHeight="1" s="3">
      <c r="A608" s="23" t="n"/>
      <c r="B608" s="24" t="inlineStr">
        <is>
          <t>20615</t>
        </is>
      </c>
      <c r="C608" s="23" t="inlineStr">
        <is>
          <t>ЗДН НОВ</t>
        </is>
      </c>
      <c r="D608" s="23" t="inlineStr">
        <is>
          <t>Гимбутас М.</t>
        </is>
      </c>
      <c r="E608" s="23" t="inlineStr">
        <is>
          <t>Славяне. Сыны Перуна</t>
        </is>
      </c>
      <c r="F608" s="23" t="inlineStr">
        <is>
          <t>        </t>
        </is>
      </c>
      <c r="G608" s="23" t="n">
        <v>704</v>
      </c>
      <c r="H608" s="23" t="n">
        <v>10</v>
      </c>
      <c r="I608" s="23" t="n">
        <v>14</v>
      </c>
      <c r="J608" s="23" t="inlineStr">
        <is>
          <t>978-5-9524-5907-6</t>
        </is>
      </c>
      <c r="K608" s="23" t="inlineStr">
        <is>
          <t>84x108 1/32</t>
        </is>
      </c>
      <c r="L608" s="23" t="inlineStr">
        <is>
          <t>тв</t>
        </is>
      </c>
      <c r="M608" s="23" t="n">
        <v>224</v>
      </c>
      <c r="N608" s="23" t="n">
        <v>2023</v>
      </c>
      <c r="O608" s="23" t="n">
        <v>302</v>
      </c>
      <c r="P608" s="23" t="n"/>
      <c r="Q608" s="23" t="n"/>
      <c r="R608" s="25" t="inlineStr">
        <is>
          <t>Всемирно известный археолог и этнограф Мария Гимбутас на основе археологических, исторических и лингвистических материалов, обобщенных в книге, рисует величественную панораму раннего развития славян. Это позволяет реконструировать материальную куль¬туру, религиозные представления и быт древних славян, установить по возможности точную хронологию важнейших фаз развития групп народов, объединенных общностью происхождения и единой языковой группой.</t>
        </is>
      </c>
      <c r="S608" s="26">
        <f>HYPERLINK("http://www.cnpol.ru/covers/20615.jpg","фото на сайте")</f>
        <v/>
      </c>
    </row>
    <row r="609" ht="50.1" customHeight="1" s="3">
      <c r="A609" s="23" t="inlineStr">
        <is>
          <t>Н</t>
        </is>
      </c>
      <c r="B609" s="24" t="inlineStr">
        <is>
          <t>21042</t>
        </is>
      </c>
      <c r="C609" s="23" t="inlineStr">
        <is>
          <t>ЗДН НОВ</t>
        </is>
      </c>
      <c r="D609" s="23" t="inlineStr">
        <is>
          <t>Эдуард Паркер</t>
        </is>
      </c>
      <c r="E609" s="23" t="inlineStr">
        <is>
          <t>Татары. История возникновения великого народа</t>
        </is>
      </c>
      <c r="F609" s="23" t="inlineStr">
        <is>
          <t>        </t>
        </is>
      </c>
      <c r="G609" s="23" t="n">
        <v>704</v>
      </c>
      <c r="H609" s="23" t="n">
        <v>10</v>
      </c>
      <c r="I609" s="23" t="n">
        <v>20</v>
      </c>
      <c r="J609" s="23" t="inlineStr">
        <is>
          <t>978-5-9524-6106-2</t>
        </is>
      </c>
      <c r="K609" s="23" t="inlineStr">
        <is>
          <t>84x108 1/32</t>
        </is>
      </c>
      <c r="L609" s="23" t="inlineStr">
        <is>
          <t>тв</t>
        </is>
      </c>
      <c r="M609" s="23" t="n">
        <v>223</v>
      </c>
      <c r="N609" s="23" t="n">
        <v>2024</v>
      </c>
      <c r="O609" s="23" t="n">
        <v>175</v>
      </c>
      <c r="P609" s="23" t="n"/>
      <c r="Q609" s="23" t="n"/>
      <c r="R609" s="25" t="inlineStr">
        <is>
          <t>Увлекательный экскурс известного ученого Эдуарда Паркера в историю кочевых племен Восточной Азии познакомит вас с происхождением, формированием и эволюцией конгломерата, сложившегося в результате сложных и противоречивых исторических процессов. В этой уникальной книге повествуется о быте, традициях и социальной структуре татарского народа, прослеживаются династические связи правящей верхушки, рассказывается о кровопролитных сражениях и создании кочевых империй.</t>
        </is>
      </c>
      <c r="S609" s="26">
        <f>HYPERLINK("http://www.cnpol.ru/covers/21042.jpg","фото на сайте")</f>
        <v/>
      </c>
    </row>
    <row r="610" ht="50.1" customHeight="1" s="3">
      <c r="A610" s="23" t="n"/>
      <c r="B610" s="24" t="inlineStr">
        <is>
          <t>20811</t>
        </is>
      </c>
      <c r="C610" s="23" t="inlineStr">
        <is>
          <t>ЗДН НОВ</t>
        </is>
      </c>
      <c r="D610" s="23" t="inlineStr">
        <is>
          <t>Блеген К.</t>
        </is>
      </c>
      <c r="E610" s="23" t="inlineStr">
        <is>
          <t>Троянцы. Боги и герои города-призрака</t>
        </is>
      </c>
      <c r="F610" s="23" t="inlineStr">
        <is>
          <t>        </t>
        </is>
      </c>
      <c r="G610" s="23" t="n">
        <v>704</v>
      </c>
      <c r="H610" s="23" t="n">
        <v>10</v>
      </c>
      <c r="I610" s="23" t="n">
        <v>14</v>
      </c>
      <c r="J610" s="23" t="inlineStr">
        <is>
          <t>978-5-9524-6005-8</t>
        </is>
      </c>
      <c r="K610" s="23" t="inlineStr">
        <is>
          <t>84x108 1/32</t>
        </is>
      </c>
      <c r="L610" s="23" t="inlineStr">
        <is>
          <t>тв</t>
        </is>
      </c>
      <c r="M610" s="23" t="n">
        <v>223</v>
      </c>
      <c r="N610" s="23" t="n">
        <v>2023</v>
      </c>
      <c r="O610" s="23" t="n">
        <v>321</v>
      </c>
      <c r="P610" s="23" t="n"/>
      <c r="Q610" s="23" t="n"/>
      <c r="R610" s="25" t="inlineStr">
        <is>
          <t>В книге подробно описаны героические и драматические факты истории легендарной Трои, воспетой Гомером в бессмертной «Илиаде», города, до конца XIX века считавшегося плодом воображения великого античного поэта и обнаруженного знаменитым археологом-любителем Генрихом Шлиманом.</t>
        </is>
      </c>
      <c r="S610" s="26">
        <f>HYPERLINK("http://www.cnpol.ru/covers/20811.jpg","фото на сайте")</f>
        <v/>
      </c>
    </row>
    <row r="611" ht="50.1" customHeight="1" s="3">
      <c r="A611" s="23" t="n"/>
      <c r="B611" s="24" t="inlineStr">
        <is>
          <t>20424</t>
        </is>
      </c>
      <c r="C611" s="23" t="inlineStr">
        <is>
          <t>ЗДН НОВ</t>
        </is>
      </c>
      <c r="D611" s="23" t="inlineStr">
        <is>
          <t>Харден Д.</t>
        </is>
      </c>
      <c r="E611" s="23" t="inlineStr">
        <is>
          <t>Финикийцы. Основатели Карфагена</t>
        </is>
      </c>
      <c r="F611" s="23" t="inlineStr">
        <is>
          <t>        </t>
        </is>
      </c>
      <c r="G611" s="23" t="n">
        <v>741</v>
      </c>
      <c r="H611" s="23" t="n">
        <v>10</v>
      </c>
      <c r="I611" s="23" t="n">
        <v>16</v>
      </c>
      <c r="J611" s="23" t="inlineStr">
        <is>
          <t>978-5-9524-5568-9</t>
        </is>
      </c>
      <c r="K611" s="23" t="inlineStr">
        <is>
          <t>84x108 1/32</t>
        </is>
      </c>
      <c r="L611" s="23" t="inlineStr">
        <is>
          <t>тв</t>
        </is>
      </c>
      <c r="M611" s="23" t="n">
        <v>263</v>
      </c>
      <c r="N611" s="23" t="n">
        <v>2022</v>
      </c>
      <c r="O611" s="23" t="n">
        <v>170</v>
      </c>
      <c r="P611" s="23" t="n"/>
      <c r="Q611" s="23" t="n"/>
      <c r="R611" s="25" t="inlineStr">
        <is>
          <t>Книга посвящена истории финикийцев — маленького воинственного народа, который заставил считаться с собой все могущественные государства древнего Средиземноморья. Подробно повествуется о нравах и обычаях, религиозных и светских обрядах финикийцев, о великолепных мастерах ювелирного и оружейного дела, резьбы по слоновой кости, камню, металлу, а также изложена история создания древнейшего алфавита — высшего достижения финикийской культуры, которое оказало мощное влияние на все последующие цивилизации Старого Света.</t>
        </is>
      </c>
      <c r="S611" s="26">
        <f>HYPERLINK("http://www.cnpol.ru/covers/20424.jpg","фото на сайте")</f>
        <v/>
      </c>
    </row>
    <row r="612" ht="50.1" customHeight="1" s="3">
      <c r="A612" s="23" t="n"/>
      <c r="B612" s="24" t="inlineStr">
        <is>
          <t>20835</t>
        </is>
      </c>
      <c r="C612" s="23" t="inlineStr">
        <is>
          <t>ЗДН НОВ</t>
        </is>
      </c>
      <c r="D612" s="23" t="inlineStr">
        <is>
          <t>Крамер С.</t>
        </is>
      </c>
      <c r="E612" s="23" t="inlineStr">
        <is>
          <t>Шумеры. Первая цивилизация на Земле</t>
        </is>
      </c>
      <c r="F612" s="23" t="inlineStr">
        <is>
          <t>        </t>
        </is>
      </c>
      <c r="G612" s="23" t="n">
        <v>888</v>
      </c>
      <c r="H612" s="23" t="n">
        <v>10</v>
      </c>
      <c r="I612" s="23" t="n">
        <v>14</v>
      </c>
      <c r="J612" s="23" t="inlineStr">
        <is>
          <t>978-5-9524-6012-6</t>
        </is>
      </c>
      <c r="K612" s="23" t="inlineStr">
        <is>
          <t>84x108 1/32</t>
        </is>
      </c>
      <c r="L612" s="23" t="inlineStr">
        <is>
          <t>тв</t>
        </is>
      </c>
      <c r="M612" s="23" t="n">
        <v>384</v>
      </c>
      <c r="N612" s="23" t="n">
        <v>2023</v>
      </c>
      <c r="O612" s="23" t="n">
        <v>429</v>
      </c>
      <c r="P612" s="23" t="n"/>
      <c r="Q612" s="23" t="n"/>
      <c r="R612" s="25" t="n"/>
      <c r="S612" s="26">
        <f>HYPERLINK("http://www.cnpol.ru/covers/20835.jpg","фото на сайте")</f>
        <v/>
      </c>
    </row>
    <row r="613" ht="50.1" customHeight="1" s="3">
      <c r="A613" s="23" t="n"/>
      <c r="B613" s="24" t="inlineStr">
        <is>
          <t>17686</t>
        </is>
      </c>
      <c r="C613" s="23" t="inlineStr">
        <is>
          <t>ЗДОРОВО</t>
        </is>
      </c>
      <c r="D613" s="23" t="inlineStr">
        <is>
          <t>Абрикосова Л.</t>
        </is>
      </c>
      <c r="E613" s="23" t="inlineStr">
        <is>
          <t>Здоровье кишечника</t>
        </is>
      </c>
      <c r="F613" s="23" t="inlineStr">
        <is>
          <t>        </t>
        </is>
      </c>
      <c r="G613" s="23" t="n">
        <v>168</v>
      </c>
      <c r="H613" s="23" t="n">
        <v>10</v>
      </c>
      <c r="I613" s="23" t="n">
        <v>24</v>
      </c>
      <c r="J613" s="23" t="inlineStr">
        <is>
          <t>978-5-227-07379-2</t>
        </is>
      </c>
      <c r="K613" s="23" t="inlineStr">
        <is>
          <t>84x108 1/32 (обл)</t>
        </is>
      </c>
      <c r="L613" s="23" t="inlineStr">
        <is>
          <t>мяг</t>
        </is>
      </c>
      <c r="M613" s="23" t="n">
        <v>128</v>
      </c>
      <c r="N613" s="23" t="n">
        <v>2017</v>
      </c>
      <c r="O613" s="23" t="n">
        <v>86</v>
      </c>
      <c r="P613" s="23" t="n"/>
      <c r="Q613" s="23" t="n"/>
      <c r="R613" s="25" t="inlineStr">
        <is>
          <t>Боли в животе, нарушения стула, спазмы, ощущение тяжести испытывали буквально все, а многие мучаются от этих симптомов долгие годы. Но… терпят, к врачу не идут, надеются, что само пройдет. Может и пройти, если пожизненно соблюдать диету. Но ведь это так сложно! Людей, которые питаются здоровой пищей, можно пересчитать по пальцам. Очень часто встречается нарушение микрофлоры кишечника, и вот уже у каждого второго диагностируют дисбактериоз, а вслед за ним и ослабление иммунитета, энтероколиты и колиты… Обо всех этих недугах мы расскажем в книге… Также речь пойдет о целиакии — очень тяжелом системном заболевании, которое достаточно эффективно лечится одной диетой._x000D_
Купите нашу книгу о здоровье кишечника, вооружитесь знаниями, прочтите о возможных способах избавления от проблем. В лечении кишечных заболеваний важную роль играет немедикаментозное лечение: диеты, отвары и настои лекарственных трав — все это будет подробно и доходчиво описано в книге. И хочется пожелать, чтобы все познания, приобретенные после прочтения, никогда не пригодились на практике…</t>
        </is>
      </c>
      <c r="S613" s="26">
        <f>HYPERLINK("http://www.cnpol.ru/covers/17686.jpg","фото на сайте")</f>
        <v/>
      </c>
    </row>
    <row r="614" ht="50.1" customHeight="1" s="3">
      <c r="A614" s="23" t="inlineStr">
        <is>
          <t>Д</t>
        </is>
      </c>
      <c r="B614" s="24" t="inlineStr">
        <is>
          <t>21721</t>
        </is>
      </c>
      <c r="C614" s="23" t="inlineStr">
        <is>
          <t>ЗДОРОВО</t>
        </is>
      </c>
      <c r="D614" s="23" t="inlineStr">
        <is>
          <t>Хакетт К.</t>
        </is>
      </c>
      <c r="E614" s="23" t="inlineStr">
        <is>
          <t>Хорошее зрение за 12 недель. Быстро и навсегда</t>
        </is>
      </c>
      <c r="F614" s="23" t="inlineStr">
        <is>
          <t>        </t>
        </is>
      </c>
      <c r="G614" s="23" t="n">
        <v>276</v>
      </c>
      <c r="H614" s="23" t="n">
        <v>10</v>
      </c>
      <c r="I614" s="23" t="n">
        <v>10</v>
      </c>
      <c r="J614" s="23" t="inlineStr">
        <is>
          <t>978-5-9524-6196-3</t>
        </is>
      </c>
      <c r="K614" s="23" t="inlineStr">
        <is>
          <t>84x108 1/32</t>
        </is>
      </c>
      <c r="L614" s="23" t="inlineStr">
        <is>
          <t>мяг</t>
        </is>
      </c>
      <c r="M614" s="23" t="n">
        <v>302</v>
      </c>
      <c r="N614" s="23" t="n">
        <v>2025</v>
      </c>
      <c r="O614" s="23" t="n">
        <v>182</v>
      </c>
      <c r="P614" s="23" t="n"/>
      <c r="Q614" s="23" t="n"/>
      <c r="R614" s="25" t="inlineStr">
        <is>
          <t>Книга знакомит с двенадцатинедельной программой Клары Хакетт – простых и очень эффективных тренировок и упражнений, основанных на прославленном методе Уильяма Бейтса, которые рекомендуются для исправления близорукости, дальнозоркости, косоглазия, плохого различения цветов и оттенков. Благодаря регулярным занятиям по этой программе вы легко скорректируете любые дефекты, сможете не только остановить начало многих заболеваний, но и обойтись без очков, контактных линз и оперативного вмешательства.</t>
        </is>
      </c>
      <c r="S614" s="26">
        <f>HYPERLINK("http://www.cnpol.ru/covers/21721.jpg","фото на сайте")</f>
        <v/>
      </c>
    </row>
    <row r="615" ht="50.1" customHeight="1" s="3">
      <c r="A615" s="23" t="n"/>
      <c r="B615" s="24" t="inlineStr">
        <is>
          <t>11633</t>
        </is>
      </c>
      <c r="C615" s="23" t="inlineStr">
        <is>
          <t>ЗИХ</t>
        </is>
      </c>
      <c r="D615" s="23" t="inlineStr">
        <is>
          <t>Любецкий А.</t>
        </is>
      </c>
      <c r="E615" s="23" t="inlineStr">
        <is>
          <t>Мой дом моя крепость или как задобрить домового</t>
        </is>
      </c>
      <c r="F615" s="23" t="inlineStr">
        <is>
          <t>        </t>
        </is>
      </c>
      <c r="G615" s="23" t="n">
        <v>150</v>
      </c>
      <c r="H615" s="23" t="n">
        <v>22</v>
      </c>
      <c r="I615" s="23" t="n">
        <v>26</v>
      </c>
      <c r="J615" s="23" t="inlineStr">
        <is>
          <t>978-5-9524-4675-5</t>
        </is>
      </c>
      <c r="K615" s="23" t="inlineStr">
        <is>
          <t>84x108 1/32 (обл)</t>
        </is>
      </c>
      <c r="L615" s="23" t="inlineStr">
        <is>
          <t>мяг</t>
        </is>
      </c>
      <c r="M615" s="23" t="n">
        <v>158</v>
      </c>
      <c r="N615" s="23" t="n">
        <v>2009</v>
      </c>
      <c r="O615" s="23" t="n">
        <v>100</v>
      </c>
      <c r="P615" s="23" t="n"/>
      <c r="Q615" s="23" t="n"/>
      <c r="R615" s="25" t="n"/>
      <c r="S615" s="26">
        <f>HYPERLINK("http://www.cnpol.ru/covers/11633.jpg","фото на сайте")</f>
        <v/>
      </c>
    </row>
    <row r="616" ht="50.1" customHeight="1" s="3">
      <c r="A616" s="23" t="n"/>
      <c r="B616" s="24" t="inlineStr">
        <is>
          <t>19756</t>
        </is>
      </c>
      <c r="C616" s="23" t="inlineStr">
        <is>
          <t>ЗЛФ</t>
        </is>
      </c>
      <c r="D616" s="23" t="inlineStr">
        <is>
          <t>Хартлауб Ф.</t>
        </is>
      </c>
      <c r="E616" s="23" t="inlineStr">
        <is>
          <t>В особо охраняемой зоне. Дневник солдата ставки Гитлера. 1939-1945</t>
        </is>
      </c>
      <c r="F616" s="23" t="inlineStr">
        <is>
          <t>        </t>
        </is>
      </c>
      <c r="G616" s="23" t="n">
        <v>460</v>
      </c>
      <c r="H616" s="23" t="n">
        <v>10</v>
      </c>
      <c r="I616" s="23" t="n">
        <v>18</v>
      </c>
      <c r="J616" s="23" t="inlineStr">
        <is>
          <t>978-5-9524-5569-6</t>
        </is>
      </c>
      <c r="K616" s="23" t="inlineStr">
        <is>
          <t>84x108 1/32</t>
        </is>
      </c>
      <c r="L616" s="23" t="inlineStr">
        <is>
          <t>тв</t>
        </is>
      </c>
      <c r="M616" s="23" t="n">
        <v>224</v>
      </c>
      <c r="N616" s="23" t="n">
        <v>2021</v>
      </c>
      <c r="O616" s="23" t="n">
        <v>218</v>
      </c>
      <c r="P616" s="23" t="n"/>
      <c r="Q616" s="23" t="n"/>
      <c r="R616" s="25" t="inlineStr">
        <is>
          <t>В первые годы Второй мировой войны обер­ефрейтор Феликс Хартлауб служил в заградительном батальоне в Рурской области. Во время оккупации Парижа он работал в архивной комиссии иностранных дел, а затем оказался в ставке Гитлера. Здесь, в охраняемой от всего мира секретной зоне, Хартлауб вел официальный журнал боевых действий и втайне в своем дневнике делал записи личных наблюдений за повседневной жизнью главного штаба фюрера. Его свидетельства дают возможность взглянуть на события с неожиданного ракурса, представляя картину ведения тотальной войны из тайной ставки Гитлера. В мае 1945 г., когда ведение журнала боевых действий потеряло какой­либо смысл, обер­ефрейтор был  направлен в пехотный полк для участия в боях за Берлин, но по пути к месту назначения пропал без вести. В 1955 г. дневник был опубликован семьей автора.</t>
        </is>
      </c>
      <c r="S616" s="26">
        <f>HYPERLINK("http://www.cnpol.ru/covers/19756.jpg","фото на сайте")</f>
        <v/>
      </c>
    </row>
    <row r="617" ht="50.1" customHeight="1" s="3">
      <c r="A617" s="23" t="n"/>
      <c r="B617" s="24" t="inlineStr">
        <is>
          <t>17182</t>
        </is>
      </c>
      <c r="C617" s="23" t="inlineStr">
        <is>
          <t>ЗЛФ</t>
        </is>
      </c>
      <c r="D617" s="23" t="inlineStr">
        <is>
          <t>Аакен В.фон</t>
        </is>
      </c>
      <c r="E617" s="23" t="inlineStr">
        <is>
          <t>Ведьмин котел на восточном фронте . Решающие сражение Второй мировой войны. 1941-1945</t>
        </is>
      </c>
      <c r="F617" s="23" t="inlineStr">
        <is>
          <t>        </t>
        </is>
      </c>
      <c r="G617" s="23" t="n">
        <v>593</v>
      </c>
      <c r="H617" s="23" t="n">
        <v>10</v>
      </c>
      <c r="I617" s="23" t="n">
        <v>16</v>
      </c>
      <c r="J617" s="23" t="inlineStr">
        <is>
          <t>978-5-9524-5214-5</t>
        </is>
      </c>
      <c r="K617" s="23" t="inlineStr">
        <is>
          <t>84x108 1/32</t>
        </is>
      </c>
      <c r="L617" s="23" t="inlineStr">
        <is>
          <t>тв</t>
        </is>
      </c>
      <c r="M617" s="23" t="n">
        <v>224</v>
      </c>
      <c r="N617" s="23" t="n">
        <v>2016</v>
      </c>
      <c r="O617" s="23" t="n">
        <v>238</v>
      </c>
      <c r="P617" s="23" t="n"/>
      <c r="Q617" s="23" t="n"/>
      <c r="R617" s="25" t="inlineStr">
        <is>
          <t>Эта книга посвящена самым драматичным моментам Второй мировой войны: Смоленск, Москва, Сталинград, Курск, Бреслау... Битвы за эти города вошли в историю как самые кровопролитные и ожесточенные, именно они стали решающими и определили дальнейший ход военных действий на Восточном фронте. _x000D_
Но главными героями книги являются простые солдаты. Многочисленные яркие свидетельства очевидцев заставляют читателя ощутить весь ужас военных будней простых рядовых...</t>
        </is>
      </c>
      <c r="S617" s="26">
        <f>HYPERLINK("http://www.cnpol.ru/covers/17182.jpg","фото на сайте")</f>
        <v/>
      </c>
    </row>
    <row r="618" ht="50.1" customHeight="1" s="3">
      <c r="A618" s="23" t="n"/>
      <c r="B618" s="24" t="inlineStr">
        <is>
          <t>19771</t>
        </is>
      </c>
      <c r="C618" s="23" t="inlineStr">
        <is>
          <t>ЗЛФ</t>
        </is>
      </c>
      <c r="D618" s="23" t="inlineStr">
        <is>
          <t>Гессе Э.</t>
        </is>
      </c>
      <c r="E618" s="23" t="inlineStr">
        <is>
          <t>Война в немецком тылу. Оккупационные власти против советских партизан. 1941—1944</t>
        </is>
      </c>
      <c r="F618" s="23" t="inlineStr">
        <is>
          <t>        </t>
        </is>
      </c>
      <c r="G618" s="23" t="n">
        <v>647</v>
      </c>
      <c r="H618" s="23" t="n">
        <v>10</v>
      </c>
      <c r="I618" s="23" t="n">
        <v>10</v>
      </c>
      <c r="J618" s="23" t="inlineStr">
        <is>
          <t>978-5-9524-5494-1</t>
        </is>
      </c>
      <c r="K618" s="23" t="inlineStr">
        <is>
          <t>84x108 1/32</t>
        </is>
      </c>
      <c r="L618" s="23" t="inlineStr">
        <is>
          <t>тв</t>
        </is>
      </c>
      <c r="M618" s="23" t="n">
        <v>511</v>
      </c>
      <c r="N618" s="23" t="n">
        <v>2021</v>
      </c>
      <c r="O618" s="23" t="n">
        <v>384</v>
      </c>
      <c r="P618" s="23" t="n"/>
      <c r="Q618" s="23" t="n"/>
      <c r="R618" s="25" t="inlineStr">
        <is>
          <t>Отношение немецкой армии к населению на оккупированных территориях  СССР вызвало ответную реакцию —  создание отрядов сопротивления. Партизаны взрывали мосты, пускали под откос эшелоны, освобождали пленных, уничтожали оккупантов, завладевали боевой техникой. Само слово «партизаны» внушало ужас руководству вермахта, заставляя совершать еще более грубые действия в отношении местного населения._x000D_
В основе труда Эриха Гессе лежит колоссальный документальный материал: приказы, наставления германского военного и политического руководства в проведении мероприятий по уничтожению партизанского движения, военные дневники, сводки обобщенного опыта боевых действий сухопутных войск, мемуары участников событий и другие документы. Автор исследует природу возникновения партизанской войны, структуру соединений, их руководство, цели, задачи и формы ведения борьбы с оккупантами. Наконец, Гессе анализирует итоги партизанской войны и ее значение в оборонительной борьбе советских вооруженных сил против вермахта.</t>
        </is>
      </c>
      <c r="S618" s="26">
        <f>HYPERLINK("http://www.cnpol.ru/covers/19771.jpg","фото на сайте")</f>
        <v/>
      </c>
    </row>
    <row r="619" ht="50.1" customHeight="1" s="3">
      <c r="A619" s="23" t="n"/>
      <c r="B619" s="24" t="inlineStr">
        <is>
          <t>18146</t>
        </is>
      </c>
      <c r="C619" s="23" t="inlineStr">
        <is>
          <t>ЗЛФ</t>
        </is>
      </c>
      <c r="D619" s="23" t="inlineStr">
        <is>
          <t>Тиль Х.</t>
        </is>
      </c>
      <c r="E619" s="23" t="inlineStr">
        <is>
          <t>Волки второй мировой войны. Воспоминания солдата фольксштурма о Восточном фронте и плене</t>
        </is>
      </c>
      <c r="F619" s="23" t="inlineStr">
        <is>
          <t>        </t>
        </is>
      </c>
      <c r="G619" s="23" t="n">
        <v>508</v>
      </c>
      <c r="H619" s="23" t="n">
        <v>10</v>
      </c>
      <c r="I619" s="23" t="n">
        <v>18</v>
      </c>
      <c r="J619" s="23" t="inlineStr">
        <is>
          <t>978-5-227-08106-3</t>
        </is>
      </c>
      <c r="K619" s="23" t="inlineStr">
        <is>
          <t>84x108 1/32</t>
        </is>
      </c>
      <c r="L619" s="23" t="inlineStr">
        <is>
          <t>тв</t>
        </is>
      </c>
      <c r="M619" s="23" t="n">
        <v>224</v>
      </c>
      <c r="N619" s="23" t="n">
        <v>2018</v>
      </c>
      <c r="O619" s="23" t="n">
        <v>238</v>
      </c>
      <c r="P619" s="23" t="n"/>
      <c r="Q619" s="23" t="n"/>
      <c r="R619" s="25" t="n"/>
      <c r="S619" s="26">
        <f>HYPERLINK("http://www.cnpol.ru/covers/18146.jpg","фото на сайте")</f>
        <v/>
      </c>
    </row>
    <row r="620" ht="50.1" customHeight="1" s="3">
      <c r="A620" s="23" t="n"/>
      <c r="B620" s="24" t="inlineStr">
        <is>
          <t>19401</t>
        </is>
      </c>
      <c r="C620" s="23" t="inlineStr">
        <is>
          <t>ЗЛФ</t>
        </is>
      </c>
      <c r="D620" s="23" t="inlineStr">
        <is>
          <t>Килер Х.</t>
        </is>
      </c>
      <c r="E620" s="23" t="inlineStr">
        <is>
          <t>Еще один день на войне. Свидетельства ефрейтора вермахта о боях на Восточном фронте. 1941—1942</t>
        </is>
      </c>
      <c r="F620" s="23" t="inlineStr">
        <is>
          <t>        </t>
        </is>
      </c>
      <c r="G620" s="23" t="n">
        <v>508</v>
      </c>
      <c r="H620" s="23" t="n">
        <v>10</v>
      </c>
      <c r="I620" s="23" t="n">
        <v>18</v>
      </c>
      <c r="J620" s="23" t="inlineStr">
        <is>
          <t>978-5-9524-5462-0</t>
        </is>
      </c>
      <c r="K620" s="23" t="inlineStr">
        <is>
          <t>84x108 1/32</t>
        </is>
      </c>
      <c r="L620" s="23" t="inlineStr">
        <is>
          <t>тв</t>
        </is>
      </c>
      <c r="M620" s="23" t="n">
        <v>224</v>
      </c>
      <c r="N620" s="23" t="n">
        <v>2020</v>
      </c>
      <c r="O620" s="23" t="n">
        <v>218</v>
      </c>
      <c r="P620" s="23" t="n"/>
      <c r="Q620" s="23" t="n"/>
      <c r="R620" s="25" t="inlineStr">
        <is>
          <t>Записки Хайнца Килера — еще один ценный документ, свидетельствующий о фронтовых буднях Второй мировой войны. Ефрейтор Хайнц Килер служил санитаром в немецком военном госпитале. Свой дневник он начал в сентябре 1941 г. — в то время, когда немецкие войска вплотную подошли к Москве. День за днем Килер ухаживал за ранеными, наблюдая кровавые раны, смерть, болезни и голод. Мирный человек в душе, он все больше проникается отвращением к войне, к тому, как она разрушает душу и жизнь тех, кто в нее, так или иначе, втянут. Он не может понять, зачем людей принуждают убивать друг друга, и говорит самому себе: «Мы должны стремиться не к завоеванию мира, а служить ему».</t>
        </is>
      </c>
      <c r="S620" s="26">
        <f>HYPERLINK("http://www.cnpol.ru/covers/19401.jpg","фото на сайте")</f>
        <v/>
      </c>
    </row>
    <row r="621" ht="50.1" customHeight="1" s="3">
      <c r="A621" s="23" t="n"/>
      <c r="B621" s="24" t="inlineStr">
        <is>
          <t>18917</t>
        </is>
      </c>
      <c r="C621" s="23" t="inlineStr">
        <is>
          <t>ЗЛФ</t>
        </is>
      </c>
      <c r="D621" s="23" t="inlineStr">
        <is>
          <t>Даллин А.</t>
        </is>
      </c>
      <c r="E621" s="23" t="inlineStr">
        <is>
          <t>Захваченные территории СССР под контролем нацистов. Оккупационная политика Третьего рейха 1941–1945</t>
        </is>
      </c>
      <c r="F621" s="23" t="inlineStr">
        <is>
          <t>        </t>
        </is>
      </c>
      <c r="G621" s="23" t="n">
        <v>743</v>
      </c>
      <c r="H621" s="23" t="n">
        <v>10</v>
      </c>
      <c r="I621" s="23" t="n">
        <v>10</v>
      </c>
      <c r="J621" s="23" t="inlineStr">
        <is>
          <t>978-5-9524-5388-3</t>
        </is>
      </c>
      <c r="K621" s="23" t="inlineStr">
        <is>
          <t>84x108 1/32</t>
        </is>
      </c>
      <c r="L621" s="23" t="inlineStr">
        <is>
          <t>тв</t>
        </is>
      </c>
      <c r="M621" s="23" t="n">
        <v>640</v>
      </c>
      <c r="N621" s="23" t="n">
        <v>2019</v>
      </c>
      <c r="O621" s="23" t="n">
        <v>458</v>
      </c>
      <c r="P621" s="23" t="n"/>
      <c r="Q621" s="23" t="n"/>
      <c r="R621" s="25" t="n"/>
      <c r="S621" s="26">
        <f>HYPERLINK("http://www.cnpol.ru/covers/18917.jpg","фото на сайте")</f>
        <v/>
      </c>
    </row>
    <row r="622" ht="50.1" customHeight="1" s="3">
      <c r="A622" s="23" t="n"/>
      <c r="B622" s="24" t="inlineStr">
        <is>
          <t>17417</t>
        </is>
      </c>
      <c r="C622" s="23" t="inlineStr">
        <is>
          <t>ЗЛФ</t>
        </is>
      </c>
      <c r="D622" s="23" t="inlineStr">
        <is>
          <t>Кайзергрубер Ф.</t>
        </is>
      </c>
      <c r="E622" s="23" t="inlineStr">
        <is>
          <t>От Северского Донца до Одера. Бельгийский доброволец в составе валлонского легиона. 1942-1945</t>
        </is>
      </c>
      <c r="F622" s="23" t="inlineStr">
        <is>
          <t>        </t>
        </is>
      </c>
      <c r="G622" s="23" t="n">
        <v>615</v>
      </c>
      <c r="H622" s="23" t="n">
        <v>10</v>
      </c>
      <c r="I622" s="23" t="n">
        <v>14</v>
      </c>
      <c r="J622" s="23" t="inlineStr">
        <is>
          <t>978-5-227-07443-0</t>
        </is>
      </c>
      <c r="K622" s="23" t="inlineStr">
        <is>
          <t>84x108 1/32</t>
        </is>
      </c>
      <c r="L622" s="23" t="inlineStr">
        <is>
          <t>тв</t>
        </is>
      </c>
      <c r="M622" s="23" t="n">
        <v>480</v>
      </c>
      <c r="N622" s="23" t="n">
        <v>2017</v>
      </c>
      <c r="O622" s="23" t="n">
        <v>396</v>
      </c>
      <c r="P622" s="23" t="n"/>
      <c r="Q622" s="23" t="n"/>
      <c r="R622" s="25" t="n"/>
      <c r="S622" s="26">
        <f>HYPERLINK("http://www.cnpol.ru/covers/17417.jpg","фото на сайте")</f>
        <v/>
      </c>
    </row>
    <row r="623" ht="50.1" customHeight="1" s="3">
      <c r="A623" s="23" t="n"/>
      <c r="B623" s="24" t="inlineStr">
        <is>
          <t>17793</t>
        </is>
      </c>
      <c r="C623" s="23" t="inlineStr">
        <is>
          <t>ЗЛФ</t>
        </is>
      </c>
      <c r="D623" s="23" t="inlineStr">
        <is>
          <t>Праун А.</t>
        </is>
      </c>
      <c r="E623" s="23" t="inlineStr">
        <is>
          <t>От солдата до генерала</t>
        </is>
      </c>
      <c r="F623" s="23" t="inlineStr">
        <is>
          <t>        </t>
        </is>
      </c>
      <c r="G623" s="23" t="n">
        <v>615</v>
      </c>
      <c r="H623" s="23" t="n">
        <v>10</v>
      </c>
      <c r="I623" s="23" t="n">
        <v>10</v>
      </c>
      <c r="J623" s="23" t="inlineStr">
        <is>
          <t>978-5-9524-5271-8</t>
        </is>
      </c>
      <c r="K623" s="23" t="inlineStr">
        <is>
          <t>84x108 1/32</t>
        </is>
      </c>
      <c r="L623" s="23" t="inlineStr">
        <is>
          <t>тв</t>
        </is>
      </c>
      <c r="M623" s="23" t="n">
        <v>480</v>
      </c>
      <c r="N623" s="23" t="n">
        <v>2017</v>
      </c>
      <c r="O623" s="23" t="n">
        <v>378</v>
      </c>
      <c r="P623" s="23" t="n"/>
      <c r="Q623" s="23" t="n"/>
      <c r="R623" s="25" t="n"/>
      <c r="S623" s="26">
        <f>HYPERLINK("http://www.cnpol.ru/covers/17793.jpg","фото на сайте")</f>
        <v/>
      </c>
    </row>
    <row r="624" ht="50.1" customHeight="1" s="3">
      <c r="A624" s="23" t="n"/>
      <c r="B624" s="24" t="inlineStr">
        <is>
          <t>13887</t>
        </is>
      </c>
      <c r="C624" s="23" t="inlineStr">
        <is>
          <t>ЗЛФ</t>
        </is>
      </c>
      <c r="D624" s="23" t="inlineStr">
        <is>
          <t>Бон</t>
        </is>
      </c>
      <c r="E624" s="23" t="inlineStr">
        <is>
          <t>Перед вратами жизни</t>
        </is>
      </c>
      <c r="F624" s="23" t="inlineStr">
        <is>
          <t>        </t>
        </is>
      </c>
      <c r="G624" s="23" t="n">
        <v>615</v>
      </c>
      <c r="H624" s="23" t="n">
        <v>10</v>
      </c>
      <c r="I624" s="23" t="n">
        <v>10</v>
      </c>
      <c r="J624" s="23" t="inlineStr">
        <is>
          <t>978-5-9524-5056-1</t>
        </is>
      </c>
      <c r="K624" s="23" t="inlineStr">
        <is>
          <t>84x108 1/32</t>
        </is>
      </c>
      <c r="L624" s="23" t="inlineStr">
        <is>
          <t>тв</t>
        </is>
      </c>
      <c r="M624" s="23" t="n">
        <v>511</v>
      </c>
      <c r="N624" s="23" t="n">
        <v>2012</v>
      </c>
      <c r="O624" s="23" t="n">
        <v>426</v>
      </c>
      <c r="P624" s="23" t="n"/>
      <c r="Q624" s="23" t="n"/>
      <c r="R624" s="25" t="n"/>
      <c r="S624" s="26">
        <f>HYPERLINK("http://www.cnpol.ru/covers/13887.jpg","фото на сайте")</f>
        <v/>
      </c>
    </row>
    <row r="625" ht="50.1" customHeight="1" s="3">
      <c r="A625" s="23" t="n"/>
      <c r="B625" s="24" t="inlineStr">
        <is>
          <t>20633</t>
        </is>
      </c>
      <c r="C625" s="23" t="inlineStr">
        <is>
          <t>ЗЛФ</t>
        </is>
      </c>
      <c r="D625" s="23" t="inlineStr">
        <is>
          <t>Холль Э</t>
        </is>
      </c>
      <c r="E625" s="23" t="inlineStr">
        <is>
          <t>Пехотинец в Сталинграде. Военный дневник командира роты вермахта. 1942-1943</t>
        </is>
      </c>
      <c r="F625" s="23" t="inlineStr">
        <is>
          <t>        </t>
        </is>
      </c>
      <c r="G625" s="23" t="n">
        <v>508</v>
      </c>
      <c r="H625" s="23" t="n">
        <v>10</v>
      </c>
      <c r="I625" s="23" t="n">
        <v>20</v>
      </c>
      <c r="J625" s="23" t="inlineStr">
        <is>
          <t>978-5-9524-5620-4</t>
        </is>
      </c>
      <c r="K625" s="23" t="inlineStr">
        <is>
          <t>84x108 1/32</t>
        </is>
      </c>
      <c r="L625" s="23" t="inlineStr">
        <is>
          <t>тв</t>
        </is>
      </c>
      <c r="M625" s="23" t="n">
        <v>192</v>
      </c>
      <c r="N625" s="23" t="n">
        <v>2023</v>
      </c>
      <c r="O625" s="23" t="n">
        <v>198</v>
      </c>
      <c r="P625" s="23" t="n"/>
      <c r="Q625" s="23" t="n"/>
      <c r="R625" s="25" t="inlineStr">
        <is>
          <t>Эдельберт Холль, лейтенант германской армии, командир пехотной роты, подробно рассказывает о боевых действиях своего подразделения под Сталинградом и затем в черте города. Здесь бойцы его роты в составе пехотной, а затем танковой дивизии вели бои за каждую улицу и каждый дом, отмечая, что в этих условиях им приходилось осваивать совершенно иной, незнакомый прежде вид боя. Красноармейцы оказывали ожесточенное и упорное сопротивление, ведя огонь из «любой дыры или пролома в стене и появляясь даже из­под земли». Основываясь исключительно на личных воспоминаниях, Холль скрупулезно описывает ход боевых действий, рассказывает о тяжелых потерях, суровом фронтовом быте и о печальном завершении его сталинградской эпопеи.</t>
        </is>
      </c>
      <c r="S625" s="26">
        <f>HYPERLINK("http://www.cnpol.ru/covers/20633.jpg","фото на сайте")</f>
        <v/>
      </c>
    </row>
    <row r="626" ht="50.1" customHeight="1" s="3">
      <c r="A626" s="23" t="n"/>
      <c r="B626" s="24" t="inlineStr">
        <is>
          <t>18214</t>
        </is>
      </c>
      <c r="C626" s="23" t="inlineStr">
        <is>
          <t>ЗЛФ</t>
        </is>
      </c>
      <c r="D626" s="23" t="inlineStr">
        <is>
          <t>Холль Э</t>
        </is>
      </c>
      <c r="E626" s="23" t="inlineStr">
        <is>
          <t>После Сталинграда. Семь лет в советском плену. 1943—1950</t>
        </is>
      </c>
      <c r="F626" s="23" t="inlineStr">
        <is>
          <t>        </t>
        </is>
      </c>
      <c r="G626" s="23" t="n">
        <v>574</v>
      </c>
      <c r="H626" s="23" t="n">
        <v>10</v>
      </c>
      <c r="I626" s="23" t="n">
        <v>14</v>
      </c>
      <c r="J626" s="23" t="inlineStr">
        <is>
          <t>978-5-9524-5293-0</t>
        </is>
      </c>
      <c r="K626" s="23" t="inlineStr">
        <is>
          <t>84x108 1/32</t>
        </is>
      </c>
      <c r="L626" s="23" t="inlineStr">
        <is>
          <t>тв</t>
        </is>
      </c>
      <c r="M626" s="23" t="n">
        <v>288</v>
      </c>
      <c r="N626" s="23" t="n">
        <v>2018</v>
      </c>
      <c r="O626" s="23" t="n">
        <v>258</v>
      </c>
      <c r="P626" s="23" t="n"/>
      <c r="Q626" s="23" t="n"/>
      <c r="R626" s="25" t="n"/>
      <c r="S626" s="26">
        <f>HYPERLINK("http://www.cnpol.ru/covers/18214.jpg","фото на сайте")</f>
        <v/>
      </c>
    </row>
    <row r="627" ht="50.1" customHeight="1" s="3">
      <c r="A627" s="23" t="n"/>
      <c r="B627" s="24" t="inlineStr">
        <is>
          <t>18276</t>
        </is>
      </c>
      <c r="C627" s="23" t="inlineStr">
        <is>
          <t>ЗЛФ</t>
        </is>
      </c>
      <c r="D627" s="23" t="inlineStr">
        <is>
          <t>Миддельдорф Э.</t>
        </is>
      </c>
      <c r="E627" s="23" t="inlineStr">
        <is>
          <t>Русская военная кампания. Опыт Второй мировой войны. 1941—1945</t>
        </is>
      </c>
      <c r="F627" s="23" t="inlineStr">
        <is>
          <t>        </t>
        </is>
      </c>
      <c r="G627" s="23" t="n">
        <v>615</v>
      </c>
      <c r="H627" s="23" t="n">
        <v>10</v>
      </c>
      <c r="I627" s="23" t="n">
        <v>10</v>
      </c>
      <c r="J627" s="23" t="inlineStr">
        <is>
          <t>978-5-9524-5322-7</t>
        </is>
      </c>
      <c r="K627" s="23" t="inlineStr">
        <is>
          <t>84x108 1/32</t>
        </is>
      </c>
      <c r="L627" s="23" t="inlineStr">
        <is>
          <t>тв</t>
        </is>
      </c>
      <c r="M627" s="23" t="n">
        <v>416</v>
      </c>
      <c r="N627" s="23" t="n">
        <v>2018</v>
      </c>
      <c r="O627" s="23" t="n">
        <v>336</v>
      </c>
      <c r="P627" s="23" t="n"/>
      <c r="Q627" s="23" t="n"/>
      <c r="R627" s="25" t="n"/>
      <c r="S627" s="26">
        <f>HYPERLINK("http://www.cnpol.ru/covers/18276.jpg","фото на сайте")</f>
        <v/>
      </c>
    </row>
    <row r="628" ht="50.1" customHeight="1" s="3">
      <c r="A628" s="23" t="n"/>
      <c r="B628" s="24" t="inlineStr">
        <is>
          <t>19168</t>
        </is>
      </c>
      <c r="C628" s="23" t="inlineStr">
        <is>
          <t>ЗЛФ</t>
        </is>
      </c>
      <c r="D628" s="23" t="inlineStr">
        <is>
          <t>Хохоф К.</t>
        </is>
      </c>
      <c r="E628" s="23" t="inlineStr">
        <is>
          <t>Русский дневник солдата вермахта. От Вислы до Волги. 1939-1945</t>
        </is>
      </c>
      <c r="F628" s="23" t="inlineStr">
        <is>
          <t>        </t>
        </is>
      </c>
      <c r="G628" s="23" t="n">
        <v>615</v>
      </c>
      <c r="H628" s="23" t="n">
        <v>10</v>
      </c>
      <c r="I628" s="23" t="n">
        <v>10</v>
      </c>
      <c r="J628" s="23" t="inlineStr">
        <is>
          <t>978-5-9524-5433-0</t>
        </is>
      </c>
      <c r="K628" s="23" t="inlineStr">
        <is>
          <t>84x108 1/32</t>
        </is>
      </c>
      <c r="L628" s="23" t="inlineStr">
        <is>
          <t>тв</t>
        </is>
      </c>
      <c r="M628" s="23" t="n">
        <v>416</v>
      </c>
      <c r="N628" s="23" t="n">
        <v>2020</v>
      </c>
      <c r="O628" s="23" t="n">
        <v>338</v>
      </c>
      <c r="P628" s="23" t="n"/>
      <c r="Q628" s="23" t="n"/>
      <c r="R628" s="25" t="n"/>
      <c r="S628" s="26">
        <f>HYPERLINK("http://www.cnpol.ru/covers/19168.jpg","фото на сайте")</f>
        <v/>
      </c>
    </row>
    <row r="629" ht="50.1" customHeight="1" s="3">
      <c r="A629" s="23" t="inlineStr">
        <is>
          <t>Д</t>
        </is>
      </c>
      <c r="B629" s="24" t="inlineStr">
        <is>
          <t>22237</t>
        </is>
      </c>
      <c r="C629" s="23" t="inlineStr">
        <is>
          <t>ЗЛФ</t>
        </is>
      </c>
      <c r="D629" s="23" t="inlineStr">
        <is>
          <t>Скорцени О.</t>
        </is>
      </c>
      <c r="E629" s="23" t="inlineStr">
        <is>
          <t>Секретная команда. Воспоминания руководителя спецподразделения немецкой разведки. 1939—1945</t>
        </is>
      </c>
      <c r="F629" s="23" t="inlineStr">
        <is>
          <t>        </t>
        </is>
      </c>
      <c r="G629" s="23" t="n">
        <v>704</v>
      </c>
      <c r="H629" s="23" t="n">
        <v>10</v>
      </c>
      <c r="I629" s="23" t="n">
        <v>12</v>
      </c>
      <c r="J629" s="23" t="inlineStr">
        <is>
          <t>978-5-9524-6584-8</t>
        </is>
      </c>
      <c r="K629" s="23" t="inlineStr">
        <is>
          <t>84x108 1/32</t>
        </is>
      </c>
      <c r="L629" s="23" t="inlineStr">
        <is>
          <t>тв</t>
        </is>
      </c>
      <c r="M629" s="23" t="n">
        <v>543</v>
      </c>
      <c r="N629" s="23" t="n">
        <v>2026</v>
      </c>
      <c r="O629" s="23" t="n">
        <v>410</v>
      </c>
      <c r="P629" s="23" t="n"/>
      <c r="Q629" s="23" t="n"/>
      <c r="R629" s="25" t="inlineStr">
        <is>
          <t>"Отто Скорцени, оберштурмбаннфюрер СС, профессиональный разведчик, выполнявший секретные задания Гитлера в разных странах, – одна из самых известных и загадочных личностей Второй мировой войны. В своих воспоминаниях он рассказывает об участии в боях на Восточном фронте, о том, как стал руководителем формирования особого назначения и в этом качестве выполнил операцию по освобождению Муссолини, которая принесла ему мировую славу и Рыцарский крест. Акция стоила больших жертв, но кто считает потери, когда цель достигнута! Скорцени талантливо, ярко и подробно описывает разработанные им операции, которыми сам и руководил, хотя некоторые из них с треском провалились, что, впрочем, не повлияло на его самооценку. По окончании войны в мае 1945 г. он сдался американцам, а в июле 1948 г. выполнил еще одну операцию — организовал собственный побег из лагеря военнопленных. Этой датой заканчиваются воспоминания супердиверсанта Отто Скорцени.
Книга впервые издается без купюр."</t>
        </is>
      </c>
      <c r="S629" s="26">
        <f>HYPERLINK("http://www.cnpol.ru/covers/22237.jpg","фото на сайте")</f>
        <v/>
      </c>
    </row>
    <row r="630" ht="50.1" customHeight="1" s="3">
      <c r="A630" s="23" t="n"/>
      <c r="B630" s="24" t="inlineStr">
        <is>
          <t>17137</t>
        </is>
      </c>
      <c r="C630" s="23" t="inlineStr">
        <is>
          <t>ЗЛФ</t>
        </is>
      </c>
      <c r="D630" s="23" t="inlineStr">
        <is>
          <t>Прюллер В.</t>
        </is>
      </c>
      <c r="E630" s="23" t="inlineStr">
        <is>
          <t>Солдат на войне. Фронтовые хроники обер-лейтенанта вермахта</t>
        </is>
      </c>
      <c r="F630" s="23" t="inlineStr">
        <is>
          <t>        </t>
        </is>
      </c>
      <c r="G630" s="23" t="n">
        <v>486</v>
      </c>
      <c r="H630" s="23" t="n">
        <v>10</v>
      </c>
      <c r="I630" s="23" t="n">
        <v>18</v>
      </c>
      <c r="J630" s="23" t="inlineStr">
        <is>
          <t>978-5-9524-5201-5</t>
        </is>
      </c>
      <c r="K630" s="23" t="inlineStr">
        <is>
          <t>84x108 1/32</t>
        </is>
      </c>
      <c r="L630" s="23" t="inlineStr">
        <is>
          <t>тв</t>
        </is>
      </c>
      <c r="M630" s="23" t="n">
        <v>224</v>
      </c>
      <c r="N630" s="23" t="n">
        <v>2016</v>
      </c>
      <c r="O630" s="23" t="n">
        <v>218</v>
      </c>
      <c r="P630" s="23" t="n"/>
      <c r="Q630" s="23" t="n"/>
      <c r="R630" s="25" t="n"/>
      <c r="S630" s="26">
        <f>HYPERLINK("http://www.cnpol.ru/covers/17137.jpg","фото на сайте")</f>
        <v/>
      </c>
    </row>
    <row r="631" ht="50.1" customHeight="1" s="3">
      <c r="A631" s="23" t="n"/>
      <c r="B631" s="24" t="inlineStr">
        <is>
          <t>16200</t>
        </is>
      </c>
      <c r="C631" s="23" t="inlineStr">
        <is>
          <t>ЗЛФ</t>
        </is>
      </c>
      <c r="D631" s="23" t="inlineStr">
        <is>
          <t>Хольтиц Д. Фон</t>
        </is>
      </c>
      <c r="E631" s="23" t="inlineStr">
        <is>
          <t>Солдатский долг. Воспоминания генерала вермахта о войне на западе и востоке Европы. 1939-1945</t>
        </is>
      </c>
      <c r="F631" s="23" t="inlineStr">
        <is>
          <t>        </t>
        </is>
      </c>
      <c r="G631" s="23" t="n">
        <v>574</v>
      </c>
      <c r="H631" s="23" t="n">
        <v>10</v>
      </c>
      <c r="I631" s="23" t="n">
        <v>14</v>
      </c>
      <c r="J631" s="23" t="inlineStr">
        <is>
          <t>978-5-9524-5160-5</t>
        </is>
      </c>
      <c r="K631" s="23" t="inlineStr">
        <is>
          <t>84x108 1/32</t>
        </is>
      </c>
      <c r="L631" s="23" t="inlineStr">
        <is>
          <t>тв</t>
        </is>
      </c>
      <c r="M631" s="23" t="n">
        <v>286</v>
      </c>
      <c r="N631" s="23" t="n">
        <v>2015</v>
      </c>
      <c r="O631" s="23" t="n">
        <v>260</v>
      </c>
      <c r="P631" s="23" t="n"/>
      <c r="Q631" s="23" t="n"/>
      <c r="R631" s="25" t="n"/>
      <c r="S631" s="26">
        <f>HYPERLINK("http://www.cnpol.ru/covers/16200.jpg","фото на сайте")</f>
        <v/>
      </c>
    </row>
    <row r="632" ht="50.1" customHeight="1" s="3">
      <c r="A632" s="23" t="n"/>
      <c r="B632" s="24" t="inlineStr">
        <is>
          <t>18247</t>
        </is>
      </c>
      <c r="C632" s="23" t="inlineStr">
        <is>
          <t>ЗЛФ</t>
        </is>
      </c>
      <c r="D632" s="23" t="inlineStr">
        <is>
          <t>Гёбелер Г.Я.</t>
        </is>
      </c>
      <c r="E632" s="23" t="inlineStr">
        <is>
          <t>Стальной корабль, железный экипаж. Воспоминания матроса немецкой подводной лодки U­505. 1941—1945</t>
        </is>
      </c>
      <c r="F632" s="23" t="inlineStr">
        <is>
          <t>        </t>
        </is>
      </c>
      <c r="G632" s="23" t="n">
        <v>615</v>
      </c>
      <c r="H632" s="23" t="n">
        <v>10</v>
      </c>
      <c r="I632" s="23" t="n">
        <v>12</v>
      </c>
      <c r="J632" s="23" t="inlineStr">
        <is>
          <t>978-5-227-08338-8</t>
        </is>
      </c>
      <c r="K632" s="23" t="inlineStr">
        <is>
          <t>84x108 1/32</t>
        </is>
      </c>
      <c r="L632" s="23" t="inlineStr">
        <is>
          <t>тв</t>
        </is>
      </c>
      <c r="M632" s="23" t="n">
        <v>320</v>
      </c>
      <c r="N632" s="23" t="n">
        <v>2018</v>
      </c>
      <c r="O632" s="23" t="n">
        <v>300</v>
      </c>
      <c r="P632" s="23" t="n"/>
      <c r="Q632" s="23" t="n"/>
      <c r="R632" s="25" t="n"/>
      <c r="S632" s="26">
        <f>HYPERLINK("http://www.cnpol.ru/covers/18247.jpg","фото на сайте")</f>
        <v/>
      </c>
    </row>
    <row r="633" ht="50.1" customHeight="1" s="3">
      <c r="A633" s="23" t="n"/>
      <c r="B633" s="24" t="inlineStr">
        <is>
          <t>18094</t>
        </is>
      </c>
      <c r="C633" s="23" t="inlineStr">
        <is>
          <t>ЗЛФ</t>
        </is>
      </c>
      <c r="D633" s="23" t="inlineStr">
        <is>
          <t>Шайберт Х.</t>
        </is>
      </c>
      <c r="E633" s="23" t="inlineStr">
        <is>
          <t>Танки между Доном и Северским Донцом</t>
        </is>
      </c>
      <c r="F633" s="23" t="inlineStr">
        <is>
          <t>        </t>
        </is>
      </c>
      <c r="G633" s="23" t="n">
        <v>508</v>
      </c>
      <c r="H633" s="23" t="n">
        <v>10</v>
      </c>
      <c r="I633" s="23" t="n">
        <v>20</v>
      </c>
      <c r="J633" s="23" t="inlineStr">
        <is>
          <t>978-5-9524-5273-2</t>
        </is>
      </c>
      <c r="K633" s="23" t="inlineStr">
        <is>
          <t>84x108 1/32</t>
        </is>
      </c>
      <c r="L633" s="23" t="inlineStr">
        <is>
          <t>тв</t>
        </is>
      </c>
      <c r="M633" s="23" t="n">
        <v>192</v>
      </c>
      <c r="N633" s="23" t="n">
        <v>2018</v>
      </c>
      <c r="O633" s="23" t="n">
        <v>212</v>
      </c>
      <c r="P633" s="23" t="n"/>
      <c r="Q633" s="23" t="n"/>
      <c r="R633" s="25" t="n"/>
      <c r="S633" s="26">
        <f>HYPERLINK("http://www.cnpol.ru/covers/18094.jpg","фото на сайте")</f>
        <v/>
      </c>
    </row>
    <row r="634" ht="50.1" customHeight="1" s="3">
      <c r="A634" s="23" t="n"/>
      <c r="B634" s="24" t="inlineStr">
        <is>
          <t>16969</t>
        </is>
      </c>
      <c r="C634" s="23" t="inlineStr">
        <is>
          <t>ЗЛФ</t>
        </is>
      </c>
      <c r="D634" s="23" t="inlineStr">
        <is>
          <t>Пэйджет Р.Т.</t>
        </is>
      </c>
      <c r="E634" s="23" t="inlineStr">
        <is>
          <t>Фельдмаршал Манштейн</t>
        </is>
      </c>
      <c r="F634" s="23" t="inlineStr">
        <is>
          <t>        </t>
        </is>
      </c>
      <c r="G634" s="23" t="n">
        <v>574</v>
      </c>
      <c r="H634" s="23" t="n">
        <v>10</v>
      </c>
      <c r="I634" s="23" t="n">
        <v>14</v>
      </c>
      <c r="J634" s="23" t="inlineStr">
        <is>
          <t>978-5-9524-5205-3</t>
        </is>
      </c>
      <c r="K634" s="23" t="inlineStr">
        <is>
          <t>84x108 1/32</t>
        </is>
      </c>
      <c r="L634" s="23" t="inlineStr">
        <is>
          <t>тв</t>
        </is>
      </c>
      <c r="M634" s="23" t="n">
        <v>288</v>
      </c>
      <c r="N634" s="23" t="n">
        <v>2016</v>
      </c>
      <c r="O634" s="23" t="n">
        <v>256</v>
      </c>
      <c r="P634" s="23" t="n"/>
      <c r="Q634" s="23" t="n"/>
      <c r="R634" s="25" t="n"/>
      <c r="S634" s="26">
        <f>HYPERLINK("http://www.cnpol.ru/covers/16969.jpg","фото на сайте")</f>
        <v/>
      </c>
    </row>
    <row r="635" ht="50.1" customHeight="1" s="3">
      <c r="A635" s="23" t="n"/>
      <c r="B635" s="24" t="inlineStr">
        <is>
          <t>14921</t>
        </is>
      </c>
      <c r="C635" s="23" t="inlineStr">
        <is>
          <t>ЗЛФ ДВ</t>
        </is>
      </c>
      <c r="D635" s="23" t="inlineStr">
        <is>
          <t>Грамс Р.</t>
        </is>
      </c>
      <c r="E635" s="23" t="inlineStr">
        <is>
          <t>14-я танковая дивизия 1940-1945</t>
        </is>
      </c>
      <c r="F635" s="23" t="inlineStr">
        <is>
          <t>        </t>
        </is>
      </c>
      <c r="G635" s="23" t="n">
        <v>724</v>
      </c>
      <c r="H635" s="23" t="n">
        <v>10</v>
      </c>
      <c r="I635" s="23" t="n">
        <v>8</v>
      </c>
      <c r="J635" s="23" t="inlineStr">
        <is>
          <t>978-5-227-04856-1</t>
        </is>
      </c>
      <c r="K635" s="23" t="inlineStr">
        <is>
          <t>60x90 1/16</t>
        </is>
      </c>
      <c r="L635" s="23" t="inlineStr">
        <is>
          <t>тв</t>
        </is>
      </c>
      <c r="M635" s="23" t="n">
        <v>446</v>
      </c>
      <c r="N635" s="23" t="n">
        <v>2014</v>
      </c>
      <c r="O635" s="23" t="n">
        <v>414</v>
      </c>
      <c r="P635" s="23" t="n"/>
      <c r="Q635" s="23" t="n"/>
      <c r="R635" s="25" t="inlineStr">
        <is>
          <t>История 14-й танковой дивизии вермахта написана ее ветераном Рольфом Грамсом, бывшим командиром 64-го мотоциклетного батальона, входившего в состав дивизии._x000D_
14-я танковая дивизия была сформирована в Дрездене 15 августа 1940 г. Боевое крещение получила во время похода в Югославию в апреле 1941 г. Затем она была переброшена в Польшу и участвовала во вторжении в Советский Союз. Дивизия с боями прошла от Буга до Дона, завершив кампанию 1941 г. на рубежах знаменитого Миус-фронта. В 1942 г. 14-я танковая дивизия приняла активное участие в летнем наступлении вермахта на южном участке Восточного фронта и в Сталинградской битве. В составе 51-го армейского корпуса 6-й армии она вела ожесточенные бои в Сталинграде, попала в окружение и в январе 1943 г. прекратила свое существование вместе со всеми войсками фельдмаршала Паулюса. Командир 14-й танковой дивизии генерал-майор Латтман и большинство его подчиненных попали в плен._x000D_
Летом 1943 г. во Франции дивизия была сформирована вторично. В нее были включены и те подразделения «старой» 14-й танковой дивизии, которые сумели избежать гибели в Сталинградском котле. Соединение вскоре снова перебросили на Украину, где оно вело бои в районе Кривого Рога, Кировограда и Черкасс. Неся тяжелые потери, дивизия отступила в Молдавию, а затем в Румынию. Последовательно вырвавшись из нескольких советских котлов, летом 1944 г. дивизия была переброшена в Курляндию на помощь группе армий «Север». Она приняла самое активное участие во всех шести Курляндских сражениях, получив заслуженное прозвище «Курляндская пожарная команда». Весной 1945 г. некоторые подразделения дивизии были эвакуированы морем в Германию, но главные ее силы попали в советский плен. На этом закончилась история одной из наиболее боеспособных танковых дивизий вермахта._x000D_
Книга основана на широком документальном материале и воспоминаниях бывших сослуживцев автора.</t>
        </is>
      </c>
      <c r="S635" s="26">
        <f>HYPERLINK("http://www.cnpol.ru/covers/14921.jpg","фото на сайте")</f>
        <v/>
      </c>
    </row>
    <row r="636" ht="50.1" customHeight="1" s="3">
      <c r="A636" s="23" t="inlineStr">
        <is>
          <t>Д</t>
        </is>
      </c>
      <c r="B636" s="24" t="inlineStr">
        <is>
          <t>22075</t>
        </is>
      </c>
      <c r="C636" s="23" t="inlineStr">
        <is>
          <t>ЗЛФ ИЗБ</t>
        </is>
      </c>
      <c r="D636" s="23" t="inlineStr">
        <is>
          <t>Гудериан Г.В.</t>
        </is>
      </c>
      <c r="E636" s="23" t="inlineStr">
        <is>
          <t>Воспоминания немецкого генерала. Танковые войска Германии во Второй мировой войне. 1939—1945</t>
        </is>
      </c>
      <c r="F636" s="23" t="inlineStr">
        <is>
          <t>        </t>
        </is>
      </c>
      <c r="G636" s="23" t="n">
        <v>743</v>
      </c>
      <c r="H636" s="23" t="n">
        <v>10</v>
      </c>
      <c r="I636" s="23" t="n">
        <v>10</v>
      </c>
      <c r="J636" s="23" t="inlineStr">
        <is>
          <t>978-5-227-11242-2</t>
        </is>
      </c>
      <c r="K636" s="23" t="inlineStr">
        <is>
          <t>84x108 1/32</t>
        </is>
      </c>
      <c r="L636" s="23" t="inlineStr">
        <is>
          <t>тв</t>
        </is>
      </c>
      <c r="M636" s="23" t="n">
        <v>574</v>
      </c>
      <c r="N636" s="23" t="n">
        <v>2026</v>
      </c>
      <c r="O636" s="23" t="n">
        <v>444</v>
      </c>
      <c r="P636" s="23" t="n"/>
      <c r="Q636" s="23" t="n"/>
      <c r="R636" s="25" t="inlineStr">
        <is>
          <t>В своих мемуарах Гейнц Гудериан, стоявший у истоков создания танковых войск и принадлежавший к элите высшего военного руководства нацистской Германии, рассказывает о планировании и подготовке крупнейших операций в штабе Верховного командования сухопутных сил Германии. Книга является интереснейшим историческим документом, где знаменитый немецкий генерал делится своими знаниями и опытом.</t>
        </is>
      </c>
      <c r="S636" s="26">
        <f>HYPERLINK("http://www.cnpol.ru/covers/22075.jpg","фото на сайте")</f>
        <v/>
      </c>
    </row>
    <row r="637" ht="50.1" customHeight="1" s="3">
      <c r="A637" s="23" t="n"/>
      <c r="B637" s="24" t="inlineStr">
        <is>
          <t>20145</t>
        </is>
      </c>
      <c r="C637" s="23" t="inlineStr">
        <is>
          <t>ЗЛФ ИЗБ</t>
        </is>
      </c>
      <c r="D637" s="23" t="inlineStr">
        <is>
          <t>Рудель Г.У.</t>
        </is>
      </c>
      <c r="E637" s="23" t="inlineStr">
        <is>
          <t>Пилот "Штуки". Мемуары аса люфтваффе 1939-1945</t>
        </is>
      </c>
      <c r="F637" s="23" t="inlineStr">
        <is>
          <t>        </t>
        </is>
      </c>
      <c r="G637" s="23" t="n">
        <v>534</v>
      </c>
      <c r="H637" s="23" t="n">
        <v>10</v>
      </c>
      <c r="I637" s="23" t="n">
        <v>20</v>
      </c>
      <c r="J637" s="23" t="inlineStr">
        <is>
          <t>978-5-9524-5709-6</t>
        </is>
      </c>
      <c r="K637" s="23" t="inlineStr">
        <is>
          <t>84x108 1/32</t>
        </is>
      </c>
      <c r="L637" s="23" t="inlineStr">
        <is>
          <t>тв</t>
        </is>
      </c>
      <c r="M637" s="23" t="n">
        <v>288</v>
      </c>
      <c r="N637" s="23" t="n">
        <v>2022</v>
      </c>
      <c r="O637" s="23" t="n">
        <v>246</v>
      </c>
      <c r="P637" s="23" t="n"/>
      <c r="Q637" s="23" t="n"/>
      <c r="R637" s="25" t="n"/>
      <c r="S637" s="26">
        <f>HYPERLINK("http://www.cnpol.ru/covers/20145.jpg","фото на сайте")</f>
        <v/>
      </c>
    </row>
    <row r="638" ht="50.1" customHeight="1" s="3">
      <c r="A638" s="23" t="n"/>
      <c r="B638" s="24" t="inlineStr">
        <is>
          <t>20346</t>
        </is>
      </c>
      <c r="C638" s="23" t="inlineStr">
        <is>
          <t>ЗЛФ ИЗБ</t>
        </is>
      </c>
      <c r="D638" s="23" t="inlineStr">
        <is>
          <t>Сайер Ги</t>
        </is>
      </c>
      <c r="E638" s="23" t="inlineStr">
        <is>
          <t>Последний солдат Третьего Рейха</t>
        </is>
      </c>
      <c r="F638" s="23" t="inlineStr">
        <is>
          <t>        </t>
        </is>
      </c>
      <c r="G638" s="23" t="n">
        <v>633</v>
      </c>
      <c r="H638" s="23" t="n">
        <v>10</v>
      </c>
      <c r="I638" s="23" t="n">
        <v>14</v>
      </c>
      <c r="J638" s="23" t="inlineStr">
        <is>
          <t>978-5-9524-5642-6</t>
        </is>
      </c>
      <c r="K638" s="23" t="inlineStr">
        <is>
          <t>84x108 1/32</t>
        </is>
      </c>
      <c r="L638" s="23" t="inlineStr">
        <is>
          <t>тв</t>
        </is>
      </c>
      <c r="M638" s="23" t="n">
        <v>448</v>
      </c>
      <c r="N638" s="23" t="n">
        <v>2022</v>
      </c>
      <c r="O638" s="23" t="n">
        <v>350</v>
      </c>
      <c r="P638" s="23" t="n"/>
      <c r="Q638" s="23" t="n"/>
      <c r="R638" s="25" t="n"/>
      <c r="S638" s="26">
        <f>HYPERLINK("http://www.cnpol.ru/covers/20346.jpg","фото на сайте")</f>
        <v/>
      </c>
    </row>
    <row r="639" ht="50.1" customHeight="1" s="3">
      <c r="A639" s="23" t="n"/>
      <c r="B639" s="24" t="inlineStr">
        <is>
          <t>18390</t>
        </is>
      </c>
      <c r="C639" s="23" t="inlineStr">
        <is>
          <t>ЗЛФ ИЗБ</t>
        </is>
      </c>
      <c r="D639" s="23" t="inlineStr">
        <is>
          <t>Кессельринг А.</t>
        </is>
      </c>
      <c r="E639" s="23" t="inlineStr">
        <is>
          <t>Солдат до последнего дня. Воспоминания фельдмаршала Третьего рейха. 1933—1947</t>
        </is>
      </c>
      <c r="F639" s="23" t="inlineStr">
        <is>
          <t>        </t>
        </is>
      </c>
      <c r="G639" s="23" t="n">
        <v>633</v>
      </c>
      <c r="H639" s="23" t="n">
        <v>10</v>
      </c>
      <c r="I639" s="23" t="n">
        <v>12</v>
      </c>
      <c r="J639" s="23" t="inlineStr">
        <is>
          <t>978-5-9524-5286-2</t>
        </is>
      </c>
      <c r="K639" s="23" t="inlineStr">
        <is>
          <t>84x108 1/32</t>
        </is>
      </c>
      <c r="L639" s="23" t="inlineStr">
        <is>
          <t>тв</t>
        </is>
      </c>
      <c r="M639" s="23" t="n">
        <v>496</v>
      </c>
      <c r="N639" s="23" t="n">
        <v>2018</v>
      </c>
      <c r="O639" s="23" t="n">
        <v>392</v>
      </c>
      <c r="P639" s="23" t="n"/>
      <c r="Q639" s="23" t="n"/>
      <c r="R639" s="25" t="n"/>
      <c r="S639" s="26">
        <f>HYPERLINK("http://www.cnpol.ru/covers/18390.jpg","фото на сайте")</f>
        <v/>
      </c>
    </row>
    <row r="640" ht="50.1" customHeight="1" s="3">
      <c r="A640" s="23" t="n"/>
      <c r="B640" s="24" t="inlineStr">
        <is>
          <t>19999</t>
        </is>
      </c>
      <c r="C640" s="23" t="inlineStr">
        <is>
          <t>ЗЛФ ИЗБ</t>
        </is>
      </c>
      <c r="D640" s="23" t="inlineStr">
        <is>
          <t>Бартман Э.</t>
        </is>
      </c>
      <c r="E640" s="23" t="inlineStr">
        <is>
          <t>Тяжелые бои на восточном фронте</t>
        </is>
      </c>
      <c r="F640" s="23" t="inlineStr">
        <is>
          <t>        </t>
        </is>
      </c>
      <c r="G640" s="23" t="n">
        <v>574</v>
      </c>
      <c r="H640" s="23" t="n">
        <v>10</v>
      </c>
      <c r="I640" s="23" t="n">
        <v>18</v>
      </c>
      <c r="J640" s="23" t="inlineStr">
        <is>
          <t>978-5-227-09679-1</t>
        </is>
      </c>
      <c r="K640" s="23" t="inlineStr">
        <is>
          <t>84x108 1/32</t>
        </is>
      </c>
      <c r="L640" s="23" t="inlineStr">
        <is>
          <t>тв</t>
        </is>
      </c>
      <c r="M640" s="23" t="n">
        <v>288</v>
      </c>
      <c r="N640" s="23" t="n">
        <v>2021</v>
      </c>
      <c r="O640" s="23" t="n">
        <v>282</v>
      </c>
      <c r="P640" s="23" t="n"/>
      <c r="Q640" s="23" t="n"/>
      <c r="R640" s="25" t="n"/>
      <c r="S640" s="26">
        <f>HYPERLINK("http://www.cnpol.ru/covers/19999.jpg","фото на сайте")</f>
        <v/>
      </c>
    </row>
    <row r="641" ht="50.1" customHeight="1" s="3">
      <c r="A641" s="23" t="inlineStr">
        <is>
          <t>Д</t>
        </is>
      </c>
      <c r="B641" s="24" t="inlineStr">
        <is>
          <t>21920</t>
        </is>
      </c>
      <c r="C641" s="23" t="inlineStr">
        <is>
          <t>ЗЛФ ИЗБ</t>
        </is>
      </c>
      <c r="D641" s="23" t="inlineStr">
        <is>
          <t>Манштейн Э. фон</t>
        </is>
      </c>
      <c r="E641" s="23" t="inlineStr">
        <is>
          <t>Утерянные победы. Воспоминания генерал­фельдмаршала вермахта</t>
        </is>
      </c>
      <c r="F641" s="23" t="inlineStr">
        <is>
          <t>        </t>
        </is>
      </c>
      <c r="G641" s="23" t="n">
        <v>733</v>
      </c>
      <c r="H641" s="23" t="n">
        <v>10</v>
      </c>
      <c r="I641" s="23" t="n">
        <v>10</v>
      </c>
      <c r="J641" s="23" t="inlineStr">
        <is>
          <t>978-5-227-10255-3</t>
        </is>
      </c>
      <c r="K641" s="23" t="inlineStr">
        <is>
          <t>84x108 1/32</t>
        </is>
      </c>
      <c r="L641" s="23" t="inlineStr">
        <is>
          <t>тв</t>
        </is>
      </c>
      <c r="M641" s="23" t="n">
        <v>575</v>
      </c>
      <c r="N641" s="23" t="n">
        <v>2022</v>
      </c>
      <c r="O641" s="23" t="n">
        <v>438</v>
      </c>
      <c r="P641" s="23" t="n"/>
      <c r="Q641" s="23" t="n"/>
      <c r="R641" s="25" t="inlineStr">
        <is>
          <t>В своих личных записках знаменитый генерал не касается ни идеологии, ни грандиозных планов, которые были разработаны германскими политиками. В каждой битве Манштейн находил успешное решение боевой задачи, реализуя потенциал своих войсковых сил и максимально снижая возможности противника. В войне против СССР генерал развернул свой талант во всем блеске и показал, что такое современный стиль, методы и уровень ведения боевых действий. Сам фюрер однажды проговорился: «Возможно, что Манштейн — лучшие мозги, какие только произвел на свет корпус Генштаба». В своих воспоминаниях военачальник раскрывает секрет проигранных побед, выявляет конкретных виновников и называет истинных героев, обреченных на смерть ради политических амбиций руководителей страны.</t>
        </is>
      </c>
      <c r="S641" s="26">
        <f>HYPERLINK("http://www.cnpol.ru/covers/21920.jpg","фото на сайте")</f>
        <v/>
      </c>
    </row>
    <row r="642" ht="50.1" customHeight="1" s="3">
      <c r="A642" s="23" t="n"/>
      <c r="B642" s="24" t="inlineStr">
        <is>
          <t>4441</t>
        </is>
      </c>
      <c r="C642" s="23" t="inlineStr">
        <is>
          <t>ЗЛФ М</t>
        </is>
      </c>
      <c r="D642" s="23" t="inlineStr">
        <is>
          <t>Шофилд Б.</t>
        </is>
      </c>
      <c r="E642" s="23" t="inlineStr">
        <is>
          <t>Арктические конвои</t>
        </is>
      </c>
      <c r="F642" s="23" t="inlineStr">
        <is>
          <t>        </t>
        </is>
      </c>
      <c r="G642" s="23" t="n">
        <v>338</v>
      </c>
      <c r="H642" s="23" t="n">
        <v>10</v>
      </c>
      <c r="I642" s="23" t="n">
        <v>14</v>
      </c>
      <c r="J642" s="23" t="inlineStr">
        <is>
          <t>5-9524-0672-6</t>
        </is>
      </c>
      <c r="K642" s="23" t="inlineStr">
        <is>
          <t>76x90 1/32</t>
        </is>
      </c>
      <c r="L642" s="23" t="inlineStr">
        <is>
          <t>тв</t>
        </is>
      </c>
      <c r="M642" s="23" t="n">
        <v>285</v>
      </c>
      <c r="N642" s="23" t="n">
        <v>2003</v>
      </c>
      <c r="O642" s="23" t="n">
        <v>202</v>
      </c>
      <c r="P642" s="23" t="n"/>
      <c r="Q642" s="23" t="n"/>
      <c r="R642" s="25" t="inlineStr">
        <is>
          <t>Книга рассказывает о боевых действиях арктических конвоев в годы Второй мировой войны. Северный морской путь, по которому союзники поставляли в Советский Сюоз необходимые боеприпасы и продовольствие, был самым коротким, но самым опасным. Автор повествует о решающих сражениях, анализирует расстановку сил враждующих сторон и воссоздает реальную картину того, как военно-морской флот союзников одержал победу над противником, несмотря на явное стратегическое преимущество Германии.</t>
        </is>
      </c>
      <c r="S642" s="26">
        <f>HYPERLINK("http://www.cnpol.ru/covers/4441.jpg","фото на сайте")</f>
        <v/>
      </c>
    </row>
    <row r="643" ht="50.1" customHeight="1" s="3">
      <c r="A643" s="23" t="n"/>
      <c r="B643" s="24" t="inlineStr">
        <is>
          <t>4369</t>
        </is>
      </c>
      <c r="C643" s="23" t="inlineStr">
        <is>
          <t>ЗЛФ М</t>
        </is>
      </c>
      <c r="D643" s="23" t="inlineStr">
        <is>
          <t>Карвер М.</t>
        </is>
      </c>
      <c r="E643" s="23" t="inlineStr">
        <is>
          <t>Битва под Эль Аламейном</t>
        </is>
      </c>
      <c r="F643" s="23" t="inlineStr">
        <is>
          <t>        </t>
        </is>
      </c>
      <c r="G643" s="23" t="n">
        <v>338</v>
      </c>
      <c r="H643" s="23" t="n">
        <v>10</v>
      </c>
      <c r="I643" s="23" t="n">
        <v>14</v>
      </c>
      <c r="J643" s="23" t="inlineStr">
        <is>
          <t>5-9524-0628-9</t>
        </is>
      </c>
      <c r="K643" s="23" t="inlineStr">
        <is>
          <t>76x90 1/32</t>
        </is>
      </c>
      <c r="L643" s="23" t="inlineStr">
        <is>
          <t>тв</t>
        </is>
      </c>
      <c r="M643" s="23" t="n">
        <v>285</v>
      </c>
      <c r="N643" s="23" t="n">
        <v>2003</v>
      </c>
      <c r="O643" s="23" t="n">
        <v>212</v>
      </c>
      <c r="P643" s="23" t="n"/>
      <c r="Q643" s="23" t="n"/>
      <c r="R643" s="25" t="inlineStr">
        <is>
          <t>В книге рассказывается о событиях Второй мировой войны в Северной Африке близ маленькой железнодорожной станции Эль-Аламейн осенью 1942 года. Автор использует документальные источники: письма Роммеля, телеграммы Гитлера, доклад командования австралийской дивизии о ходе кампании. Детально воссоздана картина боевых действий армий Германии и Британии.</t>
        </is>
      </c>
      <c r="S643" s="26">
        <f>HYPERLINK("http://www.cnpol.ru/covers/4369.jpg","фото на сайте")</f>
        <v/>
      </c>
    </row>
    <row r="644" ht="50.1" customHeight="1" s="3">
      <c r="A644" s="23" t="n"/>
      <c r="B644" s="24" t="inlineStr">
        <is>
          <t>5612</t>
        </is>
      </c>
      <c r="C644" s="23" t="inlineStr">
        <is>
          <t>ЗЛФ М</t>
        </is>
      </c>
      <c r="D644" s="23" t="inlineStr">
        <is>
          <t>Рейнолдс Л.</t>
        </is>
      </c>
      <c r="E644" s="23" t="inlineStr">
        <is>
          <t>Канонерка 658 Боевые операции боевых кораблей</t>
        </is>
      </c>
      <c r="F644" s="23" t="inlineStr">
        <is>
          <t>        </t>
        </is>
      </c>
      <c r="G644" s="23" t="n">
        <v>338</v>
      </c>
      <c r="H644" s="23" t="n">
        <v>10</v>
      </c>
      <c r="I644" s="23" t="n">
        <v>12</v>
      </c>
      <c r="J644" s="23" t="inlineStr">
        <is>
          <t>5-9524-1572-5</t>
        </is>
      </c>
      <c r="K644" s="23" t="inlineStr">
        <is>
          <t>76x90 1/32</t>
        </is>
      </c>
      <c r="L644" s="23" t="inlineStr">
        <is>
          <t>тв</t>
        </is>
      </c>
      <c r="M644" s="23" t="n">
        <v>367</v>
      </c>
      <c r="N644" s="23" t="n">
        <v>2005</v>
      </c>
      <c r="O644" s="23" t="n">
        <v>240</v>
      </c>
      <c r="P644" s="23" t="n"/>
      <c r="Q644" s="23" t="n"/>
      <c r="R644" s="25" t="n"/>
      <c r="S644" s="26">
        <f>HYPERLINK("http://www.cnpol.ru/covers/5612.jpg","фото на сайте")</f>
        <v/>
      </c>
    </row>
    <row r="645" ht="50.1" customHeight="1" s="3">
      <c r="A645" s="23" t="n"/>
      <c r="B645" s="24" t="inlineStr">
        <is>
          <t>6030</t>
        </is>
      </c>
      <c r="C645" s="23" t="inlineStr">
        <is>
          <t>ЗЛФ М</t>
        </is>
      </c>
      <c r="D645" s="23" t="inlineStr">
        <is>
          <t>Ирвинг Д.</t>
        </is>
      </c>
      <c r="E645" s="23" t="inlineStr">
        <is>
          <t>Ядерное оружие Третьего рейха</t>
        </is>
      </c>
      <c r="F645" s="23" t="inlineStr">
        <is>
          <t>        </t>
        </is>
      </c>
      <c r="G645" s="23" t="n">
        <v>338</v>
      </c>
      <c r="H645" s="23" t="n">
        <v>10</v>
      </c>
      <c r="I645" s="23" t="n">
        <v>10</v>
      </c>
      <c r="J645" s="23" t="inlineStr">
        <is>
          <t>5-9524-1798-1</t>
        </is>
      </c>
      <c r="K645" s="23" t="inlineStr">
        <is>
          <t>76x90 1/32</t>
        </is>
      </c>
      <c r="L645" s="23" t="inlineStr">
        <is>
          <t>тв</t>
        </is>
      </c>
      <c r="M645" s="23" t="n">
        <v>431</v>
      </c>
      <c r="N645" s="23" t="n">
        <v>2005</v>
      </c>
      <c r="O645" s="23" t="n">
        <v>304</v>
      </c>
      <c r="P645" s="23" t="n"/>
      <c r="Q645" s="23" t="n"/>
      <c r="R645" s="25" t="n"/>
      <c r="S645" s="26">
        <f>HYPERLINK("http://www.cnpol.ru/covers/6030.jpg","фото на сайте")</f>
        <v/>
      </c>
    </row>
    <row r="646" ht="50.1" customHeight="1" s="3">
      <c r="A646" s="23" t="inlineStr">
        <is>
          <t>Н</t>
        </is>
      </c>
      <c r="B646" s="24" t="inlineStr">
        <is>
          <t>21399</t>
        </is>
      </c>
      <c r="C646" s="23" t="inlineStr">
        <is>
          <t>ЗЛФ НОВ</t>
        </is>
      </c>
      <c r="D646" s="23" t="inlineStr">
        <is>
          <t>Рот Г.</t>
        </is>
      </c>
      <c r="E646" s="23" t="inlineStr">
        <is>
          <t>Ад Восточного фронта. Дневники фельдфебеля противотанкового батальона. 1941—1943</t>
        </is>
      </c>
      <c r="F646" s="23" t="inlineStr">
        <is>
          <t>        </t>
        </is>
      </c>
      <c r="G646" s="23" t="n">
        <v>806</v>
      </c>
      <c r="H646" s="23" t="n">
        <v>10</v>
      </c>
      <c r="I646" s="23" t="n">
        <v>16</v>
      </c>
      <c r="J646" s="23" t="inlineStr">
        <is>
          <t>978-5-9524-6253-3</t>
        </is>
      </c>
      <c r="K646" s="23" t="inlineStr">
        <is>
          <t>84x108 1/32</t>
        </is>
      </c>
      <c r="L646" s="23" t="inlineStr">
        <is>
          <t>тв</t>
        </is>
      </c>
      <c r="M646" s="23" t="n">
        <v>223</v>
      </c>
      <c r="N646" s="23" t="n">
        <v>2021</v>
      </c>
      <c r="O646" s="23" t="n">
        <v>289</v>
      </c>
      <c r="P646" s="23" t="n"/>
      <c r="Q646" s="23" t="n"/>
      <c r="R646" s="25" t="inlineStr">
        <is>
          <t>Ефрейтор, а позднее фельдфебель Ганс Рот начал вести свой дневник весной 1941 г., когда 299-я дивизия, в которой он воевал, в составе 6-й армии, готовилась к нападению на Советский Союз. В соответствии с планом операции «Барбаросса» дивизия в ходе упорных боев продвигалась южнее Припятских болот. В конце того же года подразделение Рота участвовало в замыкании кольца окружения вокруг Киева, а впоследствии в ожесточенных боях под Сталинградом, в боях за Харьков, Воронеж и Орел. Почти ежедневно автор без прикрас описывал все, что видел своими глазами: кровопролитные бои и жестокую расправу над населением на оккупированных территориях, суровый солдатский быт и мечты о возвращении к мирной жизни. В 1944 г. фельдфебель Ганс Рот пропал без вести в Витебском котле, но сохранились три дневника с описанием боевых действий, в которых он принимал участие. Лишь много лет спустя их обнаружили внуки Рота и осуществили издание записок своего деда.</t>
        </is>
      </c>
      <c r="S646" s="26">
        <f>HYPERLINK("http://www.cnpol.ru/covers/21399.jpg","фото на сайте")</f>
        <v/>
      </c>
    </row>
    <row r="647" ht="50.1" customHeight="1" s="3">
      <c r="A647" s="23" t="inlineStr">
        <is>
          <t>Д</t>
        </is>
      </c>
      <c r="B647" s="24" t="inlineStr">
        <is>
          <t>22167</t>
        </is>
      </c>
      <c r="C647" s="23" t="inlineStr">
        <is>
          <t>ЗЛФ НОВ</t>
        </is>
      </c>
      <c r="D647" s="23" t="inlineStr">
        <is>
          <t>Рот Г.</t>
        </is>
      </c>
      <c r="E647" s="23" t="inlineStr">
        <is>
          <t>Ад Восточного фронта. Дневники фельдфебеля противотанкового батальона. 1941—1943</t>
        </is>
      </c>
      <c r="F647" s="23" t="inlineStr">
        <is>
          <t>        </t>
        </is>
      </c>
      <c r="G647" s="23" t="n">
        <v>806</v>
      </c>
      <c r="H647" s="23" t="n">
        <v>10</v>
      </c>
      <c r="I647" s="23" t="n">
        <v>10</v>
      </c>
      <c r="J647" s="23" t="inlineStr">
        <is>
          <t>978-5-9524-6253-3</t>
        </is>
      </c>
      <c r="K647" s="23" t="inlineStr">
        <is>
          <t>84x108 1/32</t>
        </is>
      </c>
      <c r="L647" s="23" t="inlineStr">
        <is>
          <t>тв</t>
        </is>
      </c>
      <c r="M647" s="23" t="n">
        <v>223</v>
      </c>
      <c r="N647" s="23" t="n">
        <v>2021</v>
      </c>
      <c r="O647" s="23" t="n">
        <v>295</v>
      </c>
      <c r="P647" s="23" t="n"/>
      <c r="Q647" s="23" t="n"/>
      <c r="R647" s="25" t="inlineStr">
        <is>
          <t>Ефрейтор, а позднее фельдфебель Ганс Рот начал вести свой дневник весной 1941 г., когда 299-я дивизия, в которой он воевал, в составе 6-й армии, готовилась к нападению на Советский Союз. В соответствии с планом операции «Барбаросса» дивизия в ходе упорных боев продвигалась южнее Припятских болот. В конце того же года подразделение Рота участвовало в замыкании кольца окружения вокруг Киева, а впоследствии в ожесточенных боях под Сталинградом, в боях за Харьков, Воронеж и Орел. Почти ежедневно автор без прикрас описывал все, что видел своими глазами: кровопролитные бои и жестокую расправу над населением на оккупированных территориях, суровый солдатский быт и мечты о возвращении к мирной жизни. В 1944 г. фельдфебель Ганс Рот пропал без вести в Витебском котле, но сохранились три дневника с описанием боевых действий, в которых он принимал участие. Лишь много лет спустя их обнаружили внуки Рота и осуществили издание записок своего деда.</t>
        </is>
      </c>
      <c r="S647" s="26">
        <f>HYPERLINK("http://www.cnpol.ru/covers/22167.jpg","фото на сайте")</f>
        <v/>
      </c>
    </row>
    <row r="648" ht="50.1" customHeight="1" s="3">
      <c r="A648" s="23" t="inlineStr">
        <is>
          <t>Н</t>
        </is>
      </c>
      <c r="B648" s="24" t="inlineStr">
        <is>
          <t>21930</t>
        </is>
      </c>
      <c r="C648" s="23" t="inlineStr">
        <is>
          <t>ЗЛФ НОВ</t>
        </is>
      </c>
      <c r="D648" s="23" t="inlineStr">
        <is>
          <t>Тиль Х.</t>
        </is>
      </c>
      <c r="E648" s="23" t="inlineStr">
        <is>
          <t>Волки Второй мировой войны. Воспоминания солдата фольксштурма о Восточном фронте и плене. 1945</t>
        </is>
      </c>
      <c r="F648" s="23" t="inlineStr">
        <is>
          <t>        </t>
        </is>
      </c>
      <c r="G648" s="23" t="n">
        <v>835</v>
      </c>
      <c r="H648" s="23" t="n">
        <v>10</v>
      </c>
      <c r="I648" s="23" t="n">
        <v>10</v>
      </c>
      <c r="J648" s="23" t="inlineStr">
        <is>
          <t>978-5-9524-6577-0</t>
        </is>
      </c>
      <c r="K648" s="23" t="inlineStr">
        <is>
          <t>84x108 1/32</t>
        </is>
      </c>
      <c r="L648" s="23" t="inlineStr">
        <is>
          <t>тв</t>
        </is>
      </c>
      <c r="M648" s="23" t="n">
        <v>223</v>
      </c>
      <c r="N648" s="23" t="n">
        <v>2018</v>
      </c>
      <c r="O648" s="23" t="n">
        <v>288</v>
      </c>
      <c r="P648" s="23" t="n"/>
      <c r="Q648" s="23" t="n"/>
      <c r="R648" s="25" t="inlineStr">
        <is>
          <t>С февраля 1943 г. война стала склоняться явно не в пользу Третьего рейха, людские ресурсы Германии таяли, и в сентябре 1944 г. Гитлер издал декрет о создании фольксштурма — народной армии — последнего средства обреченных. Несмотря на свой прежний статус важной персоны тыла, Ханс Тиль попал под призыв в ряды фольксштурма. Предполагалось, что солдаты этих соединений будут защищать лишь те районы, в которых проживали, однако многие из них, в их числе автор воспоминаний, увязли на Восточном фронте. Военный путь Тиля оказался недолгим, но ему довелось полной ложкой хлебнуть из котла солдатской жизни: жестокие бои в Померании и Восточной Пруссии, хаос гибельной эвакуации беженцев, операции по их спасению и ненависть к преступно безответственной нацистской пропаганде. Больше всего Ханс Тиль боялся русского плена, но попал в руки польских властей и на себе испытал все тяготы существования лагерного заключенного.</t>
        </is>
      </c>
      <c r="S648" s="26">
        <f>HYPERLINK("http://www.cnpol.ru/covers/21930.jpg","фото на сайте")</f>
        <v/>
      </c>
    </row>
    <row r="649" ht="50.1" customHeight="1" s="3">
      <c r="A649" s="23" t="inlineStr">
        <is>
          <t>Н</t>
        </is>
      </c>
      <c r="B649" s="24" t="inlineStr">
        <is>
          <t>21793</t>
        </is>
      </c>
      <c r="C649" s="23" t="inlineStr">
        <is>
          <t>ЗЛФ НОВ</t>
        </is>
      </c>
      <c r="D649" s="23" t="inlineStr">
        <is>
          <t>Гюнтер Г.</t>
        </is>
      </c>
      <c r="E649" s="23" t="inlineStr">
        <is>
          <t>Горячие моторы. Воспоминания ефрейтора-мотоциклиста. 1940—1941</t>
        </is>
      </c>
      <c r="F649" s="23" t="inlineStr">
        <is>
          <t>        </t>
        </is>
      </c>
      <c r="G649" s="27" t="n">
        <v>1009</v>
      </c>
      <c r="H649" s="23" t="n">
        <v>10</v>
      </c>
      <c r="I649" s="23" t="n">
        <v>5</v>
      </c>
      <c r="J649" s="23" t="inlineStr">
        <is>
          <t>978-5-9524-6420-9</t>
        </is>
      </c>
      <c r="K649" s="23" t="inlineStr">
        <is>
          <t>84x108 1/32</t>
        </is>
      </c>
      <c r="L649" s="23" t="inlineStr">
        <is>
          <t>тв</t>
        </is>
      </c>
      <c r="M649" s="23" t="n">
        <v>286</v>
      </c>
      <c r="N649" s="23" t="n">
        <v>2025</v>
      </c>
      <c r="O649" s="23" t="n">
        <v>393</v>
      </c>
      <c r="P649" s="23" t="n"/>
      <c r="Q649" s="23" t="n"/>
      <c r="R649" s="25" t="inlineStr">
        <is>
          <t>Участник Второй мировой войны Гельмут Гюнтер вспоминает о том, как служил посыльным в мотоциклетном батальоне дивизии «Дас Райх». Живо и ярко автор рассказывает о том, как практически «на ходу» в боевых условиях он и другие молодые новобранцы осваивали технику вождения мотоцикла, как воевали, праздновали победы и переживали поражения. Описывает состояние эйфории, в котором германские войска шагали по Европе, и какой ожесточенный отпор получили в сражениях с русскими, а потом, обмороженные, голодные, отступали по заснеженным российским дорогам._x000D_
Книга богато иллюстрирована редкими фронтовыми фотографиями.</t>
        </is>
      </c>
      <c r="S649" s="26">
        <f>HYPERLINK("http://www.cnpol.ru/covers/21793.jpg","фото на сайте")</f>
        <v/>
      </c>
    </row>
    <row r="650" ht="50.1" customHeight="1" s="3">
      <c r="A650" s="23" t="inlineStr">
        <is>
          <t>Д</t>
        </is>
      </c>
      <c r="B650" s="24" t="inlineStr">
        <is>
          <t>22061</t>
        </is>
      </c>
      <c r="C650" s="23" t="inlineStr">
        <is>
          <t>ЗЛФ НОВ</t>
        </is>
      </c>
      <c r="D650" s="23" t="inlineStr">
        <is>
          <t>Дёниц К.</t>
        </is>
      </c>
      <c r="E650" s="23" t="inlineStr">
        <is>
          <t>Десять лет и двадцать дней. Воспоминания главнокомандующего военно-морскими силами Германии. 1935—1945 гг.</t>
        </is>
      </c>
      <c r="F650" s="23" t="inlineStr">
        <is>
          <t>        </t>
        </is>
      </c>
      <c r="G650" s="27" t="n">
        <v>1318</v>
      </c>
      <c r="H650" s="23" t="n">
        <v>10</v>
      </c>
      <c r="I650" s="23" t="n">
        <v>10</v>
      </c>
      <c r="J650" s="23" t="inlineStr">
        <is>
          <t>978-5-9524-6652-4</t>
        </is>
      </c>
      <c r="K650" s="23" t="inlineStr">
        <is>
          <t>84x108 1/32</t>
        </is>
      </c>
      <c r="L650" s="23" t="inlineStr">
        <is>
          <t>тв</t>
        </is>
      </c>
      <c r="M650" s="23" t="n">
        <v>495</v>
      </c>
      <c r="N650" s="23" t="n">
        <v>2026</v>
      </c>
      <c r="O650" s="23" t="n">
        <v>527</v>
      </c>
      <c r="P650" s="23" t="n"/>
      <c r="Q650" s="23" t="n"/>
      <c r="R650" s="25" t="inlineStr">
        <is>
          <t>В своих воспоминаниях главнокомандующий морскими силами Германии гросс-адмирал Карл Дёниц подробно рассказывает о морских сражениях Второй мировой войны. Он излагает свое видение вторжения союзников в Нормандию, свое отношение к заговору против Гитлера, описывает встречи с Редером, Герингом, Шпеером, Гиммлером и Гитлером, а также свою недолгую карьеру в качестве последнего фюрера Германии.</t>
        </is>
      </c>
      <c r="S650" s="26">
        <f>HYPERLINK("http://www.cnpol.ru/covers/22061.jpg","фото на сайте")</f>
        <v/>
      </c>
    </row>
    <row r="651" ht="50.1" customHeight="1" s="3">
      <c r="A651" s="23" t="inlineStr">
        <is>
          <t>Д</t>
        </is>
      </c>
      <c r="B651" s="24" t="inlineStr">
        <is>
          <t>22180</t>
        </is>
      </c>
      <c r="C651" s="23" t="inlineStr">
        <is>
          <t>ЗЛФ НОВ</t>
        </is>
      </c>
      <c r="D651" s="23" t="inlineStr">
        <is>
          <t>Пабст Гельмут</t>
        </is>
      </c>
      <c r="E651" s="23" t="inlineStr">
        <is>
          <t>Дневник немецкого солдата. Военные будни на Восточном фронте. 1941—1943</t>
        </is>
      </c>
      <c r="F651" s="23" t="inlineStr">
        <is>
          <t>        </t>
        </is>
      </c>
      <c r="G651" s="23" t="n">
        <v>888</v>
      </c>
      <c r="H651" s="23" t="n">
        <v>10</v>
      </c>
      <c r="I651" s="23" t="n">
        <v>10</v>
      </c>
      <c r="J651" s="23" t="inlineStr">
        <is>
          <t>978-5-9524-6704-0</t>
        </is>
      </c>
      <c r="K651" s="23" t="inlineStr">
        <is>
          <t>84x108 1/32</t>
        </is>
      </c>
      <c r="L651" s="23" t="inlineStr">
        <is>
          <t>тв</t>
        </is>
      </c>
      <c r="M651" s="23" t="n">
        <v>239</v>
      </c>
      <c r="N651" s="23" t="n">
        <v>2026</v>
      </c>
      <c r="O651" s="23" t="n">
        <v>306</v>
      </c>
      <c r="P651" s="23" t="n"/>
      <c r="Q651" s="23" t="n"/>
      <c r="R651" s="25" t="inlineStr">
        <is>
          <t>Дневник Гельмута Пабста повествует о трех зимних и двух летних периодах жестоких боев группы армий «Центр», продвигавшейся на восток в направлении Белосток—Минск—Смоленск—Москва. Вы узнаете, как воспринималась война не только солдатом, исполняющим свой долг, но человеком, искренне симпатизировавшим русским и проявившим полное отвращение к нацистской идеологии.</t>
        </is>
      </c>
      <c r="S651" s="26">
        <f>HYPERLINK("http://www.cnpol.ru/covers/22180.jpg","фото на сайте")</f>
        <v/>
      </c>
    </row>
    <row r="652" ht="50.1" customHeight="1" s="3">
      <c r="A652" s="23" t="inlineStr">
        <is>
          <t>Н</t>
        </is>
      </c>
      <c r="B652" s="24" t="inlineStr">
        <is>
          <t>22274</t>
        </is>
      </c>
      <c r="C652" s="23" t="inlineStr">
        <is>
          <t>ЗЛФ НОВ</t>
        </is>
      </c>
      <c r="D652" s="23" t="inlineStr">
        <is>
          <t>Цизер Б.</t>
        </is>
      </c>
      <c r="E652" s="23" t="inlineStr">
        <is>
          <t>Дорога на Сталинград. Воспоминания немецкого пехотинца. 1941—1943</t>
        </is>
      </c>
      <c r="F652" s="23" t="inlineStr">
        <is>
          <t>        </t>
        </is>
      </c>
      <c r="G652" s="23" t="n">
        <v>888</v>
      </c>
      <c r="H652" s="23" t="n">
        <v>10</v>
      </c>
      <c r="I652" s="23" t="n">
        <v>10</v>
      </c>
      <c r="J652" s="23" t="inlineStr">
        <is>
          <t>978-5-9524-6220-5</t>
        </is>
      </c>
      <c r="K652" s="23" t="inlineStr">
        <is>
          <t>84x108 1/32</t>
        </is>
      </c>
      <c r="L652" s="23" t="inlineStr">
        <is>
          <t>тв</t>
        </is>
      </c>
      <c r="M652" s="23" t="n">
        <v>238</v>
      </c>
      <c r="N652" s="23" t="n">
        <v>2026</v>
      </c>
      <c r="O652" s="23" t="n">
        <v>300</v>
      </c>
      <c r="P652" s="23" t="n"/>
      <c r="Q652" s="23" t="n"/>
      <c r="R652" s="25" t="inlineStr">
        <is>
          <t>Воспоминания Бенно Цизера — уникальное свидетельство немецкого пехотинца, которому удалось выжить в Сталинградской битве. Он рассказывает о пути к Сталинграду, завершившемся для немцев грандиозным поражением. Перед Цизером предстал весь ужас, вся бессмысленность и безысходность войны. Битва, без всяких перспектив для немцев, захлебнулась в море крови. В последний день января 1943 года 6-я германская армия сдалась русским у Сталинграда.</t>
        </is>
      </c>
      <c r="S652" s="26">
        <f>HYPERLINK("http://www.cnpol.ru/covers/22274.jpg","фото на сайте")</f>
        <v/>
      </c>
    </row>
    <row r="653" ht="50.1" customHeight="1" s="3">
      <c r="A653" s="23" t="inlineStr">
        <is>
          <t>Д</t>
        </is>
      </c>
      <c r="B653" s="24" t="inlineStr">
        <is>
          <t>21895</t>
        </is>
      </c>
      <c r="C653" s="23" t="inlineStr">
        <is>
          <t>ЗЛФ НОВ</t>
        </is>
      </c>
      <c r="D653" s="23" t="inlineStr">
        <is>
          <t>Шаффер Х.</t>
        </is>
      </c>
      <c r="E653" s="23" t="inlineStr">
        <is>
          <t>Легендарная подлодка U-977. Воспоминания командира немецкой субмарины. 1939—1945</t>
        </is>
      </c>
      <c r="F653" s="23" t="inlineStr">
        <is>
          <t>        </t>
        </is>
      </c>
      <c r="G653" s="23" t="n">
        <v>835</v>
      </c>
      <c r="H653" s="23" t="n">
        <v>10</v>
      </c>
      <c r="I653" s="23" t="n">
        <v>10</v>
      </c>
      <c r="J653" s="23" t="inlineStr">
        <is>
          <t>978-5-9524-6566-4</t>
        </is>
      </c>
      <c r="K653" s="23" t="inlineStr">
        <is>
          <t>84x108 1/32</t>
        </is>
      </c>
      <c r="L653" s="23" t="inlineStr">
        <is>
          <t>тв</t>
        </is>
      </c>
      <c r="M653" s="23" t="n">
        <v>222</v>
      </c>
      <c r="N653" s="23" t="n">
        <v>2026</v>
      </c>
      <c r="O653" s="23" t="n">
        <v>289</v>
      </c>
      <c r="P653" s="23" t="n"/>
      <c r="Q653" s="23" t="n"/>
      <c r="R653" s="25" t="inlineStr">
        <is>
          <t>Хайнц Шаффер, командир немецкой подводной лодки U-977, рассказывает о событиях Второй мировой войны, о службе на подводном флоте, не утаивая ее тягот, опасностей и условий быта; о битве за Атлантику и удивительном спасении субмарины, совершившей длительный автономный переход до Аргентины, где команду ждало заключение и обвинение в спасении Гитлера. Приведенная в книге информация особенно ценна тем, что дана с позиции противника СССР в войне.</t>
        </is>
      </c>
      <c r="S653" s="26">
        <f>HYPERLINK("http://www.cnpol.ru/covers/21895.jpg","фото на сайте")</f>
        <v/>
      </c>
    </row>
    <row r="654" ht="50.1" customHeight="1" s="3">
      <c r="A654" s="23" t="inlineStr">
        <is>
          <t>Н</t>
        </is>
      </c>
      <c r="B654" s="24" t="inlineStr">
        <is>
          <t>21661</t>
        </is>
      </c>
      <c r="C654" s="23" t="inlineStr">
        <is>
          <t>ЗЛФ НОВ</t>
        </is>
      </c>
      <c r="D654" s="23" t="inlineStr">
        <is>
          <t>Беккер Х.</t>
        </is>
      </c>
      <c r="E654" s="23" t="inlineStr">
        <is>
          <t>На войне и в плену. Воспоминания немецкого солдата. 1937—1950</t>
        </is>
      </c>
      <c r="F654" s="23" t="inlineStr">
        <is>
          <t>        </t>
        </is>
      </c>
      <c r="G654" s="23" t="n">
        <v>880</v>
      </c>
      <c r="H654" s="23" t="n">
        <v>10</v>
      </c>
      <c r="I654" s="23" t="n">
        <v>14</v>
      </c>
      <c r="J654" s="23" t="inlineStr">
        <is>
          <t>978-5-9524-6110-9</t>
        </is>
      </c>
      <c r="K654" s="23" t="inlineStr">
        <is>
          <t>84x108 1/32</t>
        </is>
      </c>
      <c r="L654" s="23" t="inlineStr">
        <is>
          <t>тв</t>
        </is>
      </c>
      <c r="M654" s="23" t="n">
        <v>255</v>
      </c>
      <c r="N654" s="23" t="n">
        <v>2025</v>
      </c>
      <c r="O654" s="23" t="n">
        <v>251</v>
      </c>
      <c r="P654" s="23" t="n"/>
      <c r="Q654" s="23" t="n"/>
      <c r="R654" s="25" t="inlineStr">
        <is>
          <t>В своих воспоминаниях Ханс Беккер, унтер-офицер германской армии, в которую он вступил в 1937 г., описывает путь, пройденный им по дорогам Второй мировой войны, и годы, проведенные в советских лагерях в качестве военнопленного. Простым и безыскусным языком солдата Беккер рассказывает о жестоких танковых боях под Тернополем, Дубно, Курском, о том, как выходил из окружения и попал в плен, бежал и снова был пойман, о годах тяжелых испытаний в неволе. Отбывая срок в Сибири, он с горькой иронией вспоминает, как презирал заключенных немецкого концлагеря, уверенный в том, что на их месте предпочел бы смерть унизительному существованию, не подозревая, что скоро сам в таких же обстоятельствах будет отчаянно бороться за выживание.</t>
        </is>
      </c>
      <c r="S654" s="26">
        <f>HYPERLINK("http://www.cnpol.ru/covers/21661.jpg","фото на сайте")</f>
        <v/>
      </c>
    </row>
    <row r="655" ht="50.1" customHeight="1" s="3">
      <c r="A655" s="23" t="inlineStr">
        <is>
          <t>Н</t>
        </is>
      </c>
      <c r="B655" s="24" t="inlineStr">
        <is>
          <t>22204</t>
        </is>
      </c>
      <c r="C655" s="23" t="inlineStr">
        <is>
          <t>ЗЛФ НОВ</t>
        </is>
      </c>
      <c r="D655" s="23" t="inlineStr">
        <is>
          <t>Вентцель Ф.</t>
        </is>
      </c>
      <c r="E655" s="23" t="inlineStr">
        <is>
          <t>Обратный билет. Воспоминания о немецком летчике, бежавшем из плена</t>
        </is>
      </c>
      <c r="F655" s="23" t="inlineStr">
        <is>
          <t>        </t>
        </is>
      </c>
      <c r="G655" s="23" t="n">
        <v>835</v>
      </c>
      <c r="H655" s="23" t="n">
        <v>10</v>
      </c>
      <c r="I655" s="23" t="n">
        <v>10</v>
      </c>
      <c r="J655" s="23" t="inlineStr">
        <is>
          <t>978-5-9524-6700-2</t>
        </is>
      </c>
      <c r="K655" s="23" t="inlineStr">
        <is>
          <t>84x108 1/32</t>
        </is>
      </c>
      <c r="L655" s="23" t="inlineStr">
        <is>
          <t>тв</t>
        </is>
      </c>
      <c r="M655" s="23" t="n">
        <v>223</v>
      </c>
      <c r="N655" s="23" t="n">
        <v>2026</v>
      </c>
      <c r="O655" s="23" t="n">
        <v>294</v>
      </c>
      <c r="P655" s="23" t="n"/>
      <c r="Q655" s="23" t="n"/>
      <c r="R655" s="25" t="inlineStr">
        <is>
          <t>В книге рассказывается о жизни бывших немецких офицеров в лагерях для военнопленных, расположенных в Англии и Канаде. Главный герой — Франц фон Верра прославился как единственный немецкий военнопленный, сумевший дважды бежать из плена: английского и канадского. Удивительную историю его побегов рассказывает Фриц Вентцель, лично знавший фон Верру.</t>
        </is>
      </c>
      <c r="S655" s="26">
        <f>HYPERLINK("http://www.cnpol.ru/covers/22204.jpg","фото на сайте")</f>
        <v/>
      </c>
    </row>
    <row r="656" ht="50.1" customHeight="1" s="3">
      <c r="A656" s="23" t="inlineStr">
        <is>
          <t>Н</t>
        </is>
      </c>
      <c r="B656" s="24" t="inlineStr">
        <is>
          <t>21550</t>
        </is>
      </c>
      <c r="C656" s="23" t="inlineStr">
        <is>
          <t>ЗЛФ НОВ</t>
        </is>
      </c>
      <c r="D656" s="23" t="inlineStr">
        <is>
          <t>Хохоф К.</t>
        </is>
      </c>
      <c r="E656" s="23" t="inlineStr">
        <is>
          <t>Русский дневник солдата вермахта. От Вислы до Волги. 1941—1943</t>
        </is>
      </c>
      <c r="F656" s="23" t="inlineStr">
        <is>
          <t>        </t>
        </is>
      </c>
      <c r="G656" s="27" t="n">
        <v>1258</v>
      </c>
      <c r="H656" s="23" t="n">
        <v>10</v>
      </c>
      <c r="I656" s="23" t="n">
        <v>10</v>
      </c>
      <c r="J656" s="23" t="inlineStr">
        <is>
          <t>978-5-9524-6225-0</t>
        </is>
      </c>
      <c r="K656" s="23" t="inlineStr">
        <is>
          <t>84x108 1/32</t>
        </is>
      </c>
      <c r="L656" s="23" t="inlineStr">
        <is>
          <t>тв</t>
        </is>
      </c>
      <c r="M656" s="23" t="n">
        <v>413</v>
      </c>
      <c r="N656" s="23" t="n">
        <v>2025</v>
      </c>
      <c r="O656" s="23" t="n">
        <v>475</v>
      </c>
      <c r="P656" s="23" t="n"/>
      <c r="Q656" s="23" t="n"/>
      <c r="R656" s="25" t="inlineStr">
        <is>
          <t>За годы Второй мировой войны Курт Хохоф, служа в вооруженных силах Германии, прошел путь от рядового солдата до офицера. Он принимал участие в действиях гитлеровской армии на территориях Польши, Франции и Советского Союза. В обязанности связного Курта Хохофа входило ведение журнала боевых действий его полка, что помогло ему восстановить события, участником и свидетелем которых он являлся. Обладая несомненным литературным талантом, хорошо образованный немец подробно описывает жестокие бои на Днепре, на подступах к Дону и под Сталинградом, упорное сопротивление Красной армии. И о том, как он размышлял о будущем Германии, как наступило отрезвление и понимание надвигающейся катастрофы.</t>
        </is>
      </c>
      <c r="S656" s="26">
        <f>HYPERLINK("http://www.cnpol.ru/covers/21550.jpg","фото на сайте")</f>
        <v/>
      </c>
    </row>
    <row r="657" ht="50.1" customHeight="1" s="3">
      <c r="A657" s="23" t="inlineStr">
        <is>
          <t>Д</t>
        </is>
      </c>
      <c r="B657" s="24" t="inlineStr">
        <is>
          <t>22092</t>
        </is>
      </c>
      <c r="C657" s="23" t="inlineStr">
        <is>
          <t>ЗЛФ НОВ</t>
        </is>
      </c>
      <c r="D657" s="23" t="inlineStr">
        <is>
          <t>Гёрлиц В.</t>
        </is>
      </c>
      <c r="E657" s="23" t="inlineStr">
        <is>
          <t>Сталинградская эпопея. Свидетельства генерал-фельдмаршала Фридриха Паулюса. 1939—1943</t>
        </is>
      </c>
      <c r="F657" s="23" t="inlineStr">
        <is>
          <t>        </t>
        </is>
      </c>
      <c r="G657" s="27" t="n">
        <v>1110</v>
      </c>
      <c r="H657" s="23" t="n">
        <v>10</v>
      </c>
      <c r="I657" s="23" t="n">
        <v>10</v>
      </c>
      <c r="J657" s="23" t="inlineStr">
        <is>
          <t>978-5-9524-6677-7</t>
        </is>
      </c>
      <c r="K657" s="23" t="inlineStr">
        <is>
          <t>84x108 1/32</t>
        </is>
      </c>
      <c r="L657" s="23" t="inlineStr">
        <is>
          <t>тв</t>
        </is>
      </c>
      <c r="M657" s="23" t="n">
        <v>380</v>
      </c>
      <c r="N657" s="23" t="n">
        <v>2026</v>
      </c>
      <c r="O657" s="23" t="n">
        <v>425</v>
      </c>
      <c r="P657" s="23" t="n"/>
      <c r="Q657" s="23" t="n"/>
      <c r="R657" s="25" t="inlineStr">
        <is>
          <t>Составитель книги историк Вальтер Гёрлиц представил заметки из личного архива Паулюса, в которых фельдмаршал описывает свою деятельность в Генеральном штабе сухопутных войск в качестве командующего 6-й армией. Большой интерес представляют записи о подготовке операции «Зеелеве» и о тактических учениях в процессе разработки плана «Барбаросса». Кроме того, Гёрлиц дополнил книгу материалами по истории Сталинградской битвы. Среди них переговоры по телетайпу и записи офицеров вермахта (фельдмаршала фон Бока, генерал-полковника Рихтгофена, генерал-лейтенанта Артура Шмидта и других).</t>
        </is>
      </c>
      <c r="S657" s="26">
        <f>HYPERLINK("http://www.cnpol.ru/covers/22092.jpg","фото на сайте")</f>
        <v/>
      </c>
    </row>
    <row r="658" ht="50.1" customHeight="1" s="3">
      <c r="A658" s="23" t="inlineStr">
        <is>
          <t>Н</t>
        </is>
      </c>
      <c r="B658" s="24" t="inlineStr">
        <is>
          <t>21437</t>
        </is>
      </c>
      <c r="C658" s="23" t="inlineStr">
        <is>
          <t>ЗЛФ НОВ</t>
        </is>
      </c>
      <c r="D658" s="23" t="inlineStr">
        <is>
          <t>Гёбелер Г.Я.</t>
        </is>
      </c>
      <c r="E658" s="23" t="inlineStr">
        <is>
          <t>Стальной корабль, железный экипаж</t>
        </is>
      </c>
      <c r="F658" s="23" t="inlineStr">
        <is>
          <t>        </t>
        </is>
      </c>
      <c r="G658" s="27" t="n">
        <v>1033</v>
      </c>
      <c r="H658" s="23" t="n">
        <v>10</v>
      </c>
      <c r="I658" s="23" t="n">
        <v>12</v>
      </c>
      <c r="J658" s="23" t="inlineStr">
        <is>
          <t>978-5-9524-6255-7</t>
        </is>
      </c>
      <c r="K658" s="23" t="inlineStr">
        <is>
          <t>84x108 1/32</t>
        </is>
      </c>
      <c r="L658" s="23" t="inlineStr">
        <is>
          <t>тв</t>
        </is>
      </c>
      <c r="M658" s="23" t="n">
        <v>319</v>
      </c>
      <c r="N658" s="23" t="n">
        <v>2021</v>
      </c>
      <c r="O658" s="23" t="n">
        <v>299</v>
      </c>
      <c r="P658" s="23" t="n"/>
      <c r="Q658" s="23" t="n"/>
      <c r="R658" s="25" t="inlineStr">
        <is>
          <t>Автор воспоминаний Ганс Якоб Гёбелер во время Второй мировой войны служил мотористом второго класса  на германской подводной лодке U-505. С немецкой тщательностью и аккуратностью Гёбелер делал записи об устройстве подводной лодки, о своей службе, о жизни экипажа в ограниченном пространстве субмарины, о выполнении боевых заданий и бытовых проблемах, которые приходилось решать морякам. Живо, ярко и подробно автор описывает походы в Атлантике и в Карибском море, рассказывает о своих боевых товарищах и дает оценку командирам, с горечью отмечая, что иногда экипажу приходилось бороться с четырьмя врагами: морем, англичанами, повреждениями техники и собственными офицерами. В течение десяти лет Ганс Гёбелер работал над своими мемуарами и завершил их с помощью журналиста, профессора Бейнбриджского университета  Джона Ванцо._x000D_
Книга снабжена картами, показывающими путь, пройденный субмариной U-505.</t>
        </is>
      </c>
      <c r="S658" s="26">
        <f>HYPERLINK("http://www.cnpol.ru/covers/21437.jpg","фото на сайте")</f>
        <v/>
      </c>
    </row>
    <row r="659" ht="50.1" customHeight="1" s="3">
      <c r="A659" s="23" t="inlineStr">
        <is>
          <t>Д</t>
        </is>
      </c>
      <c r="B659" s="24" t="inlineStr">
        <is>
          <t>22111</t>
        </is>
      </c>
      <c r="C659" s="23" t="inlineStr">
        <is>
          <t>ЗЛФ НОВ</t>
        </is>
      </c>
      <c r="D659" s="23" t="inlineStr">
        <is>
          <t>Вернер Г.</t>
        </is>
      </c>
      <c r="E659" s="23" t="inlineStr">
        <is>
          <t>Стальные гробы. Немецкие подводные лодки: секретные операции 1941—1945 гг.</t>
        </is>
      </c>
      <c r="F659" s="23" t="inlineStr">
        <is>
          <t>        </t>
        </is>
      </c>
      <c r="G659" s="27" t="n">
        <v>1318</v>
      </c>
      <c r="H659" s="23" t="n">
        <v>10</v>
      </c>
      <c r="I659" s="23" t="n">
        <v>5</v>
      </c>
      <c r="J659" s="23" t="inlineStr">
        <is>
          <t>978-5-9524-6662-3</t>
        </is>
      </c>
      <c r="K659" s="23" t="inlineStr">
        <is>
          <t>84x108 1/32</t>
        </is>
      </c>
      <c r="L659" s="23" t="inlineStr">
        <is>
          <t>тв</t>
        </is>
      </c>
      <c r="M659" s="23" t="n">
        <v>474</v>
      </c>
      <c r="N659" s="23" t="n">
        <v>2026</v>
      </c>
      <c r="O659" s="23" t="n">
        <v>531</v>
      </c>
      <c r="P659" s="23" t="n"/>
      <c r="Q659" s="23" t="n"/>
      <c r="R659" s="25" t="inlineStr">
        <is>
          <t>Бывший командир-подводник Герберт Вернер знакомит читателя в своих мемуарах с действиями немецких субмарин в акватории Атлантического океана в Бискайском заливе и Ла-Манше против английского и американского флотов во время Второй мировой войны.</t>
        </is>
      </c>
      <c r="S659" s="26">
        <f>HYPERLINK("http://www.cnpol.ru/covers/22111.jpg","фото на сайте")</f>
        <v/>
      </c>
    </row>
    <row r="660" ht="50.1" customHeight="1" s="3">
      <c r="A660" s="23" t="inlineStr">
        <is>
          <t>Д</t>
        </is>
      </c>
      <c r="B660" s="24" t="inlineStr">
        <is>
          <t>22104</t>
        </is>
      </c>
      <c r="C660" s="23" t="inlineStr">
        <is>
          <t>ЗЛФ НОВ</t>
        </is>
      </c>
      <c r="D660" s="23" t="inlineStr">
        <is>
          <t>Люббеке В.</t>
        </is>
      </c>
      <c r="E660" s="23" t="inlineStr">
        <is>
          <t>У ворот Ленинграда. История солдата группы армий «Север». 1941—1945</t>
        </is>
      </c>
      <c r="F660" s="23" t="inlineStr">
        <is>
          <t>        </t>
        </is>
      </c>
      <c r="G660" s="23" t="n">
        <v>970</v>
      </c>
      <c r="H660" s="23" t="n">
        <v>10</v>
      </c>
      <c r="I660" s="23" t="n">
        <v>10</v>
      </c>
      <c r="J660" s="23" t="inlineStr">
        <is>
          <t>978-5-227-10254-6</t>
        </is>
      </c>
      <c r="K660" s="23" t="inlineStr">
        <is>
          <t>84x108 1/32</t>
        </is>
      </c>
      <c r="L660" s="23" t="inlineStr">
        <is>
          <t>тв</t>
        </is>
      </c>
      <c r="M660" s="23" t="n">
        <v>287</v>
      </c>
      <c r="N660" s="23" t="n">
        <v>2022</v>
      </c>
      <c r="O660" s="23" t="n">
        <v>360</v>
      </c>
      <c r="P660" s="23" t="n"/>
      <c r="Q660" s="23" t="n"/>
      <c r="R660" s="25" t="inlineStr">
        <is>
          <t>Солдат вермахта Вильгельм Люббеке начал военную службу в 1939 г. рядовым и окончил ее командиром роты в чине обер-лейтенанта в 1945 г. Он воевал в Польше, во Франции, в Бельгии, в России, где участвовал в боях на реке Волхов, в коридоре Демянского котла, у Новгорода и Ладожского озера. А в 1944 г. вместе со своей ротой с изматывающими боями отступал через Прибалтику в направлении Восточной Пруссии. Автор подробно рассказывает о тяжелых фронтовых буднях и подробностях солдатского быта, размышляет о том, чего ждала Германия и что получила в результате этой войны. Воспоминания Люббеке — это взгляд на опыт немецких солдат на фронтах Второй мировой войны выжившего свидетеля событий. _x000D_
Книга снабжена картами и фотоматериалами.</t>
        </is>
      </c>
      <c r="S660" s="26">
        <f>HYPERLINK("http://www.cnpol.ru/covers/22104.jpg","фото на сайте")</f>
        <v/>
      </c>
    </row>
    <row r="661" ht="50.1" customHeight="1" s="3">
      <c r="A661" s="23" t="inlineStr">
        <is>
          <t>Н</t>
        </is>
      </c>
      <c r="B661" s="24" t="inlineStr">
        <is>
          <t>21646</t>
        </is>
      </c>
      <c r="C661" s="23" t="inlineStr">
        <is>
          <t>ЗМП</t>
        </is>
      </c>
      <c r="D661" s="23" t="inlineStr">
        <is>
          <t>Брайтенедер Э., Фрут Э., Хаслер Дж</t>
        </is>
      </c>
      <c r="E661" s="23" t="inlineStr">
        <is>
          <t>Кондитерские, пекарни, чайные</t>
        </is>
      </c>
      <c r="F661" s="23" t="inlineStr">
        <is>
          <t>        </t>
        </is>
      </c>
      <c r="G661" s="27" t="n">
        <v>2137</v>
      </c>
      <c r="H661" s="23" t="n">
        <v>10</v>
      </c>
      <c r="I661" s="23" t="n">
        <v>3</v>
      </c>
      <c r="J661" s="23" t="inlineStr">
        <is>
          <t>978-5-9524-6407-0</t>
        </is>
      </c>
      <c r="K661" s="23" t="inlineStr">
        <is>
          <t>84x108 1/32</t>
        </is>
      </c>
      <c r="L661" s="23" t="inlineStr">
        <is>
          <t>тв</t>
        </is>
      </c>
      <c r="M661" s="23" t="n">
        <v>991</v>
      </c>
      <c r="N661" s="23" t="n">
        <v>2025</v>
      </c>
      <c r="O661" s="23" t="n">
        <v>860</v>
      </c>
      <c r="P661" s="23" t="n"/>
      <c r="Q661" s="23" t="n"/>
      <c r="R661" s="25" t="inlineStr">
        <is>
          <t>В этой кондитерской мега-энциклопедии собрана обширнейшая коллекция рецептов и приемов приготовления блюд, которыми славятся лучшие из лучших кондитерских домов Европы и Америки. Подробно изложена технология приготовления восхитительной выпечки, десертов с оригинальными съедобными украшениями и полезных напитков с богатой палитрой вкусов. Приведены рецепты низкокалорийной выпечки для приверженцев диетического питания, а также таблицы, из которых можно узнать энергетическую ценность каждого продукта. Книга подарит множество прекрасных идей для творчества, снабдит практическими рекомендациями, помогающими их успешно реализовать, и кондитеров-профессионалов, и всех тех, кто увлекается домашней выпечкой.</t>
        </is>
      </c>
      <c r="S661" s="26">
        <f>HYPERLINK("http://www.cnpol.ru/covers/21646.jpg","фото на сайте")</f>
        <v/>
      </c>
    </row>
    <row r="662" ht="50.1" customHeight="1" s="3">
      <c r="A662" s="23" t="n"/>
      <c r="B662" s="24" t="inlineStr">
        <is>
          <t>10214</t>
        </is>
      </c>
      <c r="C662" s="23" t="inlineStr">
        <is>
          <t>ЗР+</t>
        </is>
      </c>
      <c r="D662" s="23" t="inlineStr">
        <is>
          <t>Гладкий В.</t>
        </is>
      </c>
      <c r="E662" s="23" t="inlineStr">
        <is>
          <t>Сокровище рыцарей храма</t>
        </is>
      </c>
      <c r="F662" s="23" t="inlineStr">
        <is>
          <t>        </t>
        </is>
      </c>
      <c r="G662" s="23" t="n">
        <v>358</v>
      </c>
      <c r="H662" s="23" t="n">
        <v>10</v>
      </c>
      <c r="I662" s="23" t="n">
        <v>18</v>
      </c>
      <c r="J662" s="23" t="inlineStr">
        <is>
          <t>978-5-9524-3358-8</t>
        </is>
      </c>
      <c r="K662" s="23" t="inlineStr">
        <is>
          <t>84x108 1/32</t>
        </is>
      </c>
      <c r="L662" s="23" t="inlineStr">
        <is>
          <t>тв</t>
        </is>
      </c>
      <c r="M662" s="23" t="n">
        <v>288</v>
      </c>
      <c r="N662" s="23" t="n">
        <v>2008</v>
      </c>
      <c r="O662" s="23" t="n">
        <v>254</v>
      </c>
      <c r="P662" s="23" t="n"/>
      <c r="Q662" s="23" t="n"/>
      <c r="R662" s="25" t="n"/>
      <c r="S662" s="26">
        <f>HYPERLINK("http://www.cnpol.ru/covers/10214.jpg","фото на сайте")</f>
        <v/>
      </c>
    </row>
    <row r="663" ht="50.1" customHeight="1" s="3">
      <c r="A663" s="23" t="n"/>
      <c r="B663" s="24" t="inlineStr">
        <is>
          <t>17322</t>
        </is>
      </c>
      <c r="C663" s="23" t="inlineStr">
        <is>
          <t>ИВБ</t>
        </is>
      </c>
      <c r="D663" s="23" t="inlineStr">
        <is>
          <t>Пирлинг П.О.</t>
        </is>
      </c>
      <c r="E663" s="23" t="inlineStr">
        <is>
          <t>София Палеолог</t>
        </is>
      </c>
      <c r="F663" s="23" t="inlineStr">
        <is>
          <t>        </t>
        </is>
      </c>
      <c r="G663" s="23" t="n">
        <v>554</v>
      </c>
      <c r="H663" s="23" t="n">
        <v>10</v>
      </c>
      <c r="I663" s="23" t="n">
        <v>16</v>
      </c>
      <c r="J663" s="23" t="inlineStr">
        <is>
          <t>978-5-227-06622-0</t>
        </is>
      </c>
      <c r="K663" s="23" t="inlineStr">
        <is>
          <t>70x108 1/32</t>
        </is>
      </c>
      <c r="L663" s="23" t="inlineStr">
        <is>
          <t>тв</t>
        </is>
      </c>
      <c r="M663" s="23" t="n">
        <v>192</v>
      </c>
      <c r="N663" s="23" t="n">
        <v>2017</v>
      </c>
      <c r="O663" s="23" t="n">
        <v>188</v>
      </c>
      <c r="P663" s="23" t="n"/>
      <c r="Q663" s="23" t="n"/>
      <c r="R663" s="25" t="n"/>
      <c r="S663" s="26">
        <f>HYPERLINK("http://www.cnpol.ru/covers/17322.jpg","фото на сайте")</f>
        <v/>
      </c>
    </row>
    <row r="664" ht="50.1" customHeight="1" s="3">
      <c r="A664" s="23" t="n"/>
      <c r="B664" s="24" t="inlineStr">
        <is>
          <t>4672</t>
        </is>
      </c>
      <c r="C664" s="23" t="inlineStr">
        <is>
          <t>ИД</t>
        </is>
      </c>
      <c r="D664" s="23" t="inlineStr">
        <is>
          <t>Рощина М.</t>
        </is>
      </c>
      <c r="E664" s="23" t="inlineStr">
        <is>
          <t>В постели с диджеем</t>
        </is>
      </c>
      <c r="F664" s="23" t="inlineStr">
        <is>
          <t>        </t>
        </is>
      </c>
      <c r="G664" s="23" t="n">
        <v>408</v>
      </c>
      <c r="H664" s="23" t="n">
        <v>10</v>
      </c>
      <c r="I664" s="23" t="n">
        <v>16</v>
      </c>
      <c r="J664" s="23" t="inlineStr">
        <is>
          <t>5-9524-0887-7</t>
        </is>
      </c>
      <c r="K664" s="23" t="inlineStr">
        <is>
          <t>84x108 1/32</t>
        </is>
      </c>
      <c r="L664" s="23" t="inlineStr">
        <is>
          <t>тв</t>
        </is>
      </c>
      <c r="M664" s="23" t="n">
        <v>366</v>
      </c>
      <c r="N664" s="23" t="n">
        <v>2004</v>
      </c>
      <c r="O664" s="23" t="n">
        <v>300</v>
      </c>
      <c r="P664" s="23" t="n"/>
      <c r="Q664" s="23" t="n"/>
      <c r="R664" s="25" t="inlineStr">
        <is>
          <t>Дела у акул пера Ани Старцевой и Андрея Ветрова как в сказке — чем дальше, тем страшнее. Сначала на популярную радиостанцию звонит... Нострадамус. Он предсказывает народной любимице DJ Сказке скорую смерть в прямом эфире. Страшное пророчество сбывается, только для другого ведущего. Аня уверена — это сенсационный материал!</t>
        </is>
      </c>
      <c r="S664" s="26">
        <f>HYPERLINK("http://www.cnpol.ru/covers/4672.jpg","фото на сайте")</f>
        <v/>
      </c>
    </row>
    <row r="665" ht="50.1" customHeight="1" s="3">
      <c r="A665" s="23" t="n"/>
      <c r="B665" s="24" t="inlineStr">
        <is>
          <t>5460</t>
        </is>
      </c>
      <c r="C665" s="23" t="inlineStr">
        <is>
          <t>ИД</t>
        </is>
      </c>
      <c r="D665" s="23" t="inlineStr">
        <is>
          <t>Монастырская А.</t>
        </is>
      </c>
      <c r="E665" s="23" t="inlineStr">
        <is>
          <t>Кенгуру в ночи</t>
        </is>
      </c>
      <c r="F665" s="23" t="inlineStr">
        <is>
          <t>        </t>
        </is>
      </c>
      <c r="G665" s="23" t="n">
        <v>408</v>
      </c>
      <c r="H665" s="23" t="n">
        <v>10</v>
      </c>
      <c r="I665" s="23" t="n">
        <v>14</v>
      </c>
      <c r="J665" s="23" t="inlineStr">
        <is>
          <t>5-9524-1505-9</t>
        </is>
      </c>
      <c r="K665" s="23" t="inlineStr">
        <is>
          <t>84x108 1/32</t>
        </is>
      </c>
      <c r="L665" s="23" t="inlineStr">
        <is>
          <t>тв</t>
        </is>
      </c>
      <c r="M665" s="23" t="n">
        <v>320</v>
      </c>
      <c r="N665" s="23" t="n">
        <v>2005</v>
      </c>
      <c r="O665" s="23" t="n">
        <v>278</v>
      </c>
      <c r="P665" s="23" t="n"/>
      <c r="Q665" s="23" t="n"/>
      <c r="R665" s="25" t="inlineStr">
        <is>
          <t>В один день исчезли все домочадцы Стефании, или просто Эфы, Ивановой — пятеро взрослых и двое детей семи лет от роду. Милиция -не спешит принимать заявление, ведь официально Стефания им -никто! Теперь Эфе даже не с кем праздновать Новый год. Подарок есть — огромный кенгуру, а вручить его некому.</t>
        </is>
      </c>
      <c r="S665" s="26">
        <f>HYPERLINK("http://www.cnpol.ru/covers/5460.jpg","фото на сайте")</f>
        <v/>
      </c>
    </row>
    <row r="666" ht="50.1" customHeight="1" s="3">
      <c r="A666" s="23" t="n"/>
      <c r="B666" s="24" t="inlineStr">
        <is>
          <t>7591</t>
        </is>
      </c>
      <c r="C666" s="23" t="inlineStr">
        <is>
          <t>ИД</t>
        </is>
      </c>
      <c r="D666" s="23" t="inlineStr">
        <is>
          <t>Мусина М.</t>
        </is>
      </c>
      <c r="E666" s="23" t="inlineStr">
        <is>
          <t>Любовь на кофейной гуще</t>
        </is>
      </c>
      <c r="F666" s="23" t="inlineStr">
        <is>
          <t>        </t>
        </is>
      </c>
      <c r="G666" s="23" t="n">
        <v>408</v>
      </c>
      <c r="H666" s="23" t="n">
        <v>10</v>
      </c>
      <c r="I666" s="23" t="n">
        <v>18</v>
      </c>
      <c r="J666" s="23" t="inlineStr">
        <is>
          <t>5-9524-2475-9</t>
        </is>
      </c>
      <c r="K666" s="23" t="inlineStr">
        <is>
          <t>84x108 1/32</t>
        </is>
      </c>
      <c r="L666" s="23" t="inlineStr">
        <is>
          <t>тв</t>
        </is>
      </c>
      <c r="M666" s="23" t="n">
        <v>252</v>
      </c>
      <c r="N666" s="23" t="n">
        <v>2008</v>
      </c>
      <c r="O666" s="23" t="n">
        <v>238</v>
      </c>
      <c r="P666" s="23" t="n"/>
      <c r="Q666" s="23" t="n"/>
      <c r="R666" s="25" t="inlineStr">
        <is>
          <t>Когда все празднуют Новый год, незамужней женщине особенно одиноко, а тут еще родственники с категорическими требованиями немедленно покончить с автономным существованием. Сдавшись, Муся пошла к рекомендованной ей подругой известной гадалке Дане, которая тут же значительно облегчила не только Мусину душу, но и кошелек. Вскоре обнаруживается...</t>
        </is>
      </c>
      <c r="S666" s="26">
        <f>HYPERLINK("http://www.cnpol.ru/covers/7591.jpg","фото на сайте")</f>
        <v/>
      </c>
    </row>
    <row r="667" ht="50.1" customHeight="1" s="3">
      <c r="A667" s="23" t="n"/>
      <c r="B667" s="24" t="inlineStr">
        <is>
          <t>4989</t>
        </is>
      </c>
      <c r="C667" s="23" t="inlineStr">
        <is>
          <t>ИД</t>
        </is>
      </c>
      <c r="D667" s="23" t="inlineStr">
        <is>
          <t>Рощина М.</t>
        </is>
      </c>
      <c r="E667" s="23" t="inlineStr">
        <is>
          <t>Прощай мафия</t>
        </is>
      </c>
      <c r="F667" s="23" t="inlineStr">
        <is>
          <t>        </t>
        </is>
      </c>
      <c r="G667" s="23" t="n">
        <v>408</v>
      </c>
      <c r="H667" s="23" t="n">
        <v>10</v>
      </c>
      <c r="I667" s="23" t="n">
        <v>14</v>
      </c>
      <c r="J667" s="23" t="inlineStr">
        <is>
          <t>5-9524-1156-8</t>
        </is>
      </c>
      <c r="K667" s="23" t="inlineStr">
        <is>
          <t>84x108 1/32</t>
        </is>
      </c>
      <c r="L667" s="23" t="inlineStr">
        <is>
          <t>тв</t>
        </is>
      </c>
      <c r="M667" s="23" t="n">
        <v>368</v>
      </c>
      <c r="N667" s="23" t="n">
        <v>2004</v>
      </c>
      <c r="O667" s="23" t="n">
        <v>318</v>
      </c>
      <c r="P667" s="23" t="n"/>
      <c r="Q667" s="23" t="n"/>
      <c r="R667" s="25" t="n"/>
      <c r="S667" s="26">
        <f>HYPERLINK("http://www.cnpol.ru/covers/4989.jpg","фото на сайте")</f>
        <v/>
      </c>
    </row>
    <row r="668" ht="50.1" customHeight="1" s="3">
      <c r="A668" s="23" t="n"/>
      <c r="B668" s="24" t="inlineStr">
        <is>
          <t>4884</t>
        </is>
      </c>
      <c r="C668" s="23" t="inlineStr">
        <is>
          <t>ИД</t>
        </is>
      </c>
      <c r="D668" s="23" t="inlineStr">
        <is>
          <t>Монастырская А.</t>
        </is>
      </c>
      <c r="E668" s="23" t="inlineStr">
        <is>
          <t>Робинзон по пятницам</t>
        </is>
      </c>
      <c r="F668" s="23" t="inlineStr">
        <is>
          <t>        </t>
        </is>
      </c>
      <c r="G668" s="23" t="n">
        <v>338</v>
      </c>
      <c r="H668" s="23" t="n">
        <v>10</v>
      </c>
      <c r="I668" s="23" t="n">
        <v>12</v>
      </c>
      <c r="J668" s="23" t="inlineStr">
        <is>
          <t>5-9524-1066-9</t>
        </is>
      </c>
      <c r="K668" s="23" t="inlineStr">
        <is>
          <t>84x108 1/32</t>
        </is>
      </c>
      <c r="L668" s="23" t="inlineStr">
        <is>
          <t>тв</t>
        </is>
      </c>
      <c r="M668" s="23" t="n">
        <v>365</v>
      </c>
      <c r="N668" s="23" t="n">
        <v>2004</v>
      </c>
      <c r="O668" s="23" t="n">
        <v>300</v>
      </c>
      <c r="P668" s="23" t="n"/>
      <c r="Q668" s="23" t="n"/>
      <c r="R668" s="25" t="n"/>
      <c r="S668" s="26">
        <f>HYPERLINK("http://www.cnpol.ru/covers/4884.jpg","фото на сайте")</f>
        <v/>
      </c>
    </row>
    <row r="669" ht="50.1" customHeight="1" s="3">
      <c r="A669" s="23" t="n"/>
      <c r="B669" s="24" t="inlineStr">
        <is>
          <t>4411</t>
        </is>
      </c>
      <c r="C669" s="23" t="inlineStr">
        <is>
          <t>ИД</t>
        </is>
      </c>
      <c r="D669" s="23" t="inlineStr">
        <is>
          <t>Рощина М.</t>
        </is>
      </c>
      <c r="E669" s="23" t="inlineStr">
        <is>
          <t>Суд Джульетты</t>
        </is>
      </c>
      <c r="F669" s="23" t="inlineStr">
        <is>
          <t>        </t>
        </is>
      </c>
      <c r="G669" s="23" t="n">
        <v>408</v>
      </c>
      <c r="H669" s="23" t="n">
        <v>10</v>
      </c>
      <c r="I669" s="23" t="n">
        <v>12</v>
      </c>
      <c r="J669" s="23" t="inlineStr">
        <is>
          <t>5-9524-0685-8</t>
        </is>
      </c>
      <c r="K669" s="23" t="inlineStr">
        <is>
          <t>84x108 1/32</t>
        </is>
      </c>
      <c r="L669" s="23" t="inlineStr">
        <is>
          <t>тв</t>
        </is>
      </c>
      <c r="M669" s="23" t="n">
        <v>398</v>
      </c>
      <c r="N669" s="23" t="n">
        <v>2003</v>
      </c>
      <c r="O669" s="23" t="n">
        <v>332</v>
      </c>
      <c r="P669" s="23" t="n"/>
      <c r="Q669" s="23" t="n"/>
      <c r="R669" s="25" t="n"/>
      <c r="S669" s="26">
        <f>HYPERLINK("http://www.cnpol.ru/covers/4411.jpg","фото на сайте")</f>
        <v/>
      </c>
    </row>
    <row r="670" ht="50.1" customHeight="1" s="3">
      <c r="A670" s="23" t="n"/>
      <c r="B670" s="24" t="inlineStr">
        <is>
          <t>4988</t>
        </is>
      </c>
      <c r="C670" s="23" t="inlineStr">
        <is>
          <t>ИД</t>
        </is>
      </c>
      <c r="D670" s="23" t="inlineStr">
        <is>
          <t>Монастырская А.</t>
        </is>
      </c>
      <c r="E670" s="23" t="inlineStr">
        <is>
          <t>Фарш Мендельсона</t>
        </is>
      </c>
      <c r="F670" s="23" t="inlineStr">
        <is>
          <t>        </t>
        </is>
      </c>
      <c r="G670" s="23" t="n">
        <v>408</v>
      </c>
      <c r="H670" s="23" t="n">
        <v>10</v>
      </c>
      <c r="I670" s="23" t="n">
        <v>14</v>
      </c>
      <c r="J670" s="23" t="inlineStr">
        <is>
          <t>5-9524-1155-X</t>
        </is>
      </c>
      <c r="K670" s="23" t="inlineStr">
        <is>
          <t>84x108 1/32</t>
        </is>
      </c>
      <c r="L670" s="23" t="inlineStr">
        <is>
          <t>тв</t>
        </is>
      </c>
      <c r="M670" s="23" t="n">
        <v>336</v>
      </c>
      <c r="N670" s="23" t="n">
        <v>2004</v>
      </c>
      <c r="O670" s="23" t="n">
        <v>296</v>
      </c>
      <c r="P670" s="23" t="n"/>
      <c r="Q670" s="23" t="n"/>
      <c r="R670" s="25" t="n"/>
      <c r="S670" s="26">
        <f>HYPERLINK("http://www.cnpol.ru/covers/4988.jpg","фото на сайте")</f>
        <v/>
      </c>
    </row>
    <row r="671" ht="50.1" customHeight="1" s="3">
      <c r="A671" s="23" t="n"/>
      <c r="B671" s="24" t="inlineStr">
        <is>
          <t>5260</t>
        </is>
      </c>
      <c r="C671" s="23" t="inlineStr">
        <is>
          <t>ИД</t>
        </is>
      </c>
      <c r="D671" s="23" t="inlineStr">
        <is>
          <t>Монастырская А.</t>
        </is>
      </c>
      <c r="E671" s="23" t="inlineStr">
        <is>
          <t>Этюд в багровых штанах</t>
        </is>
      </c>
      <c r="F671" s="23" t="inlineStr">
        <is>
          <t>        </t>
        </is>
      </c>
      <c r="G671" s="23" t="n">
        <v>408</v>
      </c>
      <c r="H671" s="23" t="n">
        <v>10</v>
      </c>
      <c r="I671" s="23" t="n">
        <v>14</v>
      </c>
      <c r="J671" s="23" t="inlineStr">
        <is>
          <t>5-9524-1348-X</t>
        </is>
      </c>
      <c r="K671" s="23" t="inlineStr">
        <is>
          <t>84x108 1/32</t>
        </is>
      </c>
      <c r="L671" s="23" t="inlineStr">
        <is>
          <t>тв</t>
        </is>
      </c>
      <c r="M671" s="23" t="n">
        <v>335</v>
      </c>
      <c r="N671" s="23" t="n">
        <v>2004</v>
      </c>
      <c r="O671" s="23" t="n">
        <v>300</v>
      </c>
      <c r="P671" s="23" t="n"/>
      <c r="Q671" s="23" t="n"/>
      <c r="R671" s="25" t="n"/>
      <c r="S671" s="26">
        <f>HYPERLINK("http://www.cnpol.ru/covers/5260.jpg","фото на сайте")</f>
        <v/>
      </c>
    </row>
    <row r="672" ht="50.1" customHeight="1" s="3">
      <c r="A672" s="23" t="n"/>
      <c r="B672" s="24" t="inlineStr">
        <is>
          <t>20687</t>
        </is>
      </c>
      <c r="C672" s="23" t="inlineStr">
        <is>
          <t>ИЗМАЙЛОВ</t>
        </is>
      </c>
      <c r="D672" s="23" t="inlineStr">
        <is>
          <t>Измайлов Л. М</t>
        </is>
      </c>
      <c r="E672" s="23" t="inlineStr">
        <is>
          <t>Господа юмористы. Рассказы о лучших сатириках страны, байки и записки на полях</t>
        </is>
      </c>
      <c r="F672" s="23" t="inlineStr">
        <is>
          <t>        </t>
        </is>
      </c>
      <c r="G672" s="23" t="n">
        <v>754</v>
      </c>
      <c r="H672" s="23" t="n">
        <v>10</v>
      </c>
      <c r="I672" s="23" t="n">
        <v>16</v>
      </c>
      <c r="J672" s="23" t="inlineStr">
        <is>
          <t>978-5-227-09999-0</t>
        </is>
      </c>
      <c r="K672" s="23" t="inlineStr">
        <is>
          <t>82x100 1/32</t>
        </is>
      </c>
      <c r="L672" s="23" t="inlineStr">
        <is>
          <t>тв</t>
        </is>
      </c>
      <c r="M672" s="23" t="n">
        <v>351</v>
      </c>
      <c r="N672" s="23" t="n">
        <v>2023</v>
      </c>
      <c r="O672" s="23" t="n">
        <v>326</v>
      </c>
      <c r="P672" s="23" t="n"/>
      <c r="Q672" s="23" t="n"/>
      <c r="R672" s="25" t="inlineStr">
        <is>
          <t>Лион Моисеевич Измайлов — прекрасный рассказчик, и это качество не изменяет ему и когда он делится историями о коллегах по цеху. Каждая описанная им личность уникальна и поэтому обросла байками, анекдотами и просто смешными случаями. Их-то Лион Моисеевич, часто — непосредственный участник событий, и описывает в своей непревзойдённой манере. Не обойдены вниманием Михаил Задорнов, Геннадий Хазанов, Аркадий Райкин, Аркадий Хайт и Аркадий Курляндский, Михаил Жванецкий, Аркадий Арканов, Анатолий Трушкин, Роман Карцев, Михаил Танич, Леонид Дербенёв и другие юмористы. Упомянуты и непростые отношения автора и артиста. А на десерт — весёлые записки разных лет с юмором на любой вкус.</t>
        </is>
      </c>
      <c r="S672" s="26">
        <f>HYPERLINK("http://www.cnpol.ru/covers/20687.jpg","фото на сайте")</f>
        <v/>
      </c>
    </row>
    <row r="673" ht="50.1" customHeight="1" s="3">
      <c r="A673" s="23" t="n"/>
      <c r="B673" s="24" t="inlineStr">
        <is>
          <t>19994</t>
        </is>
      </c>
      <c r="C673" s="23" t="inlineStr">
        <is>
          <t>ИЗМАЙЛОВ</t>
        </is>
      </c>
      <c r="D673" s="23" t="inlineStr">
        <is>
          <t>Измайлов Л. М</t>
        </is>
      </c>
      <c r="E673" s="23" t="inlineStr">
        <is>
          <t>За милых дам! Весёлые байки, анекдоты, рассказы и повести о женщинах и для женщин</t>
        </is>
      </c>
      <c r="F673" s="23" t="inlineStr">
        <is>
          <t>        </t>
        </is>
      </c>
      <c r="G673" s="23" t="n">
        <v>754</v>
      </c>
      <c r="H673" s="23" t="n">
        <v>10</v>
      </c>
      <c r="I673" s="23" t="n">
        <v>10</v>
      </c>
      <c r="J673" s="23" t="inlineStr">
        <is>
          <t>978-5-227-09541-1</t>
        </is>
      </c>
      <c r="K673" s="23" t="inlineStr">
        <is>
          <t>82x100 1/32</t>
        </is>
      </c>
      <c r="L673" s="23" t="inlineStr">
        <is>
          <t>тв</t>
        </is>
      </c>
      <c r="M673" s="23" t="n">
        <v>383</v>
      </c>
      <c r="N673" s="23" t="n">
        <v>2021</v>
      </c>
      <c r="O673" s="23" t="n">
        <v>296</v>
      </c>
      <c r="P673" s="23" t="n"/>
      <c r="Q673" s="23" t="n"/>
      <c r="R673" s="25" t="inlineStr">
        <is>
          <t>Лион Моисеевич Измайлов знает множество историй, и многие из них посвящены прекрасному полу. Из этого сборника произведений знаменитого острослова мы узнаем, почему женщины лучше мужчин, как правильно знакомиться, что стоит, а что не стоит говорить жёнам, нужно ли вообще жениться и выходить замуж и чем отличается фиктивный брак от настоящего. Появляется на страницах книги и неожиданная интерпретация классических сказок с девушками в главной роли, а также рассказы из жизни вполне реальных женщин­знаменитостей. Не обходит автор вниманием и супружеский долг, а также не совсем супружеский и совсем не долг: оказывается, некоторые виды его исполнения влекут за собой производственные травмы! Завершают сборник две повести, в которых важная роль отведена дамам — роковым и таким привычным, но, на самом деле, тоже роковым. А как иначе!..</t>
        </is>
      </c>
      <c r="S673" s="26">
        <f>HYPERLINK("http://www.cnpol.ru/covers/19994.jpg","фото на сайте")</f>
        <v/>
      </c>
    </row>
    <row r="674" ht="50.1" customHeight="1" s="3">
      <c r="A674" s="23" t="n"/>
      <c r="B674" s="24" t="inlineStr">
        <is>
          <t>18685</t>
        </is>
      </c>
      <c r="C674" s="23" t="inlineStr">
        <is>
          <t>ИЗМАЙЛОВ</t>
        </is>
      </c>
      <c r="D674" s="23" t="inlineStr">
        <is>
          <t>Измайлов Л. М</t>
        </is>
      </c>
      <c r="E674" s="23" t="inlineStr">
        <is>
          <t>Закон подлости</t>
        </is>
      </c>
      <c r="F674" s="23" t="inlineStr">
        <is>
          <t>        </t>
        </is>
      </c>
      <c r="G674" s="23" t="n">
        <v>593</v>
      </c>
      <c r="H674" s="23" t="n">
        <v>10</v>
      </c>
      <c r="I674" s="23" t="n">
        <v>16</v>
      </c>
      <c r="J674" s="23" t="inlineStr">
        <is>
          <t>978-5-227-08617-4</t>
        </is>
      </c>
      <c r="K674" s="23" t="inlineStr">
        <is>
          <t>82x100 1/32</t>
        </is>
      </c>
      <c r="L674" s="23" t="inlineStr">
        <is>
          <t>тв</t>
        </is>
      </c>
      <c r="M674" s="23" t="n">
        <v>352</v>
      </c>
      <c r="N674" s="23" t="n">
        <v>2019</v>
      </c>
      <c r="O674" s="23" t="n">
        <v>308</v>
      </c>
      <c r="P674" s="23" t="n"/>
      <c r="Q674" s="23" t="n"/>
      <c r="R674" s="25" t="inlineStr">
        <is>
          <t>С удовольствием представляем вашему вниманию очередную книгу любимца публики, писателя-острослова, мастера сатиры и виртуоза эстрады Лиона Измайлова. По традиции автор не будет грузить читателей серьёзными текстами и размышлениями о высоком. Он просто выплеснет на вас поток добрых улыбок, смеха и веселья. Ведь призвание этого неунывающего оптимиста — дарить людям радость и хорошее настроение._x000D_
Читайте острые эпиграммы, забавные фельетоны, весёлые рассказы, уморительные анекдоты, смешные байки, курьёзы, произошедшие со знаменитостями. Муслим Магомаев, Юрий Никулин, Савелий Крамаров, Семён Фарада, Михаил Задорнов, Олег Табаков, Владимир Высоцкий, Людмила Гурченко — вот далеко не полный список звёзд, которые попали на страницы. Завершает книгу удивительно добрая, светлая, трогательная повесть, которая ненадолго заставит вас вернуться в детство…</t>
        </is>
      </c>
      <c r="S674" s="26">
        <f>HYPERLINK("http://www.cnpol.ru/covers/18685.jpg","фото на сайте")</f>
        <v/>
      </c>
    </row>
    <row r="675" ht="50.1" customHeight="1" s="3">
      <c r="A675" s="23" t="n"/>
      <c r="B675" s="24" t="inlineStr">
        <is>
          <t>17827</t>
        </is>
      </c>
      <c r="C675" s="23" t="inlineStr">
        <is>
          <t>ИЗМАЙЛОВ</t>
        </is>
      </c>
      <c r="D675" s="23" t="inlineStr">
        <is>
          <t>Измайлов Л. М</t>
        </is>
      </c>
      <c r="E675" s="23" t="inlineStr">
        <is>
          <t>Засланцы</t>
        </is>
      </c>
      <c r="F675" s="23" t="inlineStr">
        <is>
          <t>        </t>
        </is>
      </c>
      <c r="G675" s="23" t="n">
        <v>593</v>
      </c>
      <c r="H675" s="23" t="n">
        <v>10</v>
      </c>
      <c r="I675" s="23" t="n">
        <v>12</v>
      </c>
      <c r="J675" s="23" t="inlineStr">
        <is>
          <t>978-5-227-07964-0</t>
        </is>
      </c>
      <c r="K675" s="23" t="inlineStr">
        <is>
          <t>82x108 1/32</t>
        </is>
      </c>
      <c r="L675" s="23" t="inlineStr">
        <is>
          <t>тв</t>
        </is>
      </c>
      <c r="M675" s="23" t="n">
        <v>320</v>
      </c>
      <c r="N675" s="23" t="n">
        <v>2017</v>
      </c>
      <c r="O675" s="23" t="n">
        <v>303</v>
      </c>
      <c r="P675" s="23" t="n"/>
      <c r="Q675" s="23" t="n"/>
      <c r="R675" s="25" t="inlineStr">
        <is>
          <t>Представляем вашему вниманию новую книгу любимца публики, писателя­острослова, мастера сатиры и виртуоза эстрады Лиона Измайлова. Вот уже не один десяток лет этот человек дарит нам заряд бодрости, хорошее настроение и добрые улыбки. Прочь скука, грусть и хандра! Читайте забавные рассказы, уморительные анекдоты, смешные байки и комические повести. Вас ждут вымышленные герои и ­реальные персонажи из нашего прошлого: А.С. Пушкин, Н.В. Гоголь, М.И. Кутузов, Лжедмитрий I, Александр II, В.И. Ленин, И.В. Сталин, Л.И. Брежнев… Естественно, эти уроки истории преподнесены в характерном для автора ­забавно­ироническом стиле. Может, всё и не так было на самом деле, но никто не запрещает нам пофантазировать…</t>
        </is>
      </c>
      <c r="S675" s="26">
        <f>HYPERLINK("http://www.cnpol.ru/covers/17827.jpg","фото на сайте")</f>
        <v/>
      </c>
    </row>
    <row r="676" ht="50.1" customHeight="1" s="3">
      <c r="A676" s="23" t="n"/>
      <c r="B676" s="24" t="inlineStr">
        <is>
          <t>17320</t>
        </is>
      </c>
      <c r="C676" s="23" t="inlineStr">
        <is>
          <t>ИЗМАЙЛОВ</t>
        </is>
      </c>
      <c r="D676" s="23" t="inlineStr">
        <is>
          <t>Измайлов Л. М</t>
        </is>
      </c>
      <c r="E676" s="23" t="inlineStr">
        <is>
          <t>Курам на смех</t>
        </is>
      </c>
      <c r="F676" s="23" t="inlineStr">
        <is>
          <t>        </t>
        </is>
      </c>
      <c r="G676" s="23" t="n">
        <v>534</v>
      </c>
      <c r="H676" s="23" t="n">
        <v>10</v>
      </c>
      <c r="I676" s="23" t="n">
        <v>14</v>
      </c>
      <c r="J676" s="23" t="inlineStr">
        <is>
          <t>978-5-227-07387-7</t>
        </is>
      </c>
      <c r="K676" s="23" t="inlineStr">
        <is>
          <t>82x100 1/32</t>
        </is>
      </c>
      <c r="L676" s="23" t="inlineStr">
        <is>
          <t>тв</t>
        </is>
      </c>
      <c r="M676" s="23" t="n">
        <v>320</v>
      </c>
      <c r="N676" s="23" t="n">
        <v>2017</v>
      </c>
      <c r="O676" s="23" t="n">
        <v>276</v>
      </c>
      <c r="P676" s="23" t="n"/>
      <c r="Q676" s="23" t="n"/>
      <c r="R676" s="25" t="n"/>
      <c r="S676" s="26">
        <f>HYPERLINK("http://www.cnpol.ru/covers/17320.jpg","фото на сайте")</f>
        <v/>
      </c>
    </row>
    <row r="677" ht="50.1" customHeight="1" s="3">
      <c r="A677" s="23" t="n"/>
      <c r="B677" s="24" t="inlineStr">
        <is>
          <t>19734</t>
        </is>
      </c>
      <c r="C677" s="23" t="inlineStr">
        <is>
          <t>ИЗМАЙЛОВ</t>
        </is>
      </c>
      <c r="D677" s="23" t="inlineStr">
        <is>
          <t>Измайлов Л. М</t>
        </is>
      </c>
      <c r="E677" s="23" t="inlineStr">
        <is>
          <t>Я всех их знал. История моих знакомств, серьёзных и не очень</t>
        </is>
      </c>
      <c r="F677" s="23" t="inlineStr">
        <is>
          <t>        </t>
        </is>
      </c>
      <c r="G677" s="23" t="n">
        <v>593</v>
      </c>
      <c r="H677" s="23" t="n">
        <v>10</v>
      </c>
      <c r="I677" s="23" t="n">
        <v>12</v>
      </c>
      <c r="J677" s="23" t="inlineStr">
        <is>
          <t>978-5-227-09528-2</t>
        </is>
      </c>
      <c r="K677" s="23" t="inlineStr">
        <is>
          <t>82x100 1/32</t>
        </is>
      </c>
      <c r="L677" s="23" t="inlineStr">
        <is>
          <t>тв</t>
        </is>
      </c>
      <c r="M677" s="23" t="n">
        <v>258</v>
      </c>
      <c r="N677" s="23" t="n">
        <v>2021</v>
      </c>
      <c r="O677" s="23" t="n">
        <v>270</v>
      </c>
      <c r="P677" s="23" t="n"/>
      <c r="Q677" s="23" t="n"/>
      <c r="R677" s="25" t="n"/>
      <c r="S677" s="26">
        <f>HYPERLINK("http://www.cnpol.ru/covers/19734.jpg","фото на сайте")</f>
        <v/>
      </c>
    </row>
    <row r="678" ht="50.1" customHeight="1" s="3">
      <c r="A678" s="23" t="n"/>
      <c r="B678" s="24" t="inlineStr">
        <is>
          <t>16798</t>
        </is>
      </c>
      <c r="C678" s="23" t="inlineStr">
        <is>
          <t>ИиВ</t>
        </is>
      </c>
      <c r="D678" s="23" t="inlineStr">
        <is>
          <t>Войтиков С.С.</t>
        </is>
      </c>
      <c r="E678" s="23" t="inlineStr">
        <is>
          <t>Армия и власть</t>
        </is>
      </c>
      <c r="F678" s="23" t="inlineStr">
        <is>
          <t>        </t>
        </is>
      </c>
      <c r="G678" s="27" t="n">
        <v>1314</v>
      </c>
      <c r="H678" s="23" t="n">
        <v>10</v>
      </c>
      <c r="I678" s="23" t="n">
        <v>6</v>
      </c>
      <c r="J678" s="23" t="inlineStr">
        <is>
          <t>978-5-227-06574-2</t>
        </is>
      </c>
      <c r="K678" s="23" t="inlineStr">
        <is>
          <t>60x90 1/16</t>
        </is>
      </c>
      <c r="L678" s="23" t="inlineStr">
        <is>
          <t>тв</t>
        </is>
      </c>
      <c r="M678" s="23" t="n">
        <v>785</v>
      </c>
      <c r="N678" s="23" t="n">
        <v>2016</v>
      </c>
      <c r="O678" s="23" t="n">
        <v>760</v>
      </c>
      <c r="P678" s="23" t="n"/>
      <c r="Q678" s="23" t="n"/>
      <c r="R678" s="25" t="inlineStr">
        <is>
          <t>Армия — вечная проблема любой власти. Как сохранить боеспособность вооруженных сил и не быть свергнутым? Этот нелегкий вопрос должен постоянно задавать себе любой правитель, хорошо усвоивший истину, что корона представляет собой головной убор, который снимается исключительно вместе с головой. В настоящей книге рассматриваются идеи военной диктатуры и Большого Генерального штаба в Российской империи и СССР со времен создания Совета государственной обороны под председательством великого князя Николая Николаевича Младшего и до ликвидации «антисоветского военно­троцкистского заговора» в годы сталинского террора. Ключевым сюжетом книги явилось легендарное дело «Ставка» 1919 г. Особого отдела ВЧК, находящееся на хранении в Центральном архиве ФСБ России. В июле 1919 г. был арестован главнокомандующий всеми вооруженными силами республики Вацетис, а с ним — с десяток его ближайших сотрудников. Почему старые большевики ненавидели Троцкого? Чего опасалось высшее большевистское руководство государства Советов? В чем был виновен главком? Почему отдал на заклание своего спасителя Ленин? Как отреагировал «вождь Красной армии» Троцкий? Что выгадал Дзержинский? На эти и другие острые вопросы отвечает московский историк Сергей Войтиков.</t>
        </is>
      </c>
      <c r="S678" s="26">
        <f>HYPERLINK("http://www.cnpol.ru/covers/16798.jpg","фото на сайте")</f>
        <v/>
      </c>
    </row>
    <row r="679" ht="50.1" customHeight="1" s="3">
      <c r="A679" s="23" t="n"/>
      <c r="B679" s="24" t="inlineStr">
        <is>
          <t>17763</t>
        </is>
      </c>
      <c r="C679" s="23" t="inlineStr">
        <is>
          <t>ИиВ</t>
        </is>
      </c>
      <c r="D679" s="23" t="inlineStr">
        <is>
          <t>Войтиков С.С.</t>
        </is>
      </c>
      <c r="E679" s="23" t="inlineStr">
        <is>
          <t>Советские спецслужбы и Красная Армия</t>
        </is>
      </c>
      <c r="F679" s="23" t="inlineStr">
        <is>
          <t>        </t>
        </is>
      </c>
      <c r="G679" s="27" t="n">
        <v>1165</v>
      </c>
      <c r="H679" s="23" t="n">
        <v>10</v>
      </c>
      <c r="I679" s="23" t="n">
        <v>10</v>
      </c>
      <c r="J679" s="23" t="inlineStr">
        <is>
          <t>978-5-227-06640-4</t>
        </is>
      </c>
      <c r="K679" s="23" t="inlineStr">
        <is>
          <t>60x90 1/16</t>
        </is>
      </c>
      <c r="L679" s="23" t="inlineStr">
        <is>
          <t>тв</t>
        </is>
      </c>
      <c r="M679" s="23" t="n">
        <v>576</v>
      </c>
      <c r="N679" s="23" t="n">
        <v>2017</v>
      </c>
      <c r="O679" s="23" t="n">
        <v>646</v>
      </c>
      <c r="P679" s="23" t="n"/>
      <c r="Q679" s="23" t="n"/>
      <c r="R679" s="25" t="n"/>
      <c r="S679" s="26">
        <f>HYPERLINK("http://www.cnpol.ru/covers/17763.jpg","фото на сайте")</f>
        <v/>
      </c>
    </row>
    <row r="680" ht="50.1" customHeight="1" s="3">
      <c r="A680" s="23" t="n"/>
      <c r="B680" s="24" t="inlineStr">
        <is>
          <t>18574</t>
        </is>
      </c>
      <c r="C680" s="23" t="inlineStr">
        <is>
          <t>ИиВ</t>
        </is>
      </c>
      <c r="D680" s="23" t="inlineStr">
        <is>
          <t>Войтиков С.С.</t>
        </is>
      </c>
      <c r="E680" s="23" t="inlineStr">
        <is>
          <t>Центральный комитет. Высшее партийное руководство от Ленина и Плеханова до Хрущева. 1890—1964 гг.</t>
        </is>
      </c>
      <c r="F680" s="23" t="inlineStr">
        <is>
          <t>        </t>
        </is>
      </c>
      <c r="G680" s="27" t="n">
        <v>1314</v>
      </c>
      <c r="H680" s="23" t="n">
        <v>10</v>
      </c>
      <c r="I680" s="23" t="n">
        <v>4</v>
      </c>
      <c r="J680" s="23" t="inlineStr">
        <is>
          <t>978-5-227-07872-8</t>
        </is>
      </c>
      <c r="K680" s="23" t="inlineStr">
        <is>
          <t>60x90 1/16</t>
        </is>
      </c>
      <c r="L680" s="23" t="inlineStr">
        <is>
          <t>тв</t>
        </is>
      </c>
      <c r="M680" s="23" t="n">
        <v>736</v>
      </c>
      <c r="N680" s="23" t="n">
        <v>2019</v>
      </c>
      <c r="O680" s="23" t="n">
        <v>794</v>
      </c>
      <c r="P680" s="23" t="n"/>
      <c r="Q680" s="23" t="n"/>
      <c r="R680" s="25" t="n"/>
      <c r="S680" s="26">
        <f>HYPERLINK("http://www.cnpol.ru/covers/18574.jpg","фото на сайте")</f>
        <v/>
      </c>
    </row>
    <row r="681" ht="50.1" customHeight="1" s="3">
      <c r="A681" s="23" t="n"/>
      <c r="B681" s="24" t="inlineStr">
        <is>
          <t>10808</t>
        </is>
      </c>
      <c r="C681" s="23" t="inlineStr">
        <is>
          <t>ИМ</t>
        </is>
      </c>
      <c r="D681" s="23" t="inlineStr">
        <is>
          <t>Пейсли</t>
        </is>
      </c>
      <c r="E681" s="23" t="inlineStr">
        <is>
          <t>Исцеляющая йога.Лекарство для души после расставания,потери близких или развода.</t>
        </is>
      </c>
      <c r="F681" s="23" t="inlineStr">
        <is>
          <t>        </t>
        </is>
      </c>
      <c r="G681" s="23" t="n">
        <v>105</v>
      </c>
      <c r="H681" s="23" t="n">
        <v>10</v>
      </c>
      <c r="I681" s="23" t="n">
        <v>28</v>
      </c>
      <c r="J681" s="23" t="inlineStr">
        <is>
          <t>978-5-9524-3765-4</t>
        </is>
      </c>
      <c r="K681" s="23" t="inlineStr">
        <is>
          <t>84x108 1/32 (обл)</t>
        </is>
      </c>
      <c r="L681" s="23" t="inlineStr">
        <is>
          <t>мяг</t>
        </is>
      </c>
      <c r="M681" s="23" t="n">
        <v>123</v>
      </c>
      <c r="N681" s="23" t="n">
        <v>2008</v>
      </c>
      <c r="O681" s="23" t="n">
        <v>86</v>
      </c>
      <c r="P681" s="23" t="n"/>
      <c r="Q681" s="23" t="n"/>
      <c r="R681" s="25" t="inlineStr">
        <is>
          <t>Расставание всегда мучительно, оно причиняет страдания независимо от обстоятельств. Мишель Пейсли рассказывает читателям о том, как при помощи йоги можно измениться духовно и исцелить сердце, разбитое разводом, ссорой или смертью близкого человека. Постепенно. подробно описывая одну позу за другой, она показывает, как можно пройти весь путь просветления...</t>
        </is>
      </c>
      <c r="S681" s="26">
        <f>HYPERLINK("http://www.cnpol.ru/covers/10808.jpg","фото на сайте")</f>
        <v/>
      </c>
    </row>
    <row r="682" ht="50.1" customHeight="1" s="3">
      <c r="A682" s="23" t="n"/>
      <c r="B682" s="24" t="inlineStr">
        <is>
          <t>10770</t>
        </is>
      </c>
      <c r="C682" s="23" t="inlineStr">
        <is>
          <t>ИМ</t>
        </is>
      </c>
      <c r="D682" s="23" t="inlineStr">
        <is>
          <t>Дмитриевская Л.</t>
        </is>
      </c>
      <c r="E682" s="23" t="inlineStr">
        <is>
          <t>Обманываем возраст. Здоровье и красота за 8 недель</t>
        </is>
      </c>
      <c r="F682" s="23" t="inlineStr">
        <is>
          <t>        </t>
        </is>
      </c>
      <c r="G682" s="23" t="n">
        <v>140</v>
      </c>
      <c r="H682" s="23" t="n">
        <v>10</v>
      </c>
      <c r="I682" s="23" t="n">
        <v>30</v>
      </c>
      <c r="J682" s="23" t="inlineStr">
        <is>
          <t>978-5-9524-3759-3</t>
        </is>
      </c>
      <c r="K682" s="23" t="inlineStr">
        <is>
          <t>84x108 1/32 (обл)</t>
        </is>
      </c>
      <c r="L682" s="23" t="inlineStr">
        <is>
          <t>мяг</t>
        </is>
      </c>
      <c r="M682" s="23" t="n">
        <v>188</v>
      </c>
      <c r="N682" s="23" t="n">
        <v>2008</v>
      </c>
      <c r="O682" s="23" t="n">
        <v>118</v>
      </c>
      <c r="P682" s="23" t="n"/>
      <c r="Q682" s="23" t="n"/>
      <c r="R682" s="25" t="n"/>
      <c r="S682" s="26">
        <f>HYPERLINK("http://www.cnpol.ru/covers/10770.jpg","фото на сайте")</f>
        <v/>
      </c>
    </row>
    <row r="683" ht="50.1" customHeight="1" s="3">
      <c r="A683" s="23" t="n"/>
      <c r="B683" s="24" t="inlineStr">
        <is>
          <t>11162</t>
        </is>
      </c>
      <c r="C683" s="23" t="inlineStr">
        <is>
          <t>ИМ</t>
        </is>
      </c>
      <c r="D683" s="23" t="inlineStr">
        <is>
          <t>Романенко С.</t>
        </is>
      </c>
      <c r="E683" s="23" t="inlineStr">
        <is>
          <t>Простые методы оздоровления. Неизлечимых болезней нет</t>
        </is>
      </c>
      <c r="F683" s="23" t="inlineStr">
        <is>
          <t>        </t>
        </is>
      </c>
      <c r="G683" s="23" t="n">
        <v>140</v>
      </c>
      <c r="H683" s="23" t="n">
        <v>10</v>
      </c>
      <c r="I683" s="23" t="n">
        <v>30</v>
      </c>
      <c r="J683" s="23" t="inlineStr">
        <is>
          <t>978-5-9524-4262-7</t>
        </is>
      </c>
      <c r="K683" s="23" t="inlineStr">
        <is>
          <t>82x108 1/32</t>
        </is>
      </c>
      <c r="L683" s="23" t="inlineStr">
        <is>
          <t>мяг</t>
        </is>
      </c>
      <c r="M683" s="23" t="n">
        <v>192</v>
      </c>
      <c r="N683" s="23" t="n">
        <v>2009</v>
      </c>
      <c r="O683" s="23" t="n">
        <v>126</v>
      </c>
      <c r="P683" s="23" t="n"/>
      <c r="Q683" s="23" t="n"/>
      <c r="R683" s="25" t="n"/>
      <c r="S683" s="26">
        <f>HYPERLINK("http://www.cnpol.ru/covers/11162.jpg","фото на сайте")</f>
        <v/>
      </c>
    </row>
    <row r="684" ht="50.1" customHeight="1" s="3">
      <c r="A684" s="23" t="n"/>
      <c r="B684" s="24" t="inlineStr">
        <is>
          <t>11480</t>
        </is>
      </c>
      <c r="C684" s="23" t="inlineStr">
        <is>
          <t>ИМ</t>
        </is>
      </c>
      <c r="D684" s="23" t="inlineStr">
        <is>
          <t>Белов А.И.</t>
        </is>
      </c>
      <c r="E684" s="23" t="inlineStr">
        <is>
          <t>Самооздоровление организма по Караваеву. Перед чем болезни бессильны</t>
        </is>
      </c>
      <c r="F684" s="23" t="inlineStr">
        <is>
          <t>        </t>
        </is>
      </c>
      <c r="G684" s="23" t="n">
        <v>140</v>
      </c>
      <c r="H684" s="23" t="n">
        <v>10</v>
      </c>
      <c r="I684" s="23" t="n">
        <v>22</v>
      </c>
      <c r="J684" s="23" t="inlineStr">
        <is>
          <t>978-5-9524-4534-5</t>
        </is>
      </c>
      <c r="K684" s="23" t="inlineStr">
        <is>
          <t>84x108 1/32 (обл)</t>
        </is>
      </c>
      <c r="L684" s="23" t="inlineStr">
        <is>
          <t>мяг</t>
        </is>
      </c>
      <c r="M684" s="23" t="n">
        <v>222</v>
      </c>
      <c r="N684" s="23" t="n">
        <v>2009</v>
      </c>
      <c r="O684" s="23" t="n">
        <v>144</v>
      </c>
      <c r="P684" s="23" t="n"/>
      <c r="Q684" s="23" t="n"/>
      <c r="R684" s="25" t="n"/>
      <c r="S684" s="26">
        <f>HYPERLINK("http://www.cnpol.ru/covers/11480.jpg","фото на сайте")</f>
        <v/>
      </c>
    </row>
    <row r="685" ht="50.1" customHeight="1" s="3">
      <c r="A685" s="23" t="n"/>
      <c r="B685" s="24" t="inlineStr">
        <is>
          <t>11694</t>
        </is>
      </c>
      <c r="C685" s="23" t="inlineStr">
        <is>
          <t>ИМ</t>
        </is>
      </c>
      <c r="D685" s="23" t="inlineStr">
        <is>
          <t>Белов А.И.</t>
        </is>
      </c>
      <c r="E685" s="23" t="inlineStr">
        <is>
          <t>Самооздоровление организма по Караваеву. Перед чем болезни бессильны</t>
        </is>
      </c>
      <c r="F685" s="23" t="inlineStr">
        <is>
          <t>        </t>
        </is>
      </c>
      <c r="G685" s="23" t="n">
        <v>140</v>
      </c>
      <c r="H685" s="23" t="n">
        <v>10</v>
      </c>
      <c r="I685" s="23" t="n">
        <v>30</v>
      </c>
      <c r="J685" s="23" t="inlineStr">
        <is>
          <t>978-5-9524-4534-5</t>
        </is>
      </c>
      <c r="K685" s="23" t="inlineStr">
        <is>
          <t>84x108 1/32 (обл)</t>
        </is>
      </c>
      <c r="L685" s="23" t="inlineStr">
        <is>
          <t>мяг</t>
        </is>
      </c>
      <c r="M685" s="23" t="n">
        <v>222</v>
      </c>
      <c r="N685" s="23" t="n">
        <v>2010</v>
      </c>
      <c r="O685" s="23" t="n">
        <v>144</v>
      </c>
      <c r="P685" s="23" t="n"/>
      <c r="Q685" s="23" t="n"/>
      <c r="R685" s="25" t="n"/>
      <c r="S685" s="26">
        <f>HYPERLINK("http://www.cnpol.ru/covers/11694.jpg","фото на сайте")</f>
        <v/>
      </c>
    </row>
    <row r="686" ht="50.1" customHeight="1" s="3">
      <c r="A686" s="23" t="n"/>
      <c r="B686" s="24" t="inlineStr">
        <is>
          <t>18034</t>
        </is>
      </c>
      <c r="C686" s="23" t="inlineStr">
        <is>
          <t>ИНОСТРАННЫЙ ДЕТЕКТИВ №1</t>
        </is>
      </c>
      <c r="D686" s="23" t="inlineStr">
        <is>
          <t>Ёкояма Х.</t>
        </is>
      </c>
      <c r="E686" s="23" t="n">
        <v>64</v>
      </c>
      <c r="F686" s="23" t="inlineStr">
        <is>
          <t>        </t>
        </is>
      </c>
      <c r="G686" s="27" t="n">
        <v>1152</v>
      </c>
      <c r="H686" s="23" t="n">
        <v>10</v>
      </c>
      <c r="I686" s="23" t="n">
        <v>10</v>
      </c>
      <c r="J686" s="23" t="inlineStr">
        <is>
          <t>978-5-227-07987-9</t>
        </is>
      </c>
      <c r="K686" s="23" t="inlineStr">
        <is>
          <t>60x90 1/16</t>
        </is>
      </c>
      <c r="L686" s="23" t="inlineStr">
        <is>
          <t>тв, супер</t>
        </is>
      </c>
      <c r="M686" s="23" t="n">
        <v>560</v>
      </c>
      <c r="N686" s="23" t="n">
        <v>2018</v>
      </c>
      <c r="O686" s="23" t="n">
        <v>654</v>
      </c>
      <c r="P686" s="23" t="n"/>
      <c r="Q686" s="23" t="n"/>
      <c r="R686" s="25" t="inlineStr">
        <is>
          <t>В небольшом городе недалеко от Токио похищена и убита девочка. Спустя четырнадцать лет за год до истечения срока давности генеральный комиссар полиции намеревается нанести визит безутешному отцу и принести извинения за то, что преступник так и не был найден. Визит большого начальника будоражит полицейское управление и заставляет всех участников расследования вернуться к старому делу. Внезапно происходит новое ­похищение, на этот раз — юной девушки, причем злоумышленник в точности повторяет дело четырнадцатилетней давности…</t>
        </is>
      </c>
      <c r="S686" s="26">
        <f>HYPERLINK("http://www.cnpol.ru/covers/18034.jpg","фото на сайте")</f>
        <v/>
      </c>
    </row>
    <row r="687" ht="50.1" customHeight="1" s="3">
      <c r="A687" s="23" t="inlineStr">
        <is>
          <t>Д</t>
        </is>
      </c>
      <c r="B687" s="24" t="inlineStr">
        <is>
          <t>21296</t>
        </is>
      </c>
      <c r="C687" s="23" t="inlineStr">
        <is>
          <t>ИНОСТРАННЫЙ ДЕТЕКТИВ №1</t>
        </is>
      </c>
      <c r="D687" s="23" t="inlineStr">
        <is>
          <t>Фитцек С.</t>
        </is>
      </c>
      <c r="E687" s="23" t="inlineStr">
        <is>
          <t>Аэрофобия 7А</t>
        </is>
      </c>
      <c r="F687" s="23" t="inlineStr">
        <is>
          <t>        </t>
        </is>
      </c>
      <c r="G687" s="27" t="n">
        <v>1074</v>
      </c>
      <c r="H687" s="23" t="n">
        <v>10</v>
      </c>
      <c r="I687" s="23" t="n">
        <v>14</v>
      </c>
      <c r="J687" s="23" t="inlineStr">
        <is>
          <t>978-5-227-10804-3</t>
        </is>
      </c>
      <c r="K687" s="23" t="inlineStr">
        <is>
          <t>60x90 1/16</t>
        </is>
      </c>
      <c r="L687" s="23" t="inlineStr">
        <is>
          <t>тв, супер</t>
        </is>
      </c>
      <c r="M687" s="23" t="n">
        <v>351</v>
      </c>
      <c r="N687" s="23" t="n">
        <v>2024</v>
      </c>
      <c r="O687" s="23" t="n">
        <v>448</v>
      </c>
      <c r="P687" s="23" t="n"/>
      <c r="Q687" s="23" t="n"/>
      <c r="R687" s="25" t="inlineStr">
        <is>
          <t>Доктор Матс Крюгер не мог отказать дочери Неле в просьбе быть с ней, когда родится ее первенец, и скрепя сердце решился на длительный полет из Буэнос-Айреса в Берлин. Доктор панически боялся летать и не ждал ничего хорошего от этого путешествия, но и в самом страшном сне он не мог представить, каким кошмаром оно для него обернется. На высоте девять тысяч метров ему сообщили, что его беременная дочь похищена, а он должен отыскать в самолете свою бывшую пациентку и спровоцировать ее на безумные действия, иначе Неле умрет. В замкнутом пространстве самолета Матс решает задачу, как спасти дочь и не совершить преступление, а на земле ему пытается помочь женщина, которая когда-то его любила…</t>
        </is>
      </c>
      <c r="S687" s="26">
        <f>HYPERLINK("http://www.cnpol.ru/covers/21296.jpg","фото на сайте")</f>
        <v/>
      </c>
    </row>
    <row r="688" ht="50.1" customHeight="1" s="3">
      <c r="A688" s="23" t="n"/>
      <c r="B688" s="24" t="inlineStr">
        <is>
          <t>17129</t>
        </is>
      </c>
      <c r="C688" s="23" t="inlineStr">
        <is>
          <t>ИНОСТРАННЫЙ ДЕТЕКТИВ №1</t>
        </is>
      </c>
      <c r="D688" s="23" t="inlineStr">
        <is>
          <t>Марклунд Л.</t>
        </is>
      </c>
      <c r="E688" s="23" t="inlineStr">
        <is>
          <t>Бесследно исчезнувшая</t>
        </is>
      </c>
      <c r="F688" s="23" t="inlineStr">
        <is>
          <t>        </t>
        </is>
      </c>
      <c r="G688" s="27" t="n">
        <v>1007</v>
      </c>
      <c r="H688" s="23" t="n">
        <v>10</v>
      </c>
      <c r="I688" s="23" t="n">
        <v>10</v>
      </c>
      <c r="J688" s="23" t="inlineStr">
        <is>
          <t>978-5-227-07157-6</t>
        </is>
      </c>
      <c r="K688" s="23" t="inlineStr">
        <is>
          <t>60x90 1/16</t>
        </is>
      </c>
      <c r="L688" s="23" t="inlineStr">
        <is>
          <t>тв, супер</t>
        </is>
      </c>
      <c r="M688" s="23" t="n">
        <v>336</v>
      </c>
      <c r="N688" s="23" t="n">
        <v>2016</v>
      </c>
      <c r="O688" s="23" t="n">
        <v>406</v>
      </c>
      <c r="P688" s="23" t="n"/>
      <c r="Q688" s="23" t="n"/>
      <c r="R688" s="25" t="inlineStr">
        <is>
          <t>Промозглым дождливым майским днем в собственном доме в пригороде Стокгольма найден без сознания недавно ушедший в отставку политик Ингемар Лерберг. На его теле — следы чудовищных пыток. Репортер крупной столичной газеты Анника Бенгтзон, известная острыми материалами и расследованиями, заинтересовалась происшествием. Профессиональная интуиция подсказывает ей, что дело обещает быть интересным и запутанным. Лерберг в коме и вряд ли выживет, а бесследное исчезновение его жены удивительно напоминает историю, произошедшую с другой женщиной много лет назад...</t>
        </is>
      </c>
      <c r="S688" s="26">
        <f>HYPERLINK("http://www.cnpol.ru/covers/17129.jpg","фото на сайте")</f>
        <v/>
      </c>
    </row>
    <row r="689" ht="50.1" customHeight="1" s="3">
      <c r="A689" s="23" t="n"/>
      <c r="B689" s="24" t="inlineStr">
        <is>
          <t>18952</t>
        </is>
      </c>
      <c r="C689" s="23" t="inlineStr">
        <is>
          <t>ИНОСТРАННЫЙ ДЕТЕКТИВ №1</t>
        </is>
      </c>
      <c r="D689" s="23" t="inlineStr">
        <is>
          <t>Мартильи К.</t>
        </is>
      </c>
      <c r="E689" s="23" t="inlineStr">
        <is>
          <t>Выбор Зигмунда</t>
        </is>
      </c>
      <c r="F689" s="23" t="inlineStr">
        <is>
          <t>        </t>
        </is>
      </c>
      <c r="G689" s="27" t="n">
        <v>1007</v>
      </c>
      <c r="H689" s="23" t="n">
        <v>10</v>
      </c>
      <c r="I689" s="23" t="n">
        <v>14</v>
      </c>
      <c r="J689" s="23" t="inlineStr">
        <is>
          <t>978-5-227-08824-6</t>
        </is>
      </c>
      <c r="K689" s="23" t="inlineStr">
        <is>
          <t>60x90 1/16</t>
        </is>
      </c>
      <c r="L689" s="23" t="inlineStr">
        <is>
          <t>тв, супер</t>
        </is>
      </c>
      <c r="M689" s="23" t="n">
        <v>320</v>
      </c>
      <c r="N689" s="23" t="n">
        <v>2019</v>
      </c>
      <c r="O689" s="23" t="n">
        <v>428</v>
      </c>
      <c r="P689" s="23" t="n"/>
      <c r="Q689" s="23" t="n"/>
      <c r="R689" s="25" t="inlineStr">
        <is>
          <t>Профессор Зигмунд Фрейд, знаменитый психолог и отец психоанализа, получает от папы римского Льва Тринадцатого приглашение приехать в Рим и провести за хорошее вознаграждение одно важное исследование. Профессору нужны деньги, к тому же он  давно мечтает побывать в Риме. И он отправляется в путь. Папа хочет, чтобы профессор обследовал методом психоанализа трех самых влиятельных кардиналов, которых Лев считает наиболее вероятными своими преемниками. Старец чувствует, что доживает последние дни, и считает своим долгом не допустить, чтобы после его смерти на папский престол был избран недостойный человек. А причины для беспокойства  вполне реальные: совсем недавно под одним из окон Ватиканского дворца были найдены тела  погибших юноши и девушки. Двойное самоубийство сомнительно. Но если произошло убийство, не замешан ли в этом кто­то из иерархов? Начинается увлекательная и порой рискованная игра, правила которой несколько раз меняются с течением времени…</t>
        </is>
      </c>
      <c r="S689" s="26">
        <f>HYPERLINK("http://www.cnpol.ru/covers/18952.jpg","фото на сайте")</f>
        <v/>
      </c>
    </row>
    <row r="690" ht="50.1" customHeight="1" s="3">
      <c r="A690" s="23" t="n"/>
      <c r="B690" s="24" t="inlineStr">
        <is>
          <t>16646</t>
        </is>
      </c>
      <c r="C690" s="23" t="inlineStr">
        <is>
          <t>ИНОСТРАННЫЙ ДЕТЕКТИВ №1</t>
        </is>
      </c>
      <c r="D690" s="23" t="inlineStr">
        <is>
          <t>Марклунд Л.</t>
        </is>
      </c>
      <c r="E690" s="23" t="inlineStr">
        <is>
          <t>Громкое дело</t>
        </is>
      </c>
      <c r="F690" s="23" t="inlineStr">
        <is>
          <t>        </t>
        </is>
      </c>
      <c r="G690" s="27" t="n">
        <v>1007</v>
      </c>
      <c r="H690" s="23" t="n">
        <v>10</v>
      </c>
      <c r="I690" s="23" t="n">
        <v>14</v>
      </c>
      <c r="J690" s="23" t="inlineStr">
        <is>
          <t>978-5-227-06556-8</t>
        </is>
      </c>
      <c r="K690" s="23" t="inlineStr">
        <is>
          <t>60x90 1/16</t>
        </is>
      </c>
      <c r="L690" s="23" t="inlineStr">
        <is>
          <t>тв, супер</t>
        </is>
      </c>
      <c r="M690" s="23" t="n">
        <v>352</v>
      </c>
      <c r="N690" s="23" t="n">
        <v>2016</v>
      </c>
      <c r="O690" s="23" t="n">
        <v>474</v>
      </c>
      <c r="P690" s="23" t="n"/>
      <c r="Q690" s="23" t="n"/>
      <c r="R690" s="25" t="inlineStr">
        <is>
          <t>"В разгар шведской зимы молодая мать найдена убитой в сугробе среди деревьев за детским садом, куда утром отвела сына... Почти на экваторе, в изнуряющей жаре Кении, похищен правительственный чиновник...
По роду деятельности журналист Анника Бенгтзон не впервые сталкивается с запутанными преступлениями, порожденными самыми темными сторонами человеческой души. На ее счету несколько криминальных драм, в расследовании которых пришлось принимать участие. И все-таки в этот раз все складывается совсем иначе. Гораздо страшнее и мучительнее. Ведь дело не только громкое, но и глубоко личное.
"</t>
        </is>
      </c>
      <c r="S690" s="26">
        <f>HYPERLINK("http://www.cnpol.ru/covers/16646.jpg","фото на сайте")</f>
        <v/>
      </c>
    </row>
    <row r="691" ht="50.1" customHeight="1" s="3">
      <c r="A691" s="23" t="inlineStr">
        <is>
          <t>Д</t>
        </is>
      </c>
      <c r="B691" s="24" t="inlineStr">
        <is>
          <t>21420</t>
        </is>
      </c>
      <c r="C691" s="23" t="inlineStr">
        <is>
          <t>ИНОСТРАННЫЙ ДЕТЕКТИВ №1</t>
        </is>
      </c>
      <c r="D691" s="23" t="inlineStr">
        <is>
          <t>Фитцек С.</t>
        </is>
      </c>
      <c r="E691" s="23" t="inlineStr">
        <is>
          <t>Двадцать третий пассажир</t>
        </is>
      </c>
      <c r="F691" s="23" t="inlineStr">
        <is>
          <t>        </t>
        </is>
      </c>
      <c r="G691" s="27" t="n">
        <v>1074</v>
      </c>
      <c r="H691" s="23" t="n">
        <v>10</v>
      </c>
      <c r="I691" s="23" t="n">
        <v>14</v>
      </c>
      <c r="J691" s="23" t="inlineStr">
        <is>
          <t>978-5-227-09197-0</t>
        </is>
      </c>
      <c r="K691" s="23" t="inlineStr">
        <is>
          <t>60x90 1/16</t>
        </is>
      </c>
      <c r="L691" s="23" t="inlineStr">
        <is>
          <t>тв, супер</t>
        </is>
      </c>
      <c r="M691" s="23" t="n">
        <v>368</v>
      </c>
      <c r="N691" s="23" t="n">
        <v>2020</v>
      </c>
      <c r="O691" s="23" t="n">
        <v>488</v>
      </c>
      <c r="P691" s="23" t="n"/>
      <c r="Q691" s="23" t="n"/>
      <c r="R691" s="25" t="inlineStr">
        <is>
          <t>Пять лет назад у полицейского агента Мартина Шварца без вести пропали жена и сын, путешествующие на круизном лайнере «Султан морей». Тогда круизная компания отстаивала версию суицида. Однако Мартин в это не верил. И вот ему звонит пассажирка того самого лайнера и заявляет, что он должен немедленно явиться на борт «Султана морей», у нее есть доказательства того, что его жена не по своей воле бросилась в море. Более того, возможно, его сын еще жив, а на лайнере происходят странные вещи. Бросив все дела, Мартин отправляется в нежеланное путешествие, преисполненный решимости докопаться до истины…</t>
        </is>
      </c>
      <c r="S691" s="26">
        <f>HYPERLINK("http://www.cnpol.ru/covers/21420.jpg","фото на сайте")</f>
        <v/>
      </c>
    </row>
    <row r="692" ht="50.1" customHeight="1" s="3">
      <c r="A692" s="23" t="n"/>
      <c r="B692" s="24" t="inlineStr">
        <is>
          <t>16891</t>
        </is>
      </c>
      <c r="C692" s="23" t="inlineStr">
        <is>
          <t>ИНОСТРАННЫЙ ДЕТЕКТИВ №1</t>
        </is>
      </c>
      <c r="D692" s="23" t="inlineStr">
        <is>
          <t>Бонда К.</t>
        </is>
      </c>
      <c r="E692" s="23" t="inlineStr">
        <is>
          <t>Девушка полночи</t>
        </is>
      </c>
      <c r="F692" s="23" t="inlineStr">
        <is>
          <t>        </t>
        </is>
      </c>
      <c r="G692" s="27" t="n">
        <v>1007</v>
      </c>
      <c r="H692" s="23" t="n">
        <v>10</v>
      </c>
      <c r="I692" s="23" t="n">
        <v>8</v>
      </c>
      <c r="J692" s="23" t="inlineStr">
        <is>
          <t>978-5-227-06926-9</t>
        </is>
      </c>
      <c r="K692" s="23" t="inlineStr">
        <is>
          <t>60x90 1/16</t>
        </is>
      </c>
      <c r="L692" s="23" t="inlineStr">
        <is>
          <t>тв, супер</t>
        </is>
      </c>
      <c r="M692" s="23" t="n">
        <v>544</v>
      </c>
      <c r="N692" s="23" t="n">
        <v>2016</v>
      </c>
      <c r="O692" s="23" t="n">
        <v>614</v>
      </c>
      <c r="P692" s="23" t="n"/>
      <c r="Q692" s="23" t="n"/>
      <c r="R692" s="25" t="inlineStr">
        <is>
          <t>Специалист по психологическим портретам преступников Саша Залусская возвращается в Польшу после семи лет работы в Лондоне. Она не хочет снова служить в полиции, откуда ушла, пережив личную драму. Однако не может и отказаться от поручения спецслужб помочь владельцу музыкального клуба в Сопоте, который подозревает, что партнер по бизнесу и популярный певец намеревается его убить. Саша только начинает собирать факты, когда и в самом деле происходит убийство, но жертвой оказался подозреваемый в злом умысле музыкант. Саша вынуждена принять вызов и участвовать в расследовании. Вскоре становится ясно, что убийство в клубе связано с трагическими событиями двадцатилетней давности. И одним из ключей к разгадке может быть песня, написанная много лет назад.</t>
        </is>
      </c>
      <c r="S692" s="26">
        <f>HYPERLINK("http://www.cnpol.ru/covers/16891.jpg","фото на сайте")</f>
        <v/>
      </c>
    </row>
    <row r="693" ht="50.1" customHeight="1" s="3">
      <c r="A693" s="23" t="n"/>
      <c r="B693" s="24" t="inlineStr">
        <is>
          <t>17318</t>
        </is>
      </c>
      <c r="C693" s="23" t="inlineStr">
        <is>
          <t>ИНОСТРАННЫЙ ДЕТЕКТИВ №1</t>
        </is>
      </c>
      <c r="D693" s="23" t="inlineStr">
        <is>
          <t>Джеймс П.</t>
        </is>
      </c>
      <c r="E693" s="23" t="inlineStr">
        <is>
          <t>Дом на холодном холме</t>
        </is>
      </c>
      <c r="F693" s="23" t="inlineStr">
        <is>
          <t>        </t>
        </is>
      </c>
      <c r="G693" s="27" t="n">
        <v>1007</v>
      </c>
      <c r="H693" s="23" t="n">
        <v>10</v>
      </c>
      <c r="I693" s="23" t="n">
        <v>10</v>
      </c>
      <c r="J693" s="23" t="inlineStr">
        <is>
          <t>978-5-227-07344-0</t>
        </is>
      </c>
      <c r="K693" s="23" t="inlineStr">
        <is>
          <t>60x90 1/16</t>
        </is>
      </c>
      <c r="L693" s="23" t="inlineStr">
        <is>
          <t>тв, супер</t>
        </is>
      </c>
      <c r="M693" s="23" t="n">
        <v>352</v>
      </c>
      <c r="N693" s="23" t="n">
        <v>2016</v>
      </c>
      <c r="O693" s="23" t="n">
        <v>410</v>
      </c>
      <c r="P693" s="23" t="n"/>
      <c r="Q693" s="23" t="n"/>
      <c r="R693" s="25" t="inlineStr">
        <is>
          <t>Когда Олли и Каро Хэркурт увидели дом своей мечты – огромный красивый особняк в георгианском стиле, – они не смогли устоять перед его очарованием. И, хотя дом был старым и очень запущенным, супруги купили его, потратив все свои средства. Однако в первый же день приезда Олли, Каро и их двенадцатилетней дочери Джейд стало ясно, что в особняке обитает кто­то еще. С ними стали происходить странные пугающие истории, казалось, кто­то настроен против семьи. Вскоре Олли и Каро ­узнают ужасное прошлое дома на Холодном холме и понимают, что им всем грозит страшная опасность…</t>
        </is>
      </c>
      <c r="S693" s="26">
        <f>HYPERLINK("http://www.cnpol.ru/covers/17318.jpg","фото на сайте")</f>
        <v/>
      </c>
    </row>
    <row r="694" ht="50.1" customHeight="1" s="3">
      <c r="A694" s="23" t="n"/>
      <c r="B694" s="24" t="inlineStr">
        <is>
          <t>17697</t>
        </is>
      </c>
      <c r="C694" s="23" t="inlineStr">
        <is>
          <t>ИНОСТРАННЫЙ ДЕТЕКТИВ №1</t>
        </is>
      </c>
      <c r="D694" s="23" t="inlineStr">
        <is>
          <t>Марклунд Л.</t>
        </is>
      </c>
      <c r="E694" s="23" t="inlineStr">
        <is>
          <t>Дурная кровь</t>
        </is>
      </c>
      <c r="F694" s="23" t="inlineStr">
        <is>
          <t>        </t>
        </is>
      </c>
      <c r="G694" s="27" t="n">
        <v>1007</v>
      </c>
      <c r="H694" s="23" t="n">
        <v>10</v>
      </c>
      <c r="I694" s="23" t="n">
        <v>14</v>
      </c>
      <c r="J694" s="23" t="inlineStr">
        <is>
          <t>978-5-227-07714-1</t>
        </is>
      </c>
      <c r="K694" s="23" t="inlineStr">
        <is>
          <t>60x90 1/16</t>
        </is>
      </c>
      <c r="L694" s="23" t="inlineStr">
        <is>
          <t>тв, супер</t>
        </is>
      </c>
      <c r="M694" s="23" t="n">
        <v>336</v>
      </c>
      <c r="N694" s="23" t="n">
        <v>2017</v>
      </c>
      <c r="O694" s="23" t="n">
        <v>452</v>
      </c>
      <c r="P694" s="23" t="n"/>
      <c r="Q694" s="23" t="n"/>
      <c r="R694" s="25" t="inlineStr">
        <is>
          <t>Маньяк­психопат, жестоко расправляющийся со своими жертвами, зарывает в лесу последнее тело. Впереди у него долгожданные перемены в судьбе, в предвкушении которых он наслаждается потрясающим ощущением свободы и безнаказанности. А в это время Анника Бенгтзон, журналист стокгольмской газеты «Квельспрессен», известная своими сенсационными криминальными материалами, интересуется судебными слушаниями по поводу серии убийств, прокатившихся по всей Европе. В них, возможно, виновен взятый под стражу убийца­изувер Ивар Берглунд. Анника не подозревает, что косвенное участие в этом расследовании чревато для нее самой и ее близких смертельной опасностью</t>
        </is>
      </c>
      <c r="S694" s="26">
        <f>HYPERLINK("http://www.cnpol.ru/covers/17697.jpg","фото на сайте")</f>
        <v/>
      </c>
    </row>
    <row r="695" ht="50.1" customHeight="1" s="3">
      <c r="A695" s="23" t="n"/>
      <c r="B695" s="24" t="inlineStr">
        <is>
          <t>17910</t>
        </is>
      </c>
      <c r="C695" s="23" t="inlineStr">
        <is>
          <t>ИНОСТРАННЫЙ ДЕТЕКТИВ №1</t>
        </is>
      </c>
      <c r="D695" s="23" t="inlineStr">
        <is>
          <t>Снокстра А.</t>
        </is>
      </c>
      <c r="E695" s="23" t="inlineStr">
        <is>
          <t>Единственная дочь</t>
        </is>
      </c>
      <c r="F695" s="23" t="inlineStr">
        <is>
          <t>        </t>
        </is>
      </c>
      <c r="G695" s="27" t="n">
        <v>1007</v>
      </c>
      <c r="H695" s="23" t="n">
        <v>10</v>
      </c>
      <c r="I695" s="23" t="n">
        <v>16</v>
      </c>
      <c r="J695" s="23" t="inlineStr">
        <is>
          <t>978-5-227-08006-6</t>
        </is>
      </c>
      <c r="K695" s="23" t="inlineStr">
        <is>
          <t>60x90 1/16</t>
        </is>
      </c>
      <c r="L695" s="23" t="inlineStr">
        <is>
          <t>тв, супер</t>
        </is>
      </c>
      <c r="M695" s="23" t="n">
        <v>288</v>
      </c>
      <c r="N695" s="23" t="n">
        <v>2018</v>
      </c>
      <c r="O695" s="23" t="n">
        <v>392</v>
      </c>
      <c r="P695" s="23" t="n"/>
      <c r="Q695" s="23" t="n"/>
      <c r="R695" s="25" t="inlineStr">
        <is>
          <t>Молодая женщина, арестованная за кражу в магазине, боится назвать свое настоящее имя из­за прошлых грехов и заявляет, что она Ребекка ­Винтер - девушка, пропавшая одиннадцать лет назад при загадочных обстоятельствах. Самозванка поразительно похожа на Ребекку, поэтому семья принимает ее безоговорочно. Обведя вокруг пальца следователя, который занимается ее делом, лже­Ребекка погружается в жизнь настоящей Бек ­Винтер: спит в ее постели, общается с ее друзьями и младшими братьями. Но вскоре женщина осознает, что похититель все еще на свободе, и она в опасности…</t>
        </is>
      </c>
      <c r="S695" s="26">
        <f>HYPERLINK("http://www.cnpol.ru/covers/17910.jpg","фото на сайте")</f>
        <v/>
      </c>
    </row>
    <row r="696" ht="50.1" customHeight="1" s="3">
      <c r="A696" s="23" t="n"/>
      <c r="B696" s="24" t="inlineStr">
        <is>
          <t>18861</t>
        </is>
      </c>
      <c r="C696" s="23" t="inlineStr">
        <is>
          <t>ИНОСТРАННЫЙ ДЕТЕКТИВ №1</t>
        </is>
      </c>
      <c r="D696" s="23" t="inlineStr">
        <is>
          <t>Бёгле Н.</t>
        </is>
      </c>
      <c r="E696" s="23" t="inlineStr">
        <is>
          <t>Заговор</t>
        </is>
      </c>
      <c r="F696" s="23" t="inlineStr">
        <is>
          <t>        </t>
        </is>
      </c>
      <c r="G696" s="27" t="n">
        <v>1007</v>
      </c>
      <c r="H696" s="23" t="n">
        <v>10</v>
      </c>
      <c r="I696" s="23" t="n">
        <v>12</v>
      </c>
      <c r="J696" s="23" t="inlineStr">
        <is>
          <t>978-5-227-08767-6</t>
        </is>
      </c>
      <c r="K696" s="23" t="inlineStr">
        <is>
          <t>60x90 1/16</t>
        </is>
      </c>
      <c r="L696" s="23" t="inlineStr">
        <is>
          <t>тв, супер</t>
        </is>
      </c>
      <c r="M696" s="23" t="n">
        <v>384</v>
      </c>
      <c r="N696" s="23" t="n">
        <v>2019</v>
      </c>
      <c r="O696" s="23" t="n">
        <v>462</v>
      </c>
      <c r="P696" s="23" t="n"/>
      <c r="Q696" s="23" t="n"/>
      <c r="R696" s="25" t="inlineStr">
        <is>
          <t>Обстоятельства жестокого убийства премьер­министра Катрины Хагебак были настолько странными, что все члены следственной группы пришли в замешательство. Инспектор Сара Геринген — лучший из лучших детективов Норвегии, в самом начале следствия вынуждена была признать, что впервые в своей карьере имеет дело с жертвой, сделавшей все, чтобы уничтожить улики, с помощью которых возможно было найти и предать суду убийцу. Сара была потрясена, придя к необъяснимому выводу: последние минуты своей жизни премьер­министр Катрина Хагебак посвятила защите личности убийцы.</t>
        </is>
      </c>
      <c r="S696" s="26">
        <f>HYPERLINK("http://www.cnpol.ru/covers/18861.jpg","фото на сайте")</f>
        <v/>
      </c>
    </row>
    <row r="697" ht="50.1" customHeight="1" s="3">
      <c r="A697" s="23" t="n"/>
      <c r="B697" s="24" t="inlineStr">
        <is>
          <t>18412</t>
        </is>
      </c>
      <c r="C697" s="23" t="inlineStr">
        <is>
          <t>ИНОСТРАННЫЙ ДЕТЕКТИВ №1</t>
        </is>
      </c>
      <c r="D697" s="23" t="inlineStr">
        <is>
          <t>Перссон Лейф Г.В.</t>
        </is>
      </c>
      <c r="E697" s="23" t="inlineStr">
        <is>
          <t>Застенчивый убийца</t>
        </is>
      </c>
      <c r="F697" s="23" t="inlineStr">
        <is>
          <t>        </t>
        </is>
      </c>
      <c r="G697" s="27" t="n">
        <v>1007</v>
      </c>
      <c r="H697" s="23" t="n">
        <v>10</v>
      </c>
      <c r="I697" s="23" t="n">
        <v>14</v>
      </c>
      <c r="J697" s="23" t="inlineStr">
        <is>
          <t>978-5-227-08423-1</t>
        </is>
      </c>
      <c r="K697" s="23" t="inlineStr">
        <is>
          <t>60x90 1/16</t>
        </is>
      </c>
      <c r="L697" s="23" t="inlineStr">
        <is>
          <t>тв, супер</t>
        </is>
      </c>
      <c r="M697" s="23" t="n">
        <v>384</v>
      </c>
      <c r="N697" s="23" t="n">
        <v>2018</v>
      </c>
      <c r="O697" s="23" t="n">
        <v>462</v>
      </c>
      <c r="P697" s="23" t="n"/>
      <c r="Q697" s="23" t="n"/>
      <c r="R697" s="25" t="n"/>
      <c r="S697" s="26">
        <f>HYPERLINK("http://www.cnpol.ru/covers/18412.jpg","фото на сайте")</f>
        <v/>
      </c>
    </row>
    <row r="698" ht="50.1" customHeight="1" s="3">
      <c r="A698" s="23" t="n"/>
      <c r="B698" s="24" t="inlineStr">
        <is>
          <t>16337</t>
        </is>
      </c>
      <c r="C698" s="23" t="inlineStr">
        <is>
          <t>ИНОСТРАННЫЙ ДЕТЕКТИВ №1</t>
        </is>
      </c>
      <c r="D698" s="23" t="inlineStr">
        <is>
          <t>Герритсен Т.</t>
        </is>
      </c>
      <c r="E698" s="23" t="inlineStr">
        <is>
          <t>Звонок после полуночи</t>
        </is>
      </c>
      <c r="F698" s="23" t="inlineStr">
        <is>
          <t>        </t>
        </is>
      </c>
      <c r="G698" s="23" t="n">
        <v>880</v>
      </c>
      <c r="H698" s="23" t="n">
        <v>10</v>
      </c>
      <c r="I698" s="23" t="n">
        <v>12</v>
      </c>
      <c r="J698" s="23" t="inlineStr">
        <is>
          <t>978-5-227-06214-7</t>
        </is>
      </c>
      <c r="K698" s="23" t="inlineStr">
        <is>
          <t>60x90 1/16</t>
        </is>
      </c>
      <c r="L698" s="23" t="inlineStr">
        <is>
          <t>тв, супер</t>
        </is>
      </c>
      <c r="M698" s="23" t="n">
        <v>288</v>
      </c>
      <c r="N698" s="23" t="n">
        <v>2015</v>
      </c>
      <c r="O698" s="23" t="n">
        <v>469</v>
      </c>
      <c r="P698" s="23" t="n"/>
      <c r="Q698" s="23" t="n"/>
      <c r="R698" s="25" t="inlineStr">
        <is>
          <t>Полночный звонок телефона разбудил и испугал Сару Фонтейн. Она ждала звонка своего мужа из Лондона, но вместо этого услышала в трубке совершенно незнакомый голос. Ник О’Хара из департамента иностранных дел США принес ей страшную новость — ее молодой муж Джеффри Фонтейн погиб при пожаре в одном из отелей Берлина... Но Сара убеждена, что ее муж жив! И они вместе с Ником перевернут всю Европу, разыскивая его! Пытаясь остановить опасного убийцу, они попадают в сеть таинственного международного шпионажа, рискуя всем, чтобы получить ответы на свои вопросы...</t>
        </is>
      </c>
      <c r="S698" s="26">
        <f>HYPERLINK("http://www.cnpol.ru/covers/16337.jpg","фото на сайте")</f>
        <v/>
      </c>
    </row>
    <row r="699" ht="50.1" customHeight="1" s="3">
      <c r="A699" s="23" t="n"/>
      <c r="B699" s="24" t="inlineStr">
        <is>
          <t>20650</t>
        </is>
      </c>
      <c r="C699" s="23" t="inlineStr">
        <is>
          <t>ИНОСТРАННЫЙ ДЕТЕКТИВ №1</t>
        </is>
      </c>
      <c r="D699" s="23" t="inlineStr">
        <is>
          <t>Фитцек С.</t>
        </is>
      </c>
      <c r="E699" s="23" t="inlineStr">
        <is>
          <t>Инквизитор</t>
        </is>
      </c>
      <c r="F699" s="23" t="inlineStr">
        <is>
          <t>        </t>
        </is>
      </c>
      <c r="G699" s="27" t="n">
        <v>1007</v>
      </c>
      <c r="H699" s="23" t="n">
        <v>10</v>
      </c>
      <c r="I699" s="23" t="n">
        <v>20</v>
      </c>
      <c r="J699" s="23" t="inlineStr">
        <is>
          <t>978-5-227-10359-8</t>
        </is>
      </c>
      <c r="K699" s="23" t="inlineStr">
        <is>
          <t>60x90 1/16</t>
        </is>
      </c>
      <c r="L699" s="23" t="inlineStr">
        <is>
          <t>тв, супер</t>
        </is>
      </c>
      <c r="M699" s="23" t="n">
        <v>256</v>
      </c>
      <c r="N699" s="23" t="n">
        <v>2023</v>
      </c>
      <c r="O699" s="23" t="n">
        <v>376</v>
      </c>
      <c r="P699" s="23" t="n"/>
      <c r="Q699" s="23" t="n"/>
      <c r="R699" s="25" t="inlineStr">
        <is>
          <t>Три женщины — молодые, красивые, жизнерадостные — неожиданно исчезают. А когда их наконец находят, они морально сломлены, словно заживо похоронены в собственном теле. И это последствия всего одной недели пребывания во власти психопата, которого пресса окрестила Инквизитором. Перед самым Рождеством Инквизитор снова активизируется — и, как специально, в фешенебельной психиатрической клинике. Незадолго до того, как из­за снежного шторма клиника оказывается отрезанной от внешнего мира, врачи и пациенты со страхом сознают, что к ним доставили никем не узнанного преступника. Невольные узники отчаянно пытаются защитить друг друга. Но в ночь ужаса Инквизитор заставит их почувствовать, что никому не спастись…</t>
        </is>
      </c>
      <c r="S699" s="26">
        <f>HYPERLINK("http://www.cnpol.ru/covers/20650.jpg","фото на сайте")</f>
        <v/>
      </c>
    </row>
    <row r="700" ht="50.1" customHeight="1" s="3">
      <c r="A700" s="23" t="n"/>
      <c r="B700" s="24" t="inlineStr">
        <is>
          <t>20432</t>
        </is>
      </c>
      <c r="C700" s="23" t="inlineStr">
        <is>
          <t>ИНОСТРАННЫЙ ДЕТЕКТИВ №1</t>
        </is>
      </c>
      <c r="D700" s="23" t="inlineStr">
        <is>
          <t>Бёгле Н.</t>
        </is>
      </c>
      <c r="E700" s="23" t="inlineStr">
        <is>
          <t>Крик</t>
        </is>
      </c>
      <c r="F700" s="23" t="inlineStr">
        <is>
          <t>        </t>
        </is>
      </c>
      <c r="G700" s="27" t="n">
        <v>1074</v>
      </c>
      <c r="H700" s="23" t="n">
        <v>10</v>
      </c>
      <c r="I700" s="23" t="n">
        <v>12</v>
      </c>
      <c r="J700" s="23" t="inlineStr">
        <is>
          <t>978-5-227-09843-6</t>
        </is>
      </c>
      <c r="K700" s="23" t="inlineStr">
        <is>
          <t>60x90 1/16</t>
        </is>
      </c>
      <c r="L700" s="23" t="inlineStr">
        <is>
          <t>тв, супер</t>
        </is>
      </c>
      <c r="M700" s="23" t="n">
        <v>416</v>
      </c>
      <c r="N700" s="23" t="n">
        <v>2022</v>
      </c>
      <c r="O700" s="23" t="n">
        <v>534</v>
      </c>
      <c r="P700" s="23" t="n"/>
      <c r="Q700" s="23" t="n"/>
      <c r="R700" s="25" t="inlineStr">
        <is>
          <t>Психиатрическая больница «Гёустад» в Осло. На рассвете холодного зимнего дня одного из пациентов находят задушенным. Рот его открыт в безмолвном крике. Приехавшая на место происшествия инспектор полиции Сара Геринген сразу поняла, что столкнулась с делом из ряда вон выходящим. Вопросы возникают один за другим: что за странный шрам в виде числа 488 на лбу жертвы? Откуда взялись зловещие рисунки на стенах больничной палаты, где его содержали? Почему руководство больницы почти не обладает информацией о личности человека, который провел там больше тридцати лет? Так для Сары началось запутанное и крайне опасное расследование, которое заставит ее немало помотаться по миру: Париж, Лондон, вулканический остров Вознесения, заброшенные шахты Миннесоты, Ницца... Напарником ее окажется французский журналист Кристофер Кларенс, вместе с которым ей предстоит открыть ошеломляющую правду, похороненную в сверхсекретных лабораториях.</t>
        </is>
      </c>
      <c r="S700" s="26">
        <f>HYPERLINK("http://www.cnpol.ru/covers/20432.jpg","фото на сайте")</f>
        <v/>
      </c>
    </row>
    <row r="701" ht="50.1" customHeight="1" s="3">
      <c r="A701" s="23" t="n"/>
      <c r="B701" s="24" t="inlineStr">
        <is>
          <t>17430</t>
        </is>
      </c>
      <c r="C701" s="23" t="inlineStr">
        <is>
          <t>ИНОСТРАННЫЙ ДЕТЕКТИВ №1</t>
        </is>
      </c>
      <c r="D701" s="23" t="inlineStr">
        <is>
          <t>Джеймс П.</t>
        </is>
      </c>
      <c r="E701" s="23" t="inlineStr">
        <is>
          <t>Люби меня мертвым</t>
        </is>
      </c>
      <c r="F701" s="23" t="inlineStr">
        <is>
          <t>        </t>
        </is>
      </c>
      <c r="G701" s="27" t="n">
        <v>1104</v>
      </c>
      <c r="H701" s="23" t="n">
        <v>10</v>
      </c>
      <c r="I701" s="23" t="n">
        <v>10</v>
      </c>
      <c r="J701" s="23" t="inlineStr">
        <is>
          <t>978-5-227-07447-8</t>
        </is>
      </c>
      <c r="K701" s="23" t="inlineStr">
        <is>
          <t>60x90 1/16</t>
        </is>
      </c>
      <c r="L701" s="23" t="inlineStr">
        <is>
          <t>тв, супер</t>
        </is>
      </c>
      <c r="M701" s="23" t="n">
        <v>480</v>
      </c>
      <c r="N701" s="23" t="n">
        <v>2017</v>
      </c>
      <c r="O701" s="23" t="n">
        <v>578</v>
      </c>
      <c r="P701" s="23" t="n"/>
      <c r="Q701" s="23" t="n"/>
      <c r="R701" s="25" t="inlineStr">
        <is>
          <t>Суперинтендент Рой Грейс — шеф отдела тяжких преступлений — получает ин­фор­мацию о появлении в Брайтоне киллера по кличке Зуб и некоей Джоди Бентли, ­подозреваемой в контакте с мафией. Грейс со своей командой сыщиков­профессионалов начинает за непрошеными гостями  слежку. Но вскоре дело принимает неожиданный оборот: в течение одной недели два жителя города  укушены ядовитой змеей.  Грейс пони­мает — это не просто совпадение. Нужно копать глубже, поскольку известно, что муж Джоди Бентли также умер от змеиного яда и смерть эта весьма подозрительна.</t>
        </is>
      </c>
      <c r="S701" s="26">
        <f>HYPERLINK("http://www.cnpol.ru/covers/17430.jpg","фото на сайте")</f>
        <v/>
      </c>
    </row>
    <row r="702" ht="50.1" customHeight="1" s="3">
      <c r="A702" s="23" t="n"/>
      <c r="B702" s="24" t="inlineStr">
        <is>
          <t>17048</t>
        </is>
      </c>
      <c r="C702" s="23" t="inlineStr">
        <is>
          <t>ИНОСТРАННЫЙ ДЕТЕКТИВ №1</t>
        </is>
      </c>
      <c r="D702" s="23" t="inlineStr">
        <is>
          <t>Лалум Ханс Улав</t>
        </is>
      </c>
      <c r="E702" s="23" t="inlineStr">
        <is>
          <t>Люди-мухи</t>
        </is>
      </c>
      <c r="F702" s="23" t="inlineStr">
        <is>
          <t>        </t>
        </is>
      </c>
      <c r="G702" s="27" t="n">
        <v>1007</v>
      </c>
      <c r="H702" s="23" t="n">
        <v>10</v>
      </c>
      <c r="I702" s="23" t="n">
        <v>10</v>
      </c>
      <c r="J702" s="23" t="inlineStr">
        <is>
          <t>978-5-227-07079-1</t>
        </is>
      </c>
      <c r="K702" s="23" t="inlineStr">
        <is>
          <t>60x90 1/16</t>
        </is>
      </c>
      <c r="L702" s="23" t="inlineStr">
        <is>
          <t>тв, супер</t>
        </is>
      </c>
      <c r="M702" s="23" t="n">
        <v>320</v>
      </c>
      <c r="N702" s="23" t="n">
        <v>2016</v>
      </c>
      <c r="O702" s="23" t="n">
        <v>478</v>
      </c>
      <c r="P702" s="23" t="n"/>
      <c r="Q702" s="23" t="n"/>
      <c r="R702" s="25" t="inlineStr">
        <is>
          <t>Убит бывший лидер норвежского Сопротивления и бывший член кабинета министров Харальд Олесен. Его тело обнаружено в запертой квартире, следов взлома нет, орудие убийства отсутствует. На звук выстрела к двери Олесена сбежались все соседи, но никого не увидели. Инспектор уголовного розыска Колбьёрн Кристиансен считает, что убийство, скорее всего, совершил кто­то из них. Более того, он полагает, что их ­показания лживы.</t>
        </is>
      </c>
      <c r="S702" s="26">
        <f>HYPERLINK("http://www.cnpol.ru/covers/17048.jpg","фото на сайте")</f>
        <v/>
      </c>
    </row>
    <row r="703" ht="50.1" customHeight="1" s="3">
      <c r="A703" s="23" t="n"/>
      <c r="B703" s="24" t="inlineStr">
        <is>
          <t>20170</t>
        </is>
      </c>
      <c r="C703" s="23" t="inlineStr">
        <is>
          <t>ИНОСТРАННЫЙ ДЕТЕКТИВ №1</t>
        </is>
      </c>
      <c r="D703" s="23" t="inlineStr">
        <is>
          <t>Грубер А.</t>
        </is>
      </c>
      <c r="E703" s="23" t="inlineStr">
        <is>
          <t>Метка смерти</t>
        </is>
      </c>
      <c r="F703" s="23" t="inlineStr">
        <is>
          <t>        </t>
        </is>
      </c>
      <c r="G703" s="27" t="n">
        <v>1007</v>
      </c>
      <c r="H703" s="23" t="n">
        <v>10</v>
      </c>
      <c r="I703" s="23" t="n">
        <v>10</v>
      </c>
      <c r="J703" s="23" t="inlineStr">
        <is>
          <t>978-5-227-09934-1</t>
        </is>
      </c>
      <c r="K703" s="23" t="inlineStr">
        <is>
          <t>60x90 1/16</t>
        </is>
      </c>
      <c r="L703" s="23" t="inlineStr">
        <is>
          <t>тв, супер</t>
        </is>
      </c>
      <c r="M703" s="23" t="n">
        <v>447</v>
      </c>
      <c r="N703" s="23" t="n">
        <v>2022</v>
      </c>
      <c r="O703" s="23" t="n">
        <v>606</v>
      </c>
      <c r="P703" s="23" t="n"/>
      <c r="Q703" s="23" t="n"/>
      <c r="R703" s="25" t="n"/>
      <c r="S703" s="26">
        <f>HYPERLINK("http://www.cnpol.ru/covers/20170.jpg","фото на сайте")</f>
        <v/>
      </c>
    </row>
    <row r="704" ht="50.1" customHeight="1" s="3">
      <c r="A704" s="23" t="n"/>
      <c r="B704" s="24" t="inlineStr">
        <is>
          <t>17291</t>
        </is>
      </c>
      <c r="C704" s="23" t="inlineStr">
        <is>
          <t>ИНОСТРАННЫЙ ДЕТЕКТИВ №1</t>
        </is>
      </c>
      <c r="D704" s="23" t="inlineStr">
        <is>
          <t>Джеймс П.</t>
        </is>
      </c>
      <c r="E704" s="23" t="inlineStr">
        <is>
          <t>Многоликое зло</t>
        </is>
      </c>
      <c r="F704" s="23" t="inlineStr">
        <is>
          <t>        </t>
        </is>
      </c>
      <c r="G704" s="27" t="n">
        <v>1007</v>
      </c>
      <c r="H704" s="23" t="n">
        <v>10</v>
      </c>
      <c r="I704" s="23" t="n">
        <v>14</v>
      </c>
      <c r="J704" s="23" t="inlineStr">
        <is>
          <t>978-5-227-07334-1</t>
        </is>
      </c>
      <c r="K704" s="23" t="inlineStr">
        <is>
          <t>60x90 1/16</t>
        </is>
      </c>
      <c r="L704" s="23" t="inlineStr">
        <is>
          <t>тв, супер</t>
        </is>
      </c>
      <c r="M704" s="23" t="n">
        <v>320</v>
      </c>
      <c r="N704" s="23" t="n">
        <v>2017</v>
      </c>
      <c r="O704" s="23" t="n">
        <v>462</v>
      </c>
      <c r="P704" s="23" t="n"/>
      <c r="Q704" s="23" t="n"/>
      <c r="R704" s="25" t="n"/>
      <c r="S704" s="26">
        <f>HYPERLINK("http://www.cnpol.ru/covers/17291.jpg","фото на сайте")</f>
        <v/>
      </c>
    </row>
    <row r="705" ht="50.1" customHeight="1" s="3">
      <c r="A705" s="23" t="n"/>
      <c r="B705" s="24" t="inlineStr">
        <is>
          <t>17892</t>
        </is>
      </c>
      <c r="C705" s="23" t="inlineStr">
        <is>
          <t>ИНОСТРАННЫЙ ДЕТЕКТИВ №1</t>
        </is>
      </c>
      <c r="D705" s="23" t="inlineStr">
        <is>
          <t>Кубика М</t>
        </is>
      </c>
      <c r="E705" s="23" t="inlineStr">
        <is>
          <t>Моя малышка</t>
        </is>
      </c>
      <c r="F705" s="23" t="inlineStr">
        <is>
          <t>        </t>
        </is>
      </c>
      <c r="G705" s="27" t="n">
        <v>1007</v>
      </c>
      <c r="H705" s="23" t="n">
        <v>10</v>
      </c>
      <c r="I705" s="23" t="n">
        <v>16</v>
      </c>
      <c r="J705" s="23" t="inlineStr">
        <is>
          <t>978-5-227-06837-8</t>
        </is>
      </c>
      <c r="K705" s="23" t="inlineStr">
        <is>
          <t>60x90 1/16</t>
        </is>
      </c>
      <c r="L705" s="23" t="inlineStr">
        <is>
          <t>тв, супер</t>
        </is>
      </c>
      <c r="M705" s="23" t="n">
        <v>320</v>
      </c>
      <c r="N705" s="23" t="n">
        <v>2018</v>
      </c>
      <c r="O705" s="23" t="n">
        <v>418</v>
      </c>
      <c r="P705" s="23" t="n"/>
      <c r="Q705" s="23" t="n"/>
      <c r="R705" s="25" t="n"/>
      <c r="S705" s="26">
        <f>HYPERLINK("http://www.cnpol.ru/covers/17892.jpg","фото на сайте")</f>
        <v/>
      </c>
    </row>
    <row r="706" ht="50.1" customHeight="1" s="3">
      <c r="A706" s="23" t="n"/>
      <c r="B706" s="24" t="inlineStr">
        <is>
          <t>17403</t>
        </is>
      </c>
      <c r="C706" s="23" t="inlineStr">
        <is>
          <t>ИНОСТРАННЫЙ ДЕТЕКТИВ №1</t>
        </is>
      </c>
      <c r="D706" s="23" t="inlineStr">
        <is>
          <t>Герритсен Т.</t>
        </is>
      </c>
      <c r="E706" s="23" t="inlineStr">
        <is>
          <t>Надежда умирает последней</t>
        </is>
      </c>
      <c r="F706" s="23" t="inlineStr">
        <is>
          <t>        </t>
        </is>
      </c>
      <c r="G706" s="23" t="n">
        <v>880</v>
      </c>
      <c r="H706" s="23" t="n">
        <v>10</v>
      </c>
      <c r="I706" s="23" t="n">
        <v>12</v>
      </c>
      <c r="J706" s="23" t="inlineStr">
        <is>
          <t>978-5-227-07343-3</t>
        </is>
      </c>
      <c r="K706" s="23" t="inlineStr">
        <is>
          <t>60x90 1/16</t>
        </is>
      </c>
      <c r="L706" s="23" t="inlineStr">
        <is>
          <t>тв, супер</t>
        </is>
      </c>
      <c r="M706" s="23" t="n">
        <v>288</v>
      </c>
      <c r="N706" s="23" t="n">
        <v>2017</v>
      </c>
      <c r="O706" s="23" t="n">
        <v>386</v>
      </c>
      <c r="P706" s="23" t="n"/>
      <c r="Q706" s="23" t="n"/>
      <c r="R706" s="25" t="n"/>
      <c r="S706" s="26">
        <f>HYPERLINK("http://www.cnpol.ru/covers/17403.jpg","фото на сайте")</f>
        <v/>
      </c>
    </row>
    <row r="707" ht="50.1" customHeight="1" s="3">
      <c r="A707" s="23" t="n"/>
      <c r="B707" s="24" t="inlineStr">
        <is>
          <t>18106</t>
        </is>
      </c>
      <c r="C707" s="23" t="inlineStr">
        <is>
          <t>ИНОСТРАННЫЙ ДЕТЕКТИВ №1</t>
        </is>
      </c>
      <c r="D707" s="23" t="inlineStr">
        <is>
          <t>Кубика М</t>
        </is>
      </c>
      <c r="E707" s="23" t="inlineStr">
        <is>
          <t>Не плачь</t>
        </is>
      </c>
      <c r="F707" s="23" t="inlineStr">
        <is>
          <t>        </t>
        </is>
      </c>
      <c r="G707" s="27" t="n">
        <v>1007</v>
      </c>
      <c r="H707" s="23" t="n">
        <v>10</v>
      </c>
      <c r="I707" s="23" t="n">
        <v>16</v>
      </c>
      <c r="J707" s="23" t="inlineStr">
        <is>
          <t>978-5-227-08204-6</t>
        </is>
      </c>
      <c r="K707" s="23" t="inlineStr">
        <is>
          <t>60x90 1/16</t>
        </is>
      </c>
      <c r="L707" s="23" t="inlineStr">
        <is>
          <t>тв, супер</t>
        </is>
      </c>
      <c r="M707" s="23" t="n">
        <v>288</v>
      </c>
      <c r="N707" s="23" t="n">
        <v>2018</v>
      </c>
      <c r="O707" s="23" t="n">
        <v>396</v>
      </c>
      <c r="P707" s="23" t="n"/>
      <c r="Q707" s="23" t="n"/>
      <c r="R707" s="25" t="n"/>
      <c r="S707" s="26">
        <f>HYPERLINK("http://www.cnpol.ru/covers/18106.jpg","фото на сайте")</f>
        <v/>
      </c>
    </row>
    <row r="708" ht="50.1" customHeight="1" s="3">
      <c r="A708" s="23" t="n"/>
      <c r="B708" s="24" t="inlineStr">
        <is>
          <t>20628</t>
        </is>
      </c>
      <c r="C708" s="23" t="inlineStr">
        <is>
          <t>ИНОСТРАННЫЙ ДЕТЕКТИВ №1</t>
        </is>
      </c>
      <c r="D708" s="23" t="inlineStr">
        <is>
          <t>Фитцек С.</t>
        </is>
      </c>
      <c r="E708" s="23" t="inlineStr">
        <is>
          <t>Ночь вне закона</t>
        </is>
      </c>
      <c r="F708" s="23" t="inlineStr">
        <is>
          <t>        </t>
        </is>
      </c>
      <c r="G708" s="27" t="n">
        <v>1007</v>
      </c>
      <c r="H708" s="23" t="n">
        <v>10</v>
      </c>
      <c r="I708" s="23" t="n">
        <v>10</v>
      </c>
      <c r="J708" s="23" t="inlineStr">
        <is>
          <t>978-5-227-10302-4</t>
        </is>
      </c>
      <c r="K708" s="23" t="inlineStr">
        <is>
          <t>60x90 1/16</t>
        </is>
      </c>
      <c r="L708" s="23" t="inlineStr">
        <is>
          <t>тв, супер</t>
        </is>
      </c>
      <c r="M708" s="23" t="n">
        <v>320</v>
      </c>
      <c r="N708" s="23" t="n">
        <v>2023</v>
      </c>
      <c r="O708" s="23" t="n">
        <v>436</v>
      </c>
      <c r="P708" s="23" t="n"/>
      <c r="Q708" s="23" t="n"/>
      <c r="R708" s="25" t="inlineStr">
        <is>
          <t>Ночь вне закона — так называется лотерея смерти, набирающая популярность в Интернете. Каждый желающий сообщает имя человека, которого считает недостойным жить. Результат объявляют в символичное время — 8 августа в 8:08 вечера. Теперь известны две жертвы, на которых объявлена охота. Этих людей можно не только безнаказанно убить, но еще и получить за это приз — 10 миллионов евро. Беньямин Рюман, безработный музыкант неудачник, неожиданно для себя понимает, что он — один из обре­ченных. Попав в отчаянное положение, он вынужден продолжать участвовать в безумной игре, так как в противном случае от яда умрет его дочь.</t>
        </is>
      </c>
      <c r="S708" s="26">
        <f>HYPERLINK("http://www.cnpol.ru/covers/20628.jpg","фото на сайте")</f>
        <v/>
      </c>
    </row>
    <row r="709" ht="50.1" customHeight="1" s="3">
      <c r="A709" s="23" t="n"/>
      <c r="B709" s="24" t="inlineStr">
        <is>
          <t>19832</t>
        </is>
      </c>
      <c r="C709" s="23" t="inlineStr">
        <is>
          <t>ИНОСТРАННЫЙ ДЕТЕКТИВ №1</t>
        </is>
      </c>
      <c r="D709" s="23" t="inlineStr">
        <is>
          <t>Фитцек С.</t>
        </is>
      </c>
      <c r="E709" s="23" t="inlineStr">
        <is>
          <t>Осколок</t>
        </is>
      </c>
      <c r="F709" s="23" t="inlineStr">
        <is>
          <t>        </t>
        </is>
      </c>
      <c r="G709" s="27" t="n">
        <v>1007</v>
      </c>
      <c r="H709" s="23" t="n">
        <v>10</v>
      </c>
      <c r="I709" s="23" t="n">
        <v>16</v>
      </c>
      <c r="J709" s="23" t="inlineStr">
        <is>
          <t>978-5-227-09607-4</t>
        </is>
      </c>
      <c r="K709" s="23" t="inlineStr">
        <is>
          <t>60x90 1/16</t>
        </is>
      </c>
      <c r="L709" s="23" t="inlineStr">
        <is>
          <t>тв, супер</t>
        </is>
      </c>
      <c r="M709" s="23" t="n">
        <v>320</v>
      </c>
      <c r="N709" s="23" t="n">
        <v>2021</v>
      </c>
      <c r="O709" s="23" t="n">
        <v>428</v>
      </c>
      <c r="P709" s="23" t="n"/>
      <c r="Q709" s="23" t="n"/>
      <c r="R709" s="25" t="n"/>
      <c r="S709" s="26">
        <f>HYPERLINK("http://www.cnpol.ru/covers/19832.jpg","фото на сайте")</f>
        <v/>
      </c>
    </row>
    <row r="710" ht="50.1" customHeight="1" s="3">
      <c r="A710" s="23" t="n"/>
      <c r="B710" s="24" t="inlineStr">
        <is>
          <t>19508</t>
        </is>
      </c>
      <c r="C710" s="23" t="inlineStr">
        <is>
          <t>ИНОСТРАННЫЙ ДЕТЕКТИВ №1</t>
        </is>
      </c>
      <c r="D710" s="23" t="inlineStr">
        <is>
          <t>Бёгле Н.</t>
        </is>
      </c>
      <c r="E710" s="23" t="inlineStr">
        <is>
          <t>Остров Дьявола</t>
        </is>
      </c>
      <c r="F710" s="23" t="inlineStr">
        <is>
          <t>        </t>
        </is>
      </c>
      <c r="G710" s="27" t="n">
        <v>1007</v>
      </c>
      <c r="H710" s="23" t="n">
        <v>10</v>
      </c>
      <c r="I710" s="23" t="n">
        <v>16</v>
      </c>
      <c r="J710" s="23" t="inlineStr">
        <is>
          <t>978-5-227-09240-3</t>
        </is>
      </c>
      <c r="K710" s="23" t="inlineStr">
        <is>
          <t>60x90 1/16</t>
        </is>
      </c>
      <c r="L710" s="23" t="inlineStr">
        <is>
          <t>тв, супер</t>
        </is>
      </c>
      <c r="M710" s="23" t="n">
        <v>256</v>
      </c>
      <c r="N710" s="23" t="n">
        <v>2020</v>
      </c>
      <c r="O710" s="23" t="n">
        <v>368</v>
      </c>
      <c r="P710" s="23" t="n"/>
      <c r="Q710" s="23" t="n"/>
      <c r="R710" s="25" t="n"/>
      <c r="S710" s="26">
        <f>HYPERLINK("http://www.cnpol.ru/covers/19508.jpg","фото на сайте")</f>
        <v/>
      </c>
    </row>
    <row r="711" ht="50.1" customHeight="1" s="3">
      <c r="A711" s="23" t="n"/>
      <c r="B711" s="24" t="inlineStr">
        <is>
          <t>20881</t>
        </is>
      </c>
      <c r="C711" s="23" t="inlineStr">
        <is>
          <t>ИНОСТРАННЫЙ ДЕТЕКТИВ №1</t>
        </is>
      </c>
      <c r="D711" s="23" t="inlineStr">
        <is>
          <t>Фитцек С.</t>
        </is>
      </c>
      <c r="E711" s="23" t="inlineStr">
        <is>
          <t>Отрезанный</t>
        </is>
      </c>
      <c r="F711" s="23" t="inlineStr">
        <is>
          <t>        </t>
        </is>
      </c>
      <c r="G711" s="27" t="n">
        <v>1007</v>
      </c>
      <c r="H711" s="23" t="n">
        <v>10</v>
      </c>
      <c r="I711" s="23" t="n">
        <v>14</v>
      </c>
      <c r="J711" s="23" t="inlineStr">
        <is>
          <t>978-5-227-10030-6</t>
        </is>
      </c>
      <c r="K711" s="23" t="inlineStr">
        <is>
          <t>60x90 1/16</t>
        </is>
      </c>
      <c r="L711" s="23" t="inlineStr">
        <is>
          <t>тв, супер</t>
        </is>
      </c>
      <c r="M711" s="23" t="n">
        <v>366</v>
      </c>
      <c r="N711" s="23" t="n">
        <v>2023</v>
      </c>
      <c r="O711" s="23" t="n">
        <v>493</v>
      </c>
      <c r="P711" s="23" t="n"/>
      <c r="Q711" s="23" t="n"/>
      <c r="R711" s="25" t="inlineStr">
        <is>
          <t>Ведущий судмедэксперт Федерального ведомства уголовной полиции Германии Пауль Херцфельд нашел в голове чудовищно изуродованного женского трупа записку с номером телефона своей дочери Ханны. Оказывается, девочка похищена, и злоумышленник с извращенным сознанием вовлекает Пауля в смертельно опасную игру, оставляя призрачную надежду спасти дочь. Очередное указание о дальнейших действиях спрятано еще в одном трупе, который находится на северном острове Гельголанд. Однако Херцфельд не имеет шансов получить информацию. Мощный циклон отрезал остров от материка, население уже эвакуировали. Среди немногих, кто остался, художница комиксов Линда. Она и обнаружила на пляже мертвеца. Отчаявшийся отец пытается уговорить ее провести вскрытие по его телефонным инструкциям. Но Линда никогда не касалась скальпеля. Не говоря уже о том, чтобы рассекать человеческое тело.</t>
        </is>
      </c>
      <c r="S711" s="26">
        <f>HYPERLINK("http://www.cnpol.ru/covers/20881.jpg","фото на сайте")</f>
        <v/>
      </c>
    </row>
    <row r="712" ht="50.1" customHeight="1" s="3">
      <c r="A712" s="23" t="n"/>
      <c r="B712" s="24" t="inlineStr">
        <is>
          <t>18170</t>
        </is>
      </c>
      <c r="C712" s="23" t="inlineStr">
        <is>
          <t>ИНОСТРАННЫЙ ДЕТЕКТИВ №1</t>
        </is>
      </c>
      <c r="D712" s="23" t="inlineStr">
        <is>
          <t>Бонда К.</t>
        </is>
      </c>
      <c r="E712" s="23" t="inlineStr">
        <is>
          <t>Очкарик</t>
        </is>
      </c>
      <c r="F712" s="23" t="inlineStr">
        <is>
          <t>        </t>
        </is>
      </c>
      <c r="G712" s="27" t="n">
        <v>1152</v>
      </c>
      <c r="H712" s="23" t="n">
        <v>10</v>
      </c>
      <c r="I712" s="23" t="n">
        <v>8</v>
      </c>
      <c r="J712" s="23" t="inlineStr">
        <is>
          <t>978-5-227-08037-0</t>
        </is>
      </c>
      <c r="K712" s="23" t="inlineStr">
        <is>
          <t>60x90 1/16</t>
        </is>
      </c>
      <c r="L712" s="23" t="inlineStr">
        <is>
          <t>тв, супер</t>
        </is>
      </c>
      <c r="M712" s="23" t="n">
        <v>592</v>
      </c>
      <c r="N712" s="23" t="n">
        <v>2018</v>
      </c>
      <c r="O712" s="23" t="n">
        <v>680</v>
      </c>
      <c r="P712" s="23" t="n"/>
      <c r="Q712" s="23" t="n"/>
      <c r="R712" s="25" t="n"/>
      <c r="S712" s="26">
        <f>HYPERLINK("http://www.cnpol.ru/covers/18170.jpg","фото на сайте")</f>
        <v/>
      </c>
    </row>
    <row r="713" ht="50.1" customHeight="1" s="3">
      <c r="A713" s="23" t="n"/>
      <c r="B713" s="24" t="inlineStr">
        <is>
          <t>20378</t>
        </is>
      </c>
      <c r="C713" s="23" t="inlineStr">
        <is>
          <t>ИНОСТРАННЫЙ ДЕТЕКТИВ №1</t>
        </is>
      </c>
      <c r="D713" s="23" t="inlineStr">
        <is>
          <t>Бёгле Н.</t>
        </is>
      </c>
      <c r="E713" s="23" t="inlineStr">
        <is>
          <t>Пассажир без лица</t>
        </is>
      </c>
      <c r="F713" s="23" t="inlineStr">
        <is>
          <t>        </t>
        </is>
      </c>
      <c r="G713" s="27" t="n">
        <v>1007</v>
      </c>
      <c r="H713" s="23" t="n">
        <v>10</v>
      </c>
      <c r="I713" s="23" t="n">
        <v>14</v>
      </c>
      <c r="J713" s="23" t="inlineStr">
        <is>
          <t>978-5-227-10031-3</t>
        </is>
      </c>
      <c r="K713" s="23" t="inlineStr">
        <is>
          <t>60x90 1/16</t>
        </is>
      </c>
      <c r="L713" s="23" t="inlineStr">
        <is>
          <t>тв, супер</t>
        </is>
      </c>
      <c r="M713" s="23" t="n">
        <v>287</v>
      </c>
      <c r="N713" s="23" t="n">
        <v>2022</v>
      </c>
      <c r="O713" s="23" t="n">
        <v>400</v>
      </c>
      <c r="P713" s="23" t="n"/>
      <c r="Q713" s="23" t="n"/>
      <c r="R713" s="25" t="inlineStr">
        <is>
          <t>«Ты ищешь не одна». Это анонимное послание, оставленное на коврике у входной двери, произвело эффект сильнее удара электрошокера. Инспектор шотландской полиции Грейс Кемпбелл поняла, что на этот раз у нее нет выбора. Она должна открыть давно запертую дверь тайной комнаты, расположенной в глубине ее квартиры. И встретиться лицом к лицу с жуткой историей, которая преследовала ее столько лет…</t>
        </is>
      </c>
      <c r="S713" s="26">
        <f>HYPERLINK("http://www.cnpol.ru/covers/20378.jpg","фото на сайте")</f>
        <v/>
      </c>
    </row>
    <row r="714" ht="50.1" customHeight="1" s="3">
      <c r="A714" s="23" t="inlineStr">
        <is>
          <t>Д</t>
        </is>
      </c>
      <c r="B714" s="24" t="inlineStr">
        <is>
          <t>21093</t>
        </is>
      </c>
      <c r="C714" s="23" t="inlineStr">
        <is>
          <t>ИНОСТРАННЫЙ ДЕТЕКТИВ №1</t>
        </is>
      </c>
      <c r="D714" s="23" t="inlineStr">
        <is>
          <t>Фитцек С.</t>
        </is>
      </c>
      <c r="E714" s="23" t="inlineStr">
        <is>
          <t>Пациент особой клиники</t>
        </is>
      </c>
      <c r="F714" s="23" t="inlineStr">
        <is>
          <t>        </t>
        </is>
      </c>
      <c r="G714" s="27" t="n">
        <v>1007</v>
      </c>
      <c r="H714" s="23" t="n">
        <v>10</v>
      </c>
      <c r="I714" s="23" t="n">
        <v>12</v>
      </c>
      <c r="J714" s="23" t="inlineStr">
        <is>
          <t>978-5-227-10623-0</t>
        </is>
      </c>
      <c r="K714" s="23" t="inlineStr">
        <is>
          <t>60x90 1/16</t>
        </is>
      </c>
      <c r="L714" s="23" t="inlineStr">
        <is>
          <t>тв, супер</t>
        </is>
      </c>
      <c r="M714" s="23" t="n">
        <v>351</v>
      </c>
      <c r="N714" s="23" t="n">
        <v>2024</v>
      </c>
      <c r="O714" s="23" t="n">
        <v>459</v>
      </c>
      <c r="P714" s="23" t="n"/>
      <c r="Q714" s="23" t="n"/>
      <c r="R714" s="25" t="inlineStr">
        <is>
          <t>У Тилля Беркхоффа бесследно пропадает сын Макс. Все улики свидетельствуют о том, что мальчик стал жертвой маньяка Гвидо Трамница. Преступник арестован полицией и признался в похищении и убийстве нескольких маленьких детей. Место их захоронения серийный убийца  указал, однако о судьбе Макса хранит упорное молчание. Суд признает садиста невменяемым и отправляет его в строго охраняемую  психиатрическую лечебницу. Следствию известно о том, что психопат вел дневник, где описывал все, что сделал с жертвами, но найти записи не удалось. Отчаявшийся отец обращается за содействием к знакомому сотруднику полиции, и тот делает ему невероятное предложение: стать пациентом этой особой клиники. Так он сможет оказаться ближе к детоубийце и заставить его признаться. Того, чем обернется эта отчаянная попытка, не ожидал никто.</t>
        </is>
      </c>
      <c r="S714" s="26">
        <f>HYPERLINK("http://www.cnpol.ru/covers/21093.jpg","фото на сайте")</f>
        <v/>
      </c>
    </row>
    <row r="715" ht="50.1" customHeight="1" s="3">
      <c r="A715" s="23" t="n"/>
      <c r="B715" s="24" t="inlineStr">
        <is>
          <t>18517</t>
        </is>
      </c>
      <c r="C715" s="23" t="inlineStr">
        <is>
          <t>ИНОСТРАННЫЙ ДЕТЕКТИВ №1</t>
        </is>
      </c>
      <c r="D715" s="23" t="inlineStr">
        <is>
          <t>Абалос Р.</t>
        </is>
      </c>
      <c r="E715" s="23" t="inlineStr">
        <is>
          <t>Пелена страха</t>
        </is>
      </c>
      <c r="F715" s="23" t="inlineStr">
        <is>
          <t>        </t>
        </is>
      </c>
      <c r="G715" s="27" t="n">
        <v>1007</v>
      </c>
      <c r="H715" s="23" t="n">
        <v>10</v>
      </c>
      <c r="I715" s="23" t="n">
        <v>14</v>
      </c>
      <c r="J715" s="23" t="inlineStr">
        <is>
          <t>978-5-227-08454-5</t>
        </is>
      </c>
      <c r="K715" s="23" t="inlineStr">
        <is>
          <t>60x90 1/16</t>
        </is>
      </c>
      <c r="L715" s="23" t="inlineStr">
        <is>
          <t>тв, супер</t>
        </is>
      </c>
      <c r="M715" s="23" t="n">
        <v>352</v>
      </c>
      <c r="N715" s="23" t="n">
        <v>2019</v>
      </c>
      <c r="O715" s="23" t="n">
        <v>464</v>
      </c>
      <c r="P715" s="23" t="n"/>
      <c r="Q715" s="23" t="n"/>
      <c r="R715" s="25" t="n"/>
      <c r="S715" s="26">
        <f>HYPERLINK("http://www.cnpol.ru/covers/18517.jpg","фото на сайте")</f>
        <v/>
      </c>
    </row>
    <row r="716" ht="50.1" customHeight="1" s="3">
      <c r="A716" s="23" t="n"/>
      <c r="B716" s="24" t="inlineStr">
        <is>
          <t>16906</t>
        </is>
      </c>
      <c r="C716" s="23" t="inlineStr">
        <is>
          <t>ИНОСТРАННЫЙ ДЕТЕКТИВ №1</t>
        </is>
      </c>
      <c r="D716" s="23" t="inlineStr">
        <is>
          <t>Герритсен Т.</t>
        </is>
      </c>
      <c r="E716" s="23" t="inlineStr">
        <is>
          <t>По их следам</t>
        </is>
      </c>
      <c r="F716" s="23" t="inlineStr">
        <is>
          <t>        </t>
        </is>
      </c>
      <c r="G716" s="23" t="n">
        <v>880</v>
      </c>
      <c r="H716" s="23" t="n">
        <v>10</v>
      </c>
      <c r="I716" s="23" t="n">
        <v>14</v>
      </c>
      <c r="J716" s="23" t="inlineStr">
        <is>
          <t>978-5-227-06846-0</t>
        </is>
      </c>
      <c r="K716" s="23" t="inlineStr">
        <is>
          <t>60x90 1/16</t>
        </is>
      </c>
      <c r="L716" s="23" t="inlineStr">
        <is>
          <t>тв, супер</t>
        </is>
      </c>
      <c r="M716" s="23" t="n">
        <v>256</v>
      </c>
      <c r="N716" s="23" t="n">
        <v>2016</v>
      </c>
      <c r="O716" s="23" t="n">
        <v>376</v>
      </c>
      <c r="P716" s="23" t="n"/>
      <c r="Q716" s="23" t="n"/>
      <c r="R716" s="25" t="n"/>
      <c r="S716" s="26">
        <f>HYPERLINK("http://www.cnpol.ru/covers/16906.jpg","фото на сайте")</f>
        <v/>
      </c>
    </row>
    <row r="717" ht="50.1" customHeight="1" s="3">
      <c r="A717" s="23" t="n"/>
      <c r="B717" s="24" t="inlineStr">
        <is>
          <t>20146</t>
        </is>
      </c>
      <c r="C717" s="23" t="inlineStr">
        <is>
          <t>ИНОСТРАННЫЙ ДЕТЕКТИВ №1</t>
        </is>
      </c>
      <c r="D717" s="23" t="inlineStr">
        <is>
          <t>Фитцек С.</t>
        </is>
      </c>
      <c r="E717" s="23" t="inlineStr">
        <is>
          <t>Подарок</t>
        </is>
      </c>
      <c r="F717" s="23" t="inlineStr">
        <is>
          <t>        </t>
        </is>
      </c>
      <c r="G717" s="27" t="n">
        <v>1016</v>
      </c>
      <c r="H717" s="23" t="n">
        <v>10</v>
      </c>
      <c r="I717" s="23" t="n">
        <v>18</v>
      </c>
      <c r="J717" s="23" t="inlineStr">
        <is>
          <t>978-5-227-09857-3</t>
        </is>
      </c>
      <c r="K717" s="23" t="inlineStr">
        <is>
          <t>60x90 1/16</t>
        </is>
      </c>
      <c r="L717" s="23" t="inlineStr">
        <is>
          <t>тв, супер</t>
        </is>
      </c>
      <c r="M717" s="23" t="n">
        <v>287</v>
      </c>
      <c r="N717" s="23" t="n">
        <v>2022</v>
      </c>
      <c r="O717" s="23" t="n">
        <v>424</v>
      </c>
      <c r="P717" s="23" t="n"/>
      <c r="Q717" s="23" t="n"/>
      <c r="R717" s="25" t="n"/>
      <c r="S717" s="26">
        <f>HYPERLINK("http://www.cnpol.ru/covers/20146.jpg","фото на сайте")</f>
        <v/>
      </c>
    </row>
    <row r="718" ht="50.1" customHeight="1" s="3">
      <c r="A718" s="23" t="n"/>
      <c r="B718" s="24" t="inlineStr">
        <is>
          <t>15091</t>
        </is>
      </c>
      <c r="C718" s="23" t="inlineStr">
        <is>
          <t>ИНОСТРАННЫЙ ДЕТЕКТИВ №1</t>
        </is>
      </c>
      <c r="D718" s="23" t="inlineStr">
        <is>
          <t>Хайес С.</t>
        </is>
      </c>
      <c r="E718" s="23" t="inlineStr">
        <is>
          <t>Пока ты моя</t>
        </is>
      </c>
      <c r="F718" s="23" t="inlineStr">
        <is>
          <t>        </t>
        </is>
      </c>
      <c r="G718" s="27" t="n">
        <v>1007</v>
      </c>
      <c r="H718" s="23" t="n">
        <v>10</v>
      </c>
      <c r="I718" s="23" t="n">
        <v>10</v>
      </c>
      <c r="J718" s="23" t="inlineStr">
        <is>
          <t>978-5-227-04999-5</t>
        </is>
      </c>
      <c r="K718" s="23" t="inlineStr">
        <is>
          <t>60x90 1/16</t>
        </is>
      </c>
      <c r="L718" s="23" t="inlineStr">
        <is>
          <t>тв, супер</t>
        </is>
      </c>
      <c r="M718" s="23" t="n">
        <v>478</v>
      </c>
      <c r="N718" s="23" t="n">
        <v>2014</v>
      </c>
      <c r="O718" s="23" t="n">
        <v>622</v>
      </c>
      <c r="P718" s="23" t="n"/>
      <c r="Q718" s="23" t="n"/>
      <c r="R718" s="25" t="n"/>
      <c r="S718" s="26">
        <f>HYPERLINK("http://www.cnpol.ru/covers/15091.jpg","фото на сайте")</f>
        <v/>
      </c>
    </row>
    <row r="719" ht="50.1" customHeight="1" s="3">
      <c r="A719" s="23" t="n"/>
      <c r="B719" s="24" t="inlineStr">
        <is>
          <t>19895</t>
        </is>
      </c>
      <c r="C719" s="23" t="inlineStr">
        <is>
          <t>ИНОСТРАННЫЙ ДЕТЕКТИВ №1</t>
        </is>
      </c>
      <c r="D719" s="23" t="inlineStr">
        <is>
          <t>Бёгле Н.</t>
        </is>
      </c>
      <c r="E719" s="23" t="inlineStr">
        <is>
          <t>Последнее послание</t>
        </is>
      </c>
      <c r="F719" s="23" t="inlineStr">
        <is>
          <t>        </t>
        </is>
      </c>
      <c r="G719" s="27" t="n">
        <v>1007</v>
      </c>
      <c r="H719" s="23" t="n">
        <v>10</v>
      </c>
      <c r="I719" s="23" t="n">
        <v>16</v>
      </c>
      <c r="J719" s="23" t="inlineStr">
        <is>
          <t>978-5-227-09665-4</t>
        </is>
      </c>
      <c r="K719" s="23" t="inlineStr">
        <is>
          <t>60x90 1/16</t>
        </is>
      </c>
      <c r="L719" s="23" t="inlineStr">
        <is>
          <t>тв, супер</t>
        </is>
      </c>
      <c r="M719" s="23" t="n">
        <v>319</v>
      </c>
      <c r="N719" s="23" t="n">
        <v>2021</v>
      </c>
      <c r="O719" s="23" t="n">
        <v>444</v>
      </c>
      <c r="P719" s="23" t="n"/>
      <c r="Q719" s="23" t="n"/>
      <c r="R719" s="25" t="n"/>
      <c r="S719" s="26">
        <f>HYPERLINK("http://www.cnpol.ru/covers/19895.jpg","фото на сайте")</f>
        <v/>
      </c>
    </row>
    <row r="720" ht="50.1" customHeight="1" s="3">
      <c r="A720" s="23" t="n"/>
      <c r="B720" s="24" t="inlineStr">
        <is>
          <t>20156</t>
        </is>
      </c>
      <c r="C720" s="23" t="inlineStr">
        <is>
          <t>ИНОСТРАННЫЙ ДЕТЕКТИВ №1</t>
        </is>
      </c>
      <c r="D720" s="23" t="inlineStr">
        <is>
          <t>Фитцек С.</t>
        </is>
      </c>
      <c r="E720" s="23" t="inlineStr">
        <is>
          <t>Посылка</t>
        </is>
      </c>
      <c r="F720" s="23" t="inlineStr">
        <is>
          <t>        </t>
        </is>
      </c>
      <c r="G720" s="27" t="n">
        <v>1007</v>
      </c>
      <c r="H720" s="23" t="n">
        <v>10</v>
      </c>
      <c r="I720" s="23" t="n">
        <v>16</v>
      </c>
      <c r="J720" s="23" t="inlineStr">
        <is>
          <t>978-5-227-09838-2</t>
        </is>
      </c>
      <c r="K720" s="23" t="inlineStr">
        <is>
          <t>60x90 1/16</t>
        </is>
      </c>
      <c r="L720" s="23" t="inlineStr">
        <is>
          <t>тв, супер</t>
        </is>
      </c>
      <c r="M720" s="23" t="n">
        <v>320</v>
      </c>
      <c r="N720" s="23" t="n">
        <v>2022</v>
      </c>
      <c r="O720" s="23" t="n">
        <v>422</v>
      </c>
      <c r="P720" s="23" t="n"/>
      <c r="Q720" s="23" t="n"/>
      <c r="R720" s="25" t="n"/>
      <c r="S720" s="26">
        <f>HYPERLINK("http://www.cnpol.ru/covers/20156.jpg","фото на сайте")</f>
        <v/>
      </c>
    </row>
    <row r="721" ht="50.1" customHeight="1" s="3">
      <c r="A721" s="23" t="n"/>
      <c r="B721" s="24" t="inlineStr">
        <is>
          <t>18107</t>
        </is>
      </c>
      <c r="C721" s="23" t="inlineStr">
        <is>
          <t>ИНОСТРАННЫЙ ДЕТЕКТИВ №1</t>
        </is>
      </c>
      <c r="D721" s="23" t="inlineStr">
        <is>
          <t>Хейтер Э.</t>
        </is>
      </c>
      <c r="E721" s="23" t="inlineStr">
        <is>
          <t>Похищенные</t>
        </is>
      </c>
      <c r="F721" s="23" t="inlineStr">
        <is>
          <t>        </t>
        </is>
      </c>
      <c r="G721" s="27" t="n">
        <v>1007</v>
      </c>
      <c r="H721" s="23" t="n">
        <v>10</v>
      </c>
      <c r="I721" s="23" t="n">
        <v>14</v>
      </c>
      <c r="J721" s="23" t="inlineStr">
        <is>
          <t>978-5-227-08101-8</t>
        </is>
      </c>
      <c r="K721" s="23" t="inlineStr">
        <is>
          <t>60x90 1/16</t>
        </is>
      </c>
      <c r="L721" s="23" t="inlineStr">
        <is>
          <t>тв, супер</t>
        </is>
      </c>
      <c r="M721" s="23" t="n">
        <v>352</v>
      </c>
      <c r="N721" s="23" t="n">
        <v>2018</v>
      </c>
      <c r="O721" s="23" t="n">
        <v>456</v>
      </c>
      <c r="P721" s="23" t="n"/>
      <c r="Q721" s="23" t="n"/>
      <c r="R721" s="25" t="n"/>
      <c r="S721" s="26">
        <f>HYPERLINK("http://www.cnpol.ru/covers/18107.jpg","фото на сайте")</f>
        <v/>
      </c>
    </row>
    <row r="722" ht="50.1" customHeight="1" s="3">
      <c r="A722" s="23" t="n"/>
      <c r="B722" s="24" t="inlineStr">
        <is>
          <t>15556</t>
        </is>
      </c>
      <c r="C722" s="23" t="inlineStr">
        <is>
          <t>ИНОСТРАННЫЙ ДЕТЕКТИВ №1</t>
        </is>
      </c>
      <c r="D722" s="23" t="inlineStr">
        <is>
          <t>Эббот Р.</t>
        </is>
      </c>
      <c r="E722" s="23" t="inlineStr">
        <is>
          <t>Путь обмана</t>
        </is>
      </c>
      <c r="F722" s="23" t="inlineStr">
        <is>
          <t>        </t>
        </is>
      </c>
      <c r="G722" s="27" t="n">
        <v>1007</v>
      </c>
      <c r="H722" s="23" t="n">
        <v>10</v>
      </c>
      <c r="I722" s="23" t="n">
        <v>10</v>
      </c>
      <c r="J722" s="23" t="inlineStr">
        <is>
          <t>978-5-227-05602-3</t>
        </is>
      </c>
      <c r="K722" s="23" t="inlineStr">
        <is>
          <t>60x90 1/16</t>
        </is>
      </c>
      <c r="L722" s="23" t="inlineStr">
        <is>
          <t>тв, супер</t>
        </is>
      </c>
      <c r="M722" s="23" t="n">
        <v>464</v>
      </c>
      <c r="N722" s="23" t="n">
        <v>2014</v>
      </c>
      <c r="O722" s="23" t="n">
        <v>606</v>
      </c>
      <c r="P722" s="23" t="n"/>
      <c r="Q722" s="23" t="n"/>
      <c r="R722" s="25" t="n"/>
      <c r="S722" s="26">
        <f>HYPERLINK("http://www.cnpol.ru/covers/15556.jpg","фото на сайте")</f>
        <v/>
      </c>
    </row>
    <row r="723" ht="50.1" customHeight="1" s="3">
      <c r="A723" s="23" t="n"/>
      <c r="B723" s="24" t="inlineStr">
        <is>
          <t>18735</t>
        </is>
      </c>
      <c r="C723" s="23" t="inlineStr">
        <is>
          <t>ИНОСТРАННЫЙ ДЕТЕКТИВ №1</t>
        </is>
      </c>
      <c r="D723" s="23" t="inlineStr">
        <is>
          <t>Грубер А.</t>
        </is>
      </c>
      <c r="E723" s="23" t="inlineStr">
        <is>
          <t>Сказка о смерти</t>
        </is>
      </c>
      <c r="F723" s="23" t="inlineStr">
        <is>
          <t>        </t>
        </is>
      </c>
      <c r="G723" s="27" t="n">
        <v>1007</v>
      </c>
      <c r="H723" s="23" t="n">
        <v>10</v>
      </c>
      <c r="I723" s="23" t="n">
        <v>12</v>
      </c>
      <c r="J723" s="23" t="inlineStr">
        <is>
          <t>978-5-227-08707-2</t>
        </is>
      </c>
      <c r="K723" s="23" t="inlineStr">
        <is>
          <t>60x90 1/16</t>
        </is>
      </c>
      <c r="L723" s="23" t="inlineStr">
        <is>
          <t>тв, супер</t>
        </is>
      </c>
      <c r="M723" s="23" t="n">
        <v>416</v>
      </c>
      <c r="N723" s="23" t="n">
        <v>2019</v>
      </c>
      <c r="O723" s="23" t="n">
        <v>484</v>
      </c>
      <c r="P723" s="23" t="n"/>
      <c r="Q723" s="23" t="n"/>
      <c r="R723" s="25" t="n"/>
      <c r="S723" s="26">
        <f>HYPERLINK("http://www.cnpol.ru/covers/18735.jpg","фото на сайте")</f>
        <v/>
      </c>
    </row>
    <row r="724" ht="50.1" customHeight="1" s="3">
      <c r="A724" s="23" t="inlineStr">
        <is>
          <t>Д</t>
        </is>
      </c>
      <c r="B724" s="24" t="inlineStr">
        <is>
          <t>21352</t>
        </is>
      </c>
      <c r="C724" s="23" t="inlineStr">
        <is>
          <t>ИНОСТРАННЫЙ ДЕТЕКТИВ №1</t>
        </is>
      </c>
      <c r="D724" s="23" t="inlineStr">
        <is>
          <t>Грубер А.</t>
        </is>
      </c>
      <c r="E724" s="23" t="inlineStr">
        <is>
          <t>Смертельный хоровод</t>
        </is>
      </c>
      <c r="F724" s="23" t="inlineStr">
        <is>
          <t>        </t>
        </is>
      </c>
      <c r="G724" s="27" t="n">
        <v>1409</v>
      </c>
      <c r="H724" s="23" t="n">
        <v>10</v>
      </c>
      <c r="I724" s="23" t="n">
        <v>12</v>
      </c>
      <c r="J724" s="23" t="inlineStr">
        <is>
          <t>978-5-227-10688-9</t>
        </is>
      </c>
      <c r="K724" s="23" t="inlineStr">
        <is>
          <t>60x90 1/16</t>
        </is>
      </c>
      <c r="L724" s="23" t="inlineStr">
        <is>
          <t>тв, супер</t>
        </is>
      </c>
      <c r="M724" s="23" t="n">
        <v>416</v>
      </c>
      <c r="N724" s="23" t="n">
        <v>2024</v>
      </c>
      <c r="O724" s="23" t="n">
        <v>498</v>
      </c>
      <c r="P724" s="23" t="n"/>
      <c r="Q724" s="23" t="n"/>
      <c r="R724" s="25" t="inlineStr">
        <is>
          <t>Несколько высокопоставленных чинов Федерального ведомства уголовной полиции кончают жизнь самоубийством самым жестоким образом и при загадочных обстоятельствах. Сабина Немез – комиссар группы по расследованию убийств и преподаватель Академии БКА – сразу заподозрила неладное. Многое указывает на давний заговор и жаждущую мести жертву. Сабина просит бывшего коллегу, временно отстраненного от службы профайлера Мартена С. Снейдера, о содействии в запутанном деле. Но он отказывается сотрудничать и убеждает ее не вмешиваться. Однако, когда Сабина бесследно исчезает, Снейдер начинает действовать. Тем самым он переходит дорогу не только исполненному ненависти убийце, но и своим бывшим соратникам, которые готовы пойти на все, чтобы навсегда скрыть грехи прошлого…</t>
        </is>
      </c>
      <c r="S724" s="26">
        <f>HYPERLINK("http://www.cnpol.ru/covers/21352.jpg","фото на сайте")</f>
        <v/>
      </c>
    </row>
    <row r="725" ht="50.1" customHeight="1" s="3">
      <c r="A725" s="23" t="n"/>
      <c r="B725" s="24" t="inlineStr">
        <is>
          <t>20525</t>
        </is>
      </c>
      <c r="C725" s="23" t="inlineStr">
        <is>
          <t>ИНОСТРАННЫЙ ДЕТЕКТИВ №1</t>
        </is>
      </c>
      <c r="D725" s="23" t="inlineStr">
        <is>
          <t>Грубер А.</t>
        </is>
      </c>
      <c r="E725" s="23" t="inlineStr">
        <is>
          <t>Смертный приговор</t>
        </is>
      </c>
      <c r="F725" s="23" t="inlineStr">
        <is>
          <t>        </t>
        </is>
      </c>
      <c r="G725" s="27" t="n">
        <v>1074</v>
      </c>
      <c r="H725" s="23" t="n">
        <v>10</v>
      </c>
      <c r="I725" s="23" t="n">
        <v>10</v>
      </c>
      <c r="J725" s="23" t="inlineStr">
        <is>
          <t>978-5-227-10250-8</t>
        </is>
      </c>
      <c r="K725" s="23" t="inlineStr">
        <is>
          <t>60x90 1/16</t>
        </is>
      </c>
      <c r="L725" s="23" t="inlineStr">
        <is>
          <t>тв, супер</t>
        </is>
      </c>
      <c r="M725" s="23" t="n">
        <v>416</v>
      </c>
      <c r="N725" s="23" t="n">
        <v>2023</v>
      </c>
      <c r="O725" s="23" t="n">
        <v>526</v>
      </c>
      <c r="P725" s="23" t="n"/>
      <c r="Q725" s="23" t="n"/>
      <c r="R725" s="25" t="inlineStr">
        <is>
          <t>В лесу на окраине Вены семейная пара, приехавшая в свой пригородный дом, находит обнаженную исхудавшую девочку. Вся ее спина покрыта татуировками с мотивами из «Ада» Данте. Полиции удается выяснить, что это одиннадцатилетняя Клара, пропавшая год назад. Но девочка упорно молчит о прошедших двенадцати месяцах.
Тем временем молодая сотрудница мюнхенской полиции Сабина Немез начинает обучение на курсе для высокоодаренных молодых кадров. Ее преподаватель – опытный голландский профайлер Мартен С. Снейдер. Суть методики его обучения заключается в том, что со студентами он разбирает нераскрытые преступления. Вскоре Сабина вместе со Снейдером погружается в расследования трех жутких дел, которые лишь на первый взгляд не имеют ничего общего. А когда прослеживается связь с похищением той самой девочки в Вене, границы между теорией и практикой окончательно размываются...</t>
        </is>
      </c>
      <c r="S725" s="26">
        <f>HYPERLINK("http://www.cnpol.ru/covers/20525.jpg","фото на сайте")</f>
        <v/>
      </c>
    </row>
    <row r="726" ht="50.1" customHeight="1" s="3">
      <c r="A726" s="23" t="n"/>
      <c r="B726" s="24" t="inlineStr">
        <is>
          <t>19979</t>
        </is>
      </c>
      <c r="C726" s="23" t="inlineStr">
        <is>
          <t>ИНОСТРАННЫЙ ДЕТЕКТИВ №1</t>
        </is>
      </c>
      <c r="D726" s="23" t="inlineStr">
        <is>
          <t>Фитцек С.</t>
        </is>
      </c>
      <c r="E726" s="23" t="inlineStr">
        <is>
          <t>Тот, кто виновен</t>
        </is>
      </c>
      <c r="F726" s="23" t="inlineStr">
        <is>
          <t>        </t>
        </is>
      </c>
      <c r="G726" s="27" t="n">
        <v>1064</v>
      </c>
      <c r="H726" s="23" t="n">
        <v>10</v>
      </c>
      <c r="I726" s="23" t="n">
        <v>14</v>
      </c>
      <c r="J726" s="23" t="inlineStr">
        <is>
          <t>978-5-227-09694-4</t>
        </is>
      </c>
      <c r="K726" s="23" t="inlineStr">
        <is>
          <t>60x90 1/16</t>
        </is>
      </c>
      <c r="L726" s="23" t="inlineStr">
        <is>
          <t>тв, супер</t>
        </is>
      </c>
      <c r="M726" s="23" t="n">
        <v>352</v>
      </c>
      <c r="N726" s="23" t="n">
        <v>2021</v>
      </c>
      <c r="O726" s="23" t="n">
        <v>464</v>
      </c>
      <c r="P726" s="23" t="n"/>
      <c r="Q726" s="23" t="n"/>
      <c r="R726" s="25" t="n"/>
      <c r="S726" s="26">
        <f>HYPERLINK("http://www.cnpol.ru/covers/19979.jpg","фото на сайте")</f>
        <v/>
      </c>
    </row>
    <row r="727" ht="50.1" customHeight="1" s="3">
      <c r="A727" s="23" t="n"/>
      <c r="B727" s="24" t="inlineStr">
        <is>
          <t>18602</t>
        </is>
      </c>
      <c r="C727" s="23" t="inlineStr">
        <is>
          <t>ИНОСТРАННЫЙ ДЕТЕКТИВ №1</t>
        </is>
      </c>
      <c r="D727" s="23" t="inlineStr">
        <is>
          <t>Карлотто М.</t>
        </is>
      </c>
      <c r="E727" s="23" t="inlineStr">
        <is>
          <t>Турист</t>
        </is>
      </c>
      <c r="F727" s="23" t="inlineStr">
        <is>
          <t>        </t>
        </is>
      </c>
      <c r="G727" s="27" t="n">
        <v>1007</v>
      </c>
      <c r="H727" s="23" t="n">
        <v>10</v>
      </c>
      <c r="I727" s="23" t="n">
        <v>16</v>
      </c>
      <c r="J727" s="23" t="inlineStr">
        <is>
          <t>978-5-227-08557-3</t>
        </is>
      </c>
      <c r="K727" s="23" t="inlineStr">
        <is>
          <t>60x90 1/16</t>
        </is>
      </c>
      <c r="L727" s="23" t="inlineStr">
        <is>
          <t>тв, супер</t>
        </is>
      </c>
      <c r="M727" s="23" t="n">
        <v>256</v>
      </c>
      <c r="N727" s="23" t="n">
        <v>2019</v>
      </c>
      <c r="O727" s="23" t="n">
        <v>340</v>
      </c>
      <c r="P727" s="23" t="n"/>
      <c r="Q727" s="23" t="n"/>
      <c r="R727" s="25" t="n"/>
      <c r="S727" s="26">
        <f>HYPERLINK("http://www.cnpol.ru/covers/18602.jpg","фото на сайте")</f>
        <v/>
      </c>
    </row>
    <row r="728" ht="50.1" customHeight="1" s="3">
      <c r="A728" s="23" t="n"/>
      <c r="B728" s="24" t="inlineStr">
        <is>
          <t>17580</t>
        </is>
      </c>
      <c r="C728" s="23" t="inlineStr">
        <is>
          <t>ИНОСТРАННЫЙ ДЕТЕКТИВ №1</t>
        </is>
      </c>
      <c r="D728" s="23" t="inlineStr">
        <is>
          <t>Баркер Д. Д</t>
        </is>
      </c>
      <c r="E728" s="23" t="inlineStr">
        <is>
          <t>Четвертая обезьяна</t>
        </is>
      </c>
      <c r="F728" s="23" t="inlineStr">
        <is>
          <t>        </t>
        </is>
      </c>
      <c r="G728" s="27" t="n">
        <v>1007</v>
      </c>
      <c r="H728" s="23" t="n">
        <v>10</v>
      </c>
      <c r="I728" s="23" t="n">
        <v>10</v>
      </c>
      <c r="J728" s="23" t="inlineStr">
        <is>
          <t>978-5-227-07621-2</t>
        </is>
      </c>
      <c r="K728" s="23" t="inlineStr">
        <is>
          <t>60x90 1/16</t>
        </is>
      </c>
      <c r="L728" s="23" t="inlineStr">
        <is>
          <t>тв, супер</t>
        </is>
      </c>
      <c r="M728" s="23" t="n">
        <v>448</v>
      </c>
      <c r="N728" s="23" t="n">
        <v>2017</v>
      </c>
      <c r="O728" s="23" t="n">
        <v>562</v>
      </c>
      <c r="P728" s="23" t="n"/>
      <c r="Q728" s="23" t="n"/>
      <c r="R728" s="25" t="n"/>
      <c r="S728" s="26">
        <f>HYPERLINK("http://www.cnpol.ru/covers/17580.jpg","фото на сайте")</f>
        <v/>
      </c>
    </row>
    <row r="729" ht="50.1" customHeight="1" s="3">
      <c r="A729" s="23" t="n"/>
      <c r="B729" s="24" t="inlineStr">
        <is>
          <t>17055</t>
        </is>
      </c>
      <c r="C729" s="23" t="inlineStr">
        <is>
          <t>ИНОСТРАННЫЙ ДЕТЕКТИВ №1</t>
        </is>
      </c>
      <c r="D729" s="23" t="inlineStr">
        <is>
          <t>Камминг Ч</t>
        </is>
      </c>
      <c r="E729" s="23" t="inlineStr">
        <is>
          <t>Чужая страна</t>
        </is>
      </c>
      <c r="F729" s="23" t="inlineStr">
        <is>
          <t>        </t>
        </is>
      </c>
      <c r="G729" s="23" t="n">
        <v>937</v>
      </c>
      <c r="H729" s="23" t="n">
        <v>10</v>
      </c>
      <c r="I729" s="23" t="n">
        <v>10</v>
      </c>
      <c r="J729" s="23" t="inlineStr">
        <is>
          <t>978-5-227-07109-5</t>
        </is>
      </c>
      <c r="K729" s="23" t="inlineStr">
        <is>
          <t>60x90 1/16</t>
        </is>
      </c>
      <c r="L729" s="23" t="inlineStr">
        <is>
          <t>тв, супер</t>
        </is>
      </c>
      <c r="M729" s="23" t="n">
        <v>352</v>
      </c>
      <c r="N729" s="23" t="n">
        <v>2016</v>
      </c>
      <c r="O729" s="23" t="n">
        <v>466</v>
      </c>
      <c r="P729" s="23" t="n"/>
      <c r="Q729" s="23" t="n"/>
      <c r="R729" s="25" t="n"/>
      <c r="S729" s="26">
        <f>HYPERLINK("http://www.cnpol.ru/covers/17055.jpg","фото на сайте")</f>
        <v/>
      </c>
    </row>
    <row r="730" ht="50.1" customHeight="1" s="3">
      <c r="A730" s="23" t="n"/>
      <c r="B730" s="24" t="inlineStr">
        <is>
          <t>10025</t>
        </is>
      </c>
      <c r="C730" s="23" t="inlineStr">
        <is>
          <t>ИНТ Б</t>
        </is>
      </c>
      <c r="D730" s="23" t="inlineStr">
        <is>
          <t>Эймс Дж.</t>
        </is>
      </c>
      <c r="E730" s="23" t="inlineStr">
        <is>
          <t>Дополнительный человек</t>
        </is>
      </c>
      <c r="F730" s="23" t="inlineStr">
        <is>
          <t>        </t>
        </is>
      </c>
      <c r="G730" s="23" t="n">
        <v>593</v>
      </c>
      <c r="H730" s="23" t="n">
        <v>10</v>
      </c>
      <c r="I730" s="23" t="n">
        <v>14</v>
      </c>
      <c r="J730" s="23" t="inlineStr">
        <is>
          <t>978-5-9524-3178-2</t>
        </is>
      </c>
      <c r="K730" s="23" t="inlineStr">
        <is>
          <t>84x108 1/32</t>
        </is>
      </c>
      <c r="L730" s="23" t="inlineStr">
        <is>
          <t>тв</t>
        </is>
      </c>
      <c r="M730" s="23" t="n">
        <v>411</v>
      </c>
      <c r="N730" s="23" t="n">
        <v>2008</v>
      </c>
      <c r="O730" s="23" t="n">
        <v>416</v>
      </c>
      <c r="P730" s="23" t="n"/>
      <c r="Q730" s="23" t="n"/>
      <c r="R730" s="25" t="inlineStr">
        <is>
          <t>В романе царит сумасшедший ритм Нью-Йорка - фантастического мегаполиса, который смущает, искушает, возносит на небеса наслаждений и свергает на дно невротического ада. Здесь живут два чудака: молодой англоман Луис, мечтающий стать "совершенным джентльменом", и старый светский лев Генри. Они взирают на мир сквозь призму собственной эксцентричности, сдабривая искрометными каламбурами драматизм существования, и развлекаются каждый на свой лад: Генри - в аристократической тусовке среди богатых подруг-леди, а Луис - среди транссексуалов и завсегдатаев пип-шоу.</t>
        </is>
      </c>
      <c r="S730" s="26">
        <f>HYPERLINK("http://www.cnpol.ru/covers/10025.jpg","фото на сайте")</f>
        <v/>
      </c>
    </row>
    <row r="731" ht="50.1" customHeight="1" s="3">
      <c r="A731" s="23" t="n"/>
      <c r="B731" s="24" t="inlineStr">
        <is>
          <t>10147</t>
        </is>
      </c>
      <c r="C731" s="23" t="inlineStr">
        <is>
          <t>ИНТ Б</t>
        </is>
      </c>
      <c r="D731" s="23" t="inlineStr">
        <is>
          <t>Галеф Д.</t>
        </is>
      </c>
      <c r="E731" s="23" t="inlineStr">
        <is>
          <t>Молчание сонного пригорода</t>
        </is>
      </c>
      <c r="F731" s="23" t="inlineStr">
        <is>
          <t>        </t>
        </is>
      </c>
      <c r="G731" s="23" t="n">
        <v>593</v>
      </c>
      <c r="H731" s="23" t="n">
        <v>10</v>
      </c>
      <c r="I731" s="23" t="n">
        <v>14</v>
      </c>
      <c r="J731" s="23" t="inlineStr">
        <is>
          <t>978-5-9524-3267-3</t>
        </is>
      </c>
      <c r="K731" s="23" t="inlineStr">
        <is>
          <t>84x108 1/32</t>
        </is>
      </c>
      <c r="L731" s="23" t="inlineStr">
        <is>
          <t>тв</t>
        </is>
      </c>
      <c r="M731" s="23" t="n">
        <v>399</v>
      </c>
      <c r="N731" s="23" t="n">
        <v>2008</v>
      </c>
      <c r="O731" s="23" t="n">
        <v>390</v>
      </c>
      <c r="P731" s="23" t="n"/>
      <c r="Q731" s="23" t="n"/>
      <c r="R731" s="25" t="n"/>
      <c r="S731" s="26">
        <f>HYPERLINK("http://www.cnpol.ru/covers/10147.jpg","фото на сайте")</f>
        <v/>
      </c>
    </row>
    <row r="732" ht="50.1" customHeight="1" s="3">
      <c r="A732" s="23" t="n"/>
      <c r="B732" s="24" t="inlineStr">
        <is>
          <t>7660</t>
        </is>
      </c>
      <c r="C732" s="23" t="inlineStr">
        <is>
          <t>ИНТ Б</t>
        </is>
      </c>
      <c r="D732" s="23" t="inlineStr">
        <is>
          <t>Тот Пол А.</t>
        </is>
      </c>
      <c r="E732" s="23" t="inlineStr">
        <is>
          <t>Обратный отсчет</t>
        </is>
      </c>
      <c r="F732" s="23" t="inlineStr">
        <is>
          <t>        </t>
        </is>
      </c>
      <c r="G732" s="23" t="n">
        <v>468</v>
      </c>
      <c r="H732" s="23" t="n">
        <v>10</v>
      </c>
      <c r="I732" s="23" t="n">
        <v>24</v>
      </c>
      <c r="J732" s="23" t="inlineStr">
        <is>
          <t>978-5-9524-2563-1</t>
        </is>
      </c>
      <c r="K732" s="23" t="inlineStr">
        <is>
          <t>84x108 1/32</t>
        </is>
      </c>
      <c r="L732" s="23" t="inlineStr">
        <is>
          <t>тв</t>
        </is>
      </c>
      <c r="M732" s="23" t="n">
        <v>207</v>
      </c>
      <c r="N732" s="23" t="n">
        <v>2008</v>
      </c>
      <c r="O732" s="23" t="n">
        <v>252</v>
      </c>
      <c r="P732" s="23" t="n"/>
      <c r="Q732" s="23" t="n"/>
      <c r="R732" s="25" t="n"/>
      <c r="S732" s="26">
        <f>HYPERLINK("http://www.cnpol.ru/covers/7660.jpg","фото на сайте")</f>
        <v/>
      </c>
    </row>
    <row r="733" ht="50.1" customHeight="1" s="3">
      <c r="A733" s="23" t="n"/>
      <c r="B733" s="24" t="inlineStr">
        <is>
          <t>7927</t>
        </is>
      </c>
      <c r="C733" s="23" t="inlineStr">
        <is>
          <t>ИНТ Б</t>
        </is>
      </c>
      <c r="D733" s="23" t="inlineStr">
        <is>
          <t>Тот Пол А.</t>
        </is>
      </c>
      <c r="E733" s="23" t="inlineStr">
        <is>
          <t>Обратный отсчет</t>
        </is>
      </c>
      <c r="F733" s="23" t="inlineStr">
        <is>
          <t>        </t>
        </is>
      </c>
      <c r="G733" s="23" t="n">
        <v>508</v>
      </c>
      <c r="H733" s="23" t="n">
        <v>10</v>
      </c>
      <c r="I733" s="23" t="n">
        <v>24</v>
      </c>
      <c r="J733" s="23" t="inlineStr">
        <is>
          <t>978-5-9524-2859-1</t>
        </is>
      </c>
      <c r="K733" s="23" t="inlineStr">
        <is>
          <t>84x108 1/32</t>
        </is>
      </c>
      <c r="L733" s="23" t="inlineStr">
        <is>
          <t>тв</t>
        </is>
      </c>
      <c r="M733" s="23" t="n">
        <v>207</v>
      </c>
      <c r="N733" s="23" t="n">
        <v>2008</v>
      </c>
      <c r="O733" s="23" t="n">
        <v>244</v>
      </c>
      <c r="P733" s="23" t="n"/>
      <c r="Q733" s="23" t="n"/>
      <c r="R733" s="25" t="n"/>
      <c r="S733" s="26">
        <f>HYPERLINK("http://www.cnpol.ru/covers/7927.jpg","фото на сайте")</f>
        <v/>
      </c>
    </row>
    <row r="734" ht="50.1" customHeight="1" s="3">
      <c r="A734" s="23" t="n"/>
      <c r="B734" s="24" t="inlineStr">
        <is>
          <t>10220</t>
        </is>
      </c>
      <c r="C734" s="23" t="inlineStr">
        <is>
          <t>ИНТ Б</t>
        </is>
      </c>
      <c r="D734" s="23" t="inlineStr">
        <is>
          <t>Галеф Д.</t>
        </is>
      </c>
      <c r="E734" s="23" t="inlineStr">
        <is>
          <t>Плоть</t>
        </is>
      </c>
      <c r="F734" s="23" t="inlineStr">
        <is>
          <t>        </t>
        </is>
      </c>
      <c r="G734" s="23" t="n">
        <v>593</v>
      </c>
      <c r="H734" s="23" t="n">
        <v>10</v>
      </c>
      <c r="I734" s="23" t="n">
        <v>14</v>
      </c>
      <c r="J734" s="23" t="inlineStr">
        <is>
          <t>978-5-9524-3407-3</t>
        </is>
      </c>
      <c r="K734" s="23" t="inlineStr">
        <is>
          <t>84x108 1/32</t>
        </is>
      </c>
      <c r="L734" s="23" t="inlineStr">
        <is>
          <t>тв</t>
        </is>
      </c>
      <c r="M734" s="23" t="n">
        <v>382</v>
      </c>
      <c r="N734" s="23" t="n">
        <v>2008</v>
      </c>
      <c r="O734" s="23" t="n">
        <v>394</v>
      </c>
      <c r="P734" s="23" t="n"/>
      <c r="Q734" s="23" t="n"/>
      <c r="R734" s="25" t="n"/>
      <c r="S734" s="26">
        <f>HYPERLINK("http://www.cnpol.ru/covers/10220.jpg","фото на сайте")</f>
        <v/>
      </c>
    </row>
    <row r="735" ht="50.1" customHeight="1" s="3">
      <c r="A735" s="23" t="n"/>
      <c r="B735" s="24" t="inlineStr">
        <is>
          <t>8855</t>
        </is>
      </c>
      <c r="C735" s="23" t="inlineStr">
        <is>
          <t>ИНТ Б</t>
        </is>
      </c>
      <c r="D735" s="23" t="inlineStr">
        <is>
          <t>Клив К.</t>
        </is>
      </c>
      <c r="E735" s="23" t="inlineStr">
        <is>
          <t>Поджигатели</t>
        </is>
      </c>
      <c r="F735" s="23" t="inlineStr">
        <is>
          <t>        </t>
        </is>
      </c>
      <c r="G735" s="23" t="n">
        <v>508</v>
      </c>
      <c r="H735" s="23" t="n">
        <v>10</v>
      </c>
      <c r="I735" s="23" t="n">
        <v>20</v>
      </c>
      <c r="J735" s="23" t="inlineStr">
        <is>
          <t>978-5-9524-3105-8</t>
        </is>
      </c>
      <c r="K735" s="23" t="inlineStr">
        <is>
          <t>84x108 1/32</t>
        </is>
      </c>
      <c r="L735" s="23" t="inlineStr">
        <is>
          <t>тв</t>
        </is>
      </c>
      <c r="M735" s="23" t="n">
        <v>255</v>
      </c>
      <c r="N735" s="23" t="n">
        <v>2008</v>
      </c>
      <c r="O735" s="23" t="n">
        <v>282</v>
      </c>
      <c r="P735" s="23" t="n"/>
      <c r="Q735" s="23" t="n"/>
      <c r="R735" s="25" t="n"/>
      <c r="S735" s="26">
        <f>HYPERLINK("http://www.cnpol.ru/covers/8855.jpg","фото на сайте")</f>
        <v/>
      </c>
    </row>
    <row r="736" ht="50.1" customHeight="1" s="3">
      <c r="A736" s="23" t="n"/>
      <c r="B736" s="24" t="inlineStr">
        <is>
          <t>10462</t>
        </is>
      </c>
      <c r="C736" s="23" t="inlineStr">
        <is>
          <t>ИНТ Б</t>
        </is>
      </c>
      <c r="D736" s="23" t="inlineStr">
        <is>
          <t>Харви К. Дж.</t>
        </is>
      </c>
      <c r="E736" s="23" t="inlineStr">
        <is>
          <t>Там, где свобода</t>
        </is>
      </c>
      <c r="F736" s="23" t="inlineStr">
        <is>
          <t>        </t>
        </is>
      </c>
      <c r="G736" s="23" t="n">
        <v>486</v>
      </c>
      <c r="H736" s="23" t="n">
        <v>10</v>
      </c>
      <c r="I736" s="23" t="n">
        <v>24</v>
      </c>
      <c r="J736" s="23" t="inlineStr">
        <is>
          <t>978-5-9524-3633-6</t>
        </is>
      </c>
      <c r="K736" s="23" t="inlineStr">
        <is>
          <t>84x108 1/32</t>
        </is>
      </c>
      <c r="L736" s="23" t="inlineStr">
        <is>
          <t>тв</t>
        </is>
      </c>
      <c r="M736" s="23" t="n">
        <v>190</v>
      </c>
      <c r="N736" s="23" t="n">
        <v>2008</v>
      </c>
      <c r="O736" s="23" t="n">
        <v>220</v>
      </c>
      <c r="P736" s="23" t="n"/>
      <c r="Q736" s="23" t="n"/>
      <c r="R736" s="25" t="n"/>
      <c r="S736" s="26">
        <f>HYPERLINK("http://www.cnpol.ru/covers/10462.jpg","фото на сайте")</f>
        <v/>
      </c>
    </row>
    <row r="737" ht="50.1" customHeight="1" s="3">
      <c r="A737" s="23" t="n"/>
      <c r="B737" s="24" t="inlineStr">
        <is>
          <t>8704</t>
        </is>
      </c>
      <c r="C737" s="23" t="inlineStr">
        <is>
          <t>ИНТ Б</t>
        </is>
      </c>
      <c r="D737" s="23" t="inlineStr">
        <is>
          <t>Буйокас П.</t>
        </is>
      </c>
      <c r="E737" s="23" t="inlineStr">
        <is>
          <t>Человек который хотел выпить море</t>
        </is>
      </c>
      <c r="F737" s="23" t="inlineStr">
        <is>
          <t>        </t>
        </is>
      </c>
      <c r="G737" s="23" t="n">
        <v>508</v>
      </c>
      <c r="H737" s="23" t="n">
        <v>10</v>
      </c>
      <c r="I737" s="23" t="n">
        <v>24</v>
      </c>
      <c r="J737" s="23" t="inlineStr">
        <is>
          <t>978-5-9524-2959-8</t>
        </is>
      </c>
      <c r="K737" s="23" t="inlineStr">
        <is>
          <t>84x108 1/32</t>
        </is>
      </c>
      <c r="L737" s="23" t="inlineStr">
        <is>
          <t>тв</t>
        </is>
      </c>
      <c r="M737" s="23" t="n">
        <v>191</v>
      </c>
      <c r="N737" s="23" t="n">
        <v>2008</v>
      </c>
      <c r="O737" s="23" t="n">
        <v>234</v>
      </c>
      <c r="P737" s="23" t="n"/>
      <c r="Q737" s="23" t="n"/>
      <c r="R737" s="25" t="n"/>
      <c r="S737" s="26">
        <f>HYPERLINK("http://www.cnpol.ru/covers/8704.jpg","фото на сайте")</f>
        <v/>
      </c>
    </row>
    <row r="738" ht="50.1" customHeight="1" s="3">
      <c r="A738" s="23" t="n"/>
      <c r="B738" s="24" t="inlineStr">
        <is>
          <t>10262</t>
        </is>
      </c>
      <c r="C738" s="23" t="inlineStr">
        <is>
          <t>ИНТ Б</t>
        </is>
      </c>
      <c r="D738" s="23" t="inlineStr">
        <is>
          <t>Тот Пол А.</t>
        </is>
      </c>
      <c r="E738" s="23" t="inlineStr">
        <is>
          <t>Ш-ш-а</t>
        </is>
      </c>
      <c r="F738" s="23" t="inlineStr">
        <is>
          <t>        </t>
        </is>
      </c>
      <c r="G738" s="23" t="n">
        <v>508</v>
      </c>
      <c r="H738" s="23" t="n">
        <v>10</v>
      </c>
      <c r="I738" s="23" t="n">
        <v>24</v>
      </c>
      <c r="J738" s="23" t="inlineStr">
        <is>
          <t>978-5-9524-3427-1</t>
        </is>
      </c>
      <c r="K738" s="23" t="inlineStr">
        <is>
          <t>84x108 1/32</t>
        </is>
      </c>
      <c r="L738" s="23" t="inlineStr">
        <is>
          <t>тв</t>
        </is>
      </c>
      <c r="M738" s="23" t="n">
        <v>222</v>
      </c>
      <c r="N738" s="23" t="n">
        <v>2008</v>
      </c>
      <c r="O738" s="23" t="n">
        <v>250</v>
      </c>
      <c r="P738" s="23" t="n"/>
      <c r="Q738" s="23" t="n"/>
      <c r="R738" s="25" t="n"/>
      <c r="S738" s="26">
        <f>HYPERLINK("http://www.cnpol.ru/covers/10262.jpg","фото на сайте")</f>
        <v/>
      </c>
    </row>
    <row r="739" ht="50.1" customHeight="1" s="3">
      <c r="A739" s="23" t="n"/>
      <c r="B739" s="24" t="inlineStr">
        <is>
          <t>18587</t>
        </is>
      </c>
      <c r="C739" s="23" t="inlineStr">
        <is>
          <t>ИНТРИГА</t>
        </is>
      </c>
      <c r="D739" s="23" t="inlineStr">
        <is>
          <t>Майерс С</t>
        </is>
      </c>
      <c r="E739" s="23" t="inlineStr">
        <is>
          <t>Алиби для любимой</t>
        </is>
      </c>
      <c r="F739" s="23" t="n">
        <v>65</v>
      </c>
      <c r="G739" s="23" t="n">
        <v>128</v>
      </c>
      <c r="H739" s="23" t="n">
        <v>10</v>
      </c>
      <c r="I739" s="23" t="n">
        <v>30</v>
      </c>
      <c r="J739" s="23" t="inlineStr">
        <is>
          <t>978-5-227-08527-6</t>
        </is>
      </c>
      <c r="K739" s="23" t="inlineStr">
        <is>
          <t>70x100 1/32</t>
        </is>
      </c>
      <c r="L739" s="23" t="inlineStr">
        <is>
          <t>мяг</t>
        </is>
      </c>
      <c r="M739" s="23" t="n">
        <v>192</v>
      </c>
      <c r="N739" s="23" t="n">
        <v>2019</v>
      </c>
      <c r="O739" s="23" t="n">
        <v>90</v>
      </c>
      <c r="P739" s="23" t="n"/>
      <c r="Q739" s="23" t="n"/>
      <c r="R739" s="25" t="inlineStr">
        <is>
          <t>Морган Уэстфилд приехала в Денвер, надеясь разыскать своего брата, исчезнувшего около года назад при странных обстоятельствах. Неожиданно она обнаруживает, что за ней следит агент ФБР Люк Ренфро, кстати сказать, красивый, статный молодой мужчина. Люк подозревает девушку в связях с людьми, причастными к нескольким преступлениям. И в то же время он очень надеется, что мисс Уэстфилд в этом не замешана. Почему? Да потому, что он влюбился с первого взгляда в эту умную, живую и необычайно привлекательную девушку…</t>
        </is>
      </c>
      <c r="S739" s="26">
        <f>HYPERLINK("http://www.cnpol.ru/covers/18587.jpg","фото на сайте")</f>
        <v/>
      </c>
    </row>
    <row r="740" ht="50.1" customHeight="1" s="3">
      <c r="A740" s="23" t="n"/>
      <c r="B740" s="24" t="inlineStr">
        <is>
          <t>16121</t>
        </is>
      </c>
      <c r="C740" s="23" t="inlineStr">
        <is>
          <t>ИНТРИГА</t>
        </is>
      </c>
      <c r="D740" s="23" t="inlineStr">
        <is>
          <t>Эрскин Б.</t>
        </is>
      </c>
      <c r="E740" s="23" t="inlineStr">
        <is>
          <t>Американские горки</t>
        </is>
      </c>
      <c r="F740" s="23" t="n">
        <v>6</v>
      </c>
      <c r="G740" s="23" t="n">
        <v>128</v>
      </c>
      <c r="H740" s="23" t="n">
        <v>10</v>
      </c>
      <c r="I740" s="23" t="n">
        <v>30</v>
      </c>
      <c r="J740" s="23" t="inlineStr">
        <is>
          <t>978-5-227-06124-9</t>
        </is>
      </c>
      <c r="K740" s="23" t="inlineStr">
        <is>
          <t>70x100 1/32</t>
        </is>
      </c>
      <c r="L740" s="23" t="inlineStr">
        <is>
          <t>мяг</t>
        </is>
      </c>
      <c r="M740" s="23" t="n">
        <v>189</v>
      </c>
      <c r="N740" s="23" t="n">
        <v>2015</v>
      </c>
      <c r="O740" s="23" t="n">
        <v>90</v>
      </c>
      <c r="P740" s="23" t="n"/>
      <c r="Q740" s="23" t="n"/>
      <c r="R740" s="25" t="inlineStr">
        <is>
          <t>После смерти отца молодой богатой наследнице Лондон Брэк начинают поступать угрозы. Но что от нее нужно злоумышленникам? Возможно, кто­то хочет заполучить многомиллиардную компанию, доставшуюся ей по наследству, или причина в чем­то другом? Опасаясь за свою безопасность, Лондон нанимает телохранителя — брутального частного детектива Джадда Броди. Однако череда странных совпадений наводит девушку на мысль, что их встреча не случайна. Лондон предстоит ответить на непростой вопрос, какую роль в этой запутанной истории играет мужчина, успевший стать для нее больше чем просто другом.</t>
        </is>
      </c>
      <c r="S740" s="26">
        <f>HYPERLINK("http://www.cnpol.ru/covers/16121.jpg","фото на сайте")</f>
        <v/>
      </c>
    </row>
    <row r="741" ht="50.1" customHeight="1" s="3">
      <c r="A741" s="23" t="n"/>
      <c r="B741" s="24" t="inlineStr">
        <is>
          <t>16262</t>
        </is>
      </c>
      <c r="C741" s="23" t="inlineStr">
        <is>
          <t>ИНТРИГА</t>
        </is>
      </c>
      <c r="D741" s="23" t="inlineStr">
        <is>
          <t>Лонг Б.</t>
        </is>
      </c>
      <c r="E741" s="23" t="inlineStr">
        <is>
          <t>В западне</t>
        </is>
      </c>
      <c r="F741" s="23" t="n">
        <v>9</v>
      </c>
      <c r="G741" s="23" t="n">
        <v>128</v>
      </c>
      <c r="H741" s="23" t="n">
        <v>10</v>
      </c>
      <c r="I741" s="23" t="n">
        <v>30</v>
      </c>
      <c r="J741" s="23" t="inlineStr">
        <is>
          <t>978-5-227-06174-4</t>
        </is>
      </c>
      <c r="K741" s="23" t="inlineStr">
        <is>
          <t>70x100 1/32</t>
        </is>
      </c>
      <c r="L741" s="23" t="inlineStr">
        <is>
          <t>мяг</t>
        </is>
      </c>
      <c r="M741" s="23" t="n">
        <v>190</v>
      </c>
      <c r="N741" s="23" t="n">
        <v>2015</v>
      </c>
      <c r="O741" s="23" t="n">
        <v>90</v>
      </c>
      <c r="P741" s="23" t="n"/>
      <c r="Q741" s="23" t="n"/>
      <c r="R741" s="25" t="inlineStr">
        <is>
          <t>Небольшой самолет, в котором врач Броуди Донован летел на бразильский курорт, потерпел аварию в джунглях. Уже на земле он обнаружил в салоне бывшую возлюбленную Элли Воллман. Трина­дцать лет назад Броуди собирался сделать ей предложение, но Элли бросила его, не объяснив причины. Теперь им вместе предстоит добраться до ближайшей деревни и вызвать спасателей для выживших пассажиров. Поход через джунгли оказывается более опасным, чем они предполагали, — кое­кто очень не хочет, чтобы Элли осталась в живых. Постепенно выясняются и причины ее давнего ухода. Страсть и нежность с новой силой разгораются в сердце Броуди. На этот раз Элли готова ответить согласием, но смертельная ловушка вот­вот захлопнется, и шансы на спасение тают с каждой минутой…</t>
        </is>
      </c>
      <c r="S741" s="26">
        <f>HYPERLINK("http://www.cnpol.ru/covers/16262.jpg","фото на сайте")</f>
        <v/>
      </c>
    </row>
    <row r="742" ht="50.1" customHeight="1" s="3">
      <c r="A742" s="23" t="n"/>
      <c r="B742" s="24" t="inlineStr">
        <is>
          <t>19575</t>
        </is>
      </c>
      <c r="C742" s="23" t="inlineStr">
        <is>
          <t>ИНТРИГА</t>
        </is>
      </c>
      <c r="D742" s="23" t="inlineStr">
        <is>
          <t>Джеймс Э.</t>
        </is>
      </c>
      <c r="E742" s="23" t="inlineStr">
        <is>
          <t>Веский повод влюбиться</t>
        </is>
      </c>
      <c r="F742" s="23" t="n">
        <v>83</v>
      </c>
      <c r="G742" s="23" t="n">
        <v>128</v>
      </c>
      <c r="H742" s="23" t="n">
        <v>10</v>
      </c>
      <c r="I742" s="23" t="n">
        <v>30</v>
      </c>
      <c r="J742" s="23" t="inlineStr">
        <is>
          <t>978-5-227-09385-1</t>
        </is>
      </c>
      <c r="K742" s="23" t="inlineStr">
        <is>
          <t>70x100 1/32</t>
        </is>
      </c>
      <c r="L742" s="23" t="inlineStr">
        <is>
          <t>мяг</t>
        </is>
      </c>
      <c r="M742" s="23" t="n">
        <v>192</v>
      </c>
      <c r="N742" s="23" t="n">
        <v>2021</v>
      </c>
      <c r="O742" s="23" t="n">
        <v>90</v>
      </c>
      <c r="P742" s="23" t="n"/>
      <c r="Q742" s="23" t="n"/>
      <c r="R742" s="25" t="inlineStr">
        <is>
          <t>Райли Лэнсинг знала — однажды ей придется заняться неприглядным делом, но не думала, что речь пойдет об убийстве. Именно этого от нее потребовали в обмен на жизнь шестилетнего братишки. Но она не смогла убить женщину, которую хорошо знала и безмерно уважала. Теперь Тоби может спасти только чудо, и совершить его помогут новые друзья Райли, прежде всего бравый морской пехотинец, Мак Балкман, такой не бросит женщину в беде, особенно если он влюбился в нее с первого взгляда…</t>
        </is>
      </c>
      <c r="S742" s="26">
        <f>HYPERLINK("http://www.cnpol.ru/covers/19575.jpg","фото на сайте")</f>
        <v/>
      </c>
    </row>
    <row r="743" ht="50.1" customHeight="1" s="3">
      <c r="A743" s="23" t="n"/>
      <c r="B743" s="24" t="inlineStr">
        <is>
          <t>16490</t>
        </is>
      </c>
      <c r="C743" s="23" t="inlineStr">
        <is>
          <t>ИНТРИГА</t>
        </is>
      </c>
      <c r="D743" s="23" t="inlineStr">
        <is>
          <t>Чайлдс Л</t>
        </is>
      </c>
      <c r="E743" s="23" t="inlineStr">
        <is>
          <t>Вечер быстрых свиданий</t>
        </is>
      </c>
      <c r="F743" s="23" t="n">
        <v>18</v>
      </c>
      <c r="G743" s="23" t="n">
        <v>128</v>
      </c>
      <c r="H743" s="23" t="n">
        <v>10</v>
      </c>
      <c r="I743" s="23" t="n">
        <v>30</v>
      </c>
      <c r="J743" s="23" t="inlineStr">
        <is>
          <t>978-5-227-06407-3</t>
        </is>
      </c>
      <c r="K743" s="23" t="inlineStr">
        <is>
          <t>70x100 1/32</t>
        </is>
      </c>
      <c r="L743" s="23" t="inlineStr">
        <is>
          <t>мяг</t>
        </is>
      </c>
      <c r="M743" s="23" t="n">
        <v>192</v>
      </c>
      <c r="N743" s="23" t="n">
        <v>2016</v>
      </c>
      <c r="O743" s="23" t="n">
        <v>90</v>
      </c>
      <c r="P743" s="23" t="n"/>
      <c r="Q743" s="23" t="n"/>
      <c r="R743" s="25" t="inlineStr">
        <is>
          <t>Клэр Моленски отправляется на вечер быстрых свиданий в надежде встретить свою половинку. Ее внимание привлекает мужественный красавец с черными волосами и голубыми глазами. На самом деле Эш Страйкер агент ФБР под прикрытием и пришел вовсе не знакомиться, а расследовать преступление. Более того, Клэр — главная подозреваемая. На счету Эша десяток раскрытых преступлений, ему приходилось внедряться в банду мотоциклистов, лагеря террористов и вооруженные группировки, однако это дело оказывается не менее сложным: предполагаемая преступница необычайно хороша собой, и влечение, которое он испытывает к этой хрупкой обаятельной девушке, мешает опытному профессионалу сосредоточиться на расследовании…</t>
        </is>
      </c>
      <c r="S743" s="26">
        <f>HYPERLINK("http://www.cnpol.ru/covers/16490.jpg","фото на сайте")</f>
        <v/>
      </c>
    </row>
    <row r="744" ht="50.1" customHeight="1" s="3">
      <c r="A744" s="23" t="n"/>
      <c r="B744" s="24" t="inlineStr">
        <is>
          <t>17960</t>
        </is>
      </c>
      <c r="C744" s="23" t="inlineStr">
        <is>
          <t>ИНТРИГА</t>
        </is>
      </c>
      <c r="D744" s="23" t="inlineStr">
        <is>
          <t>Эрскин Б.</t>
        </is>
      </c>
      <c r="E744" s="23" t="inlineStr">
        <is>
          <t>Взрывные чувства</t>
        </is>
      </c>
      <c r="F744" s="23" t="n">
        <v>54</v>
      </c>
      <c r="G744" s="23" t="n">
        <v>128</v>
      </c>
      <c r="H744" s="23" t="n">
        <v>10</v>
      </c>
      <c r="I744" s="23" t="n">
        <v>30</v>
      </c>
      <c r="J744" s="23" t="inlineStr">
        <is>
          <t>978-5-227-08040-0</t>
        </is>
      </c>
      <c r="K744" s="23" t="inlineStr">
        <is>
          <t>70x100 1/32</t>
        </is>
      </c>
      <c r="L744" s="23" t="inlineStr">
        <is>
          <t>мяг</t>
        </is>
      </c>
      <c r="M744" s="23" t="n">
        <v>192</v>
      </c>
      <c r="N744" s="23" t="n">
        <v>2018</v>
      </c>
      <c r="O744" s="23" t="n">
        <v>90</v>
      </c>
      <c r="P744" s="23" t="n"/>
      <c r="Q744" s="23" t="n"/>
      <c r="R744" s="25" t="inlineStr">
        <is>
          <t>Кэти О’Киф, программист и талантливый хакер, узнает о том, что ее друг Себастьян покончил жизнь самоубийством при загадочных обстоятельствах. Кэти устраивается на работу в секретное агентство, где он служил, с целью провести собственное расследование. Подозрения девушки о темных делах агентства подтверждаются, когда она становится свидетельницей убийства одного из сотрудников. Ситуация еще более осложняется тем, что Кэти сталкивается с Лиамом, бывшим бойфрендом. Кто он — еще одна жертва или опасный агент? Кэти понимает, что ее чувства к нему могут навлечь на нее беду, но не может устоять перед обаянием храброго морского пехотинца…</t>
        </is>
      </c>
      <c r="S744" s="26">
        <f>HYPERLINK("http://www.cnpol.ru/covers/17960.jpg","фото на сайте")</f>
        <v/>
      </c>
    </row>
    <row r="745" ht="50.1" customHeight="1" s="3">
      <c r="A745" s="23" t="n"/>
      <c r="B745" s="24" t="inlineStr">
        <is>
          <t>16647</t>
        </is>
      </c>
      <c r="C745" s="23" t="inlineStr">
        <is>
          <t>ИНТРИГА</t>
        </is>
      </c>
      <c r="D745" s="23" t="inlineStr">
        <is>
          <t>Крауч Д.</t>
        </is>
      </c>
      <c r="E745" s="23" t="inlineStr">
        <is>
          <t>Встретимся на пристани</t>
        </is>
      </c>
      <c r="F745" s="23" t="n">
        <v>23</v>
      </c>
      <c r="G745" s="23" t="n">
        <v>128</v>
      </c>
      <c r="H745" s="23" t="n">
        <v>10</v>
      </c>
      <c r="I745" s="23" t="n">
        <v>30</v>
      </c>
      <c r="J745" s="23" t="inlineStr">
        <is>
          <t>978-5-227-06711-1</t>
        </is>
      </c>
      <c r="K745" s="23" t="inlineStr">
        <is>
          <t>70x100 1/32</t>
        </is>
      </c>
      <c r="L745" s="23" t="inlineStr">
        <is>
          <t>мяг</t>
        </is>
      </c>
      <c r="M745" s="23" t="n">
        <v>192</v>
      </c>
      <c r="N745" s="23" t="n">
        <v>2016</v>
      </c>
      <c r="O745" s="23" t="n">
        <v>90</v>
      </c>
      <c r="P745" s="23" t="n"/>
      <c r="Q745" s="23" t="n"/>
      <c r="R745" s="25" t="inlineStr">
        <is>
          <t>Эван Карч и Джульет Брэнсон – тайные агенты сектора «Омега», работающие под видом любящих супругов. Во время последней операции на Джульет было совершено нападение, после которого она утратила веру в свои возможности выполнять секретную миссию. И тут из сектора приходит новое задание. Эван решает не оставлять Джульет ни на минуту, ни днем ни ночью, чтобы она заново привыкла к их роли любящих супругов. К тому же неизвестный преступник по­прежнему преследует ее, и она нуждается в постоянной защите. Задуманный план удался на сто процентов, даже более того, потому что между Эваном и Джульет вспыхивает неподдельная страсть.</t>
        </is>
      </c>
      <c r="S745" s="26">
        <f>HYPERLINK("http://www.cnpol.ru/covers/16647.jpg","фото на сайте")</f>
        <v/>
      </c>
    </row>
    <row r="746" ht="50.1" customHeight="1" s="3">
      <c r="A746" s="23" t="n"/>
      <c r="B746" s="24" t="inlineStr">
        <is>
          <t>18344</t>
        </is>
      </c>
      <c r="C746" s="23" t="inlineStr">
        <is>
          <t>ИНТРИГА</t>
        </is>
      </c>
      <c r="D746" s="23" t="inlineStr">
        <is>
          <t>Майерс С</t>
        </is>
      </c>
      <c r="E746" s="23" t="inlineStr">
        <is>
          <t>Второй шанс на любовь</t>
        </is>
      </c>
      <c r="F746" s="23" t="n">
        <v>60</v>
      </c>
      <c r="G746" s="23" t="n">
        <v>128</v>
      </c>
      <c r="H746" s="23" t="n">
        <v>10</v>
      </c>
      <c r="I746" s="23" t="n">
        <v>30</v>
      </c>
      <c r="J746" s="23" t="inlineStr">
        <is>
          <t>978-5-227-08341-8</t>
        </is>
      </c>
      <c r="K746" s="23" t="inlineStr">
        <is>
          <t>70x100 1/32</t>
        </is>
      </c>
      <c r="L746" s="23" t="inlineStr">
        <is>
          <t>мяг</t>
        </is>
      </c>
      <c r="M746" s="23" t="n">
        <v>192</v>
      </c>
      <c r="N746" s="23" t="n">
        <v>2018</v>
      </c>
      <c r="O746" s="23" t="n">
        <v>92</v>
      </c>
      <c r="P746" s="23" t="n"/>
      <c r="Q746" s="23" t="n"/>
      <c r="R746" s="25" t="inlineStr">
        <is>
          <t>Леа и Трэвис любили друг друга и были счастливы. Вскоре должна была состояться их свадьба. И вдруг Леа ушла без всяких объяснений. Спустя полгода Трэвис — спецагент ФБР — узнает, что его невеста связана с руководителем бандитской группировки. Среди других агентов ФБР он выезжает на задержание, но дело обернулось так, что, арестовав Леа, он спасает ее от гибели. Они оказываются вдвоем в глухом лесу, и на них охотятся бандиты. В смертельной опасности, уходя от погони, Леа и Трэвис пытаются выяснить отношения и понять, что будет с ними дальше, ведь они по­прежнему любят друг друга…</t>
        </is>
      </c>
      <c r="S746" s="26">
        <f>HYPERLINK("http://www.cnpol.ru/covers/18344.jpg","фото на сайте")</f>
        <v/>
      </c>
    </row>
    <row r="747" ht="50.1" customHeight="1" s="3">
      <c r="A747" s="23" t="n"/>
      <c r="B747" s="24" t="inlineStr">
        <is>
          <t>16723</t>
        </is>
      </c>
      <c r="C747" s="23" t="inlineStr">
        <is>
          <t>ИНТРИГА</t>
        </is>
      </c>
      <c r="D747" s="23" t="inlineStr">
        <is>
          <t>Даймон Х</t>
        </is>
      </c>
      <c r="E747" s="23" t="inlineStr">
        <is>
          <t>Двойная жизнь Линдси Пайк</t>
        </is>
      </c>
      <c r="F747" s="23" t="n">
        <v>25</v>
      </c>
      <c r="G747" s="23" t="n">
        <v>128</v>
      </c>
      <c r="H747" s="23" t="n">
        <v>10</v>
      </c>
      <c r="I747" s="23" t="n">
        <v>30</v>
      </c>
      <c r="J747" s="23" t="inlineStr">
        <is>
          <t>978-5-227-06753-1</t>
        </is>
      </c>
      <c r="K747" s="23" t="inlineStr">
        <is>
          <t>70x100 1/32</t>
        </is>
      </c>
      <c r="L747" s="23" t="inlineStr">
        <is>
          <t>мяг</t>
        </is>
      </c>
      <c r="M747" s="23" t="n">
        <v>192</v>
      </c>
      <c r="N747" s="23" t="n">
        <v>2016</v>
      </c>
      <c r="O747" s="23" t="n">
        <v>90</v>
      </c>
      <c r="P747" s="23" t="n"/>
      <c r="Q747" s="23" t="n"/>
      <c r="R747" s="25" t="inlineStr">
        <is>
          <t>Линдси Пайк, на первый взгляд резкая и взбалмошная девица, бежала из тоталитарной секты и теперь помогает освободиться другим таким же, как она. Ныне общину возглавляет ее дядя Саймон Фоллс, но похоже, вопросы веры занимают его меньше всего, а вот племянницей он буквально одержим… Появление Холта Кингстона, командира мобильной группы «Коркоран», работающего под прикрытием, вносит в жизнь Линдси надежду на спасение, безопасность и яркие, ранее неведомые ей эмоции любви.</t>
        </is>
      </c>
      <c r="S747" s="26">
        <f>HYPERLINK("http://www.cnpol.ru/covers/16723.jpg","фото на сайте")</f>
        <v/>
      </c>
    </row>
    <row r="748" ht="50.1" customHeight="1" s="3">
      <c r="A748" s="23" t="n"/>
      <c r="B748" s="24" t="inlineStr">
        <is>
          <t>17303</t>
        </is>
      </c>
      <c r="C748" s="23" t="inlineStr">
        <is>
          <t>ИНТРИГА</t>
        </is>
      </c>
      <c r="D748" s="23" t="inlineStr">
        <is>
          <t>Крауч Д.</t>
        </is>
      </c>
      <c r="E748" s="23" t="inlineStr">
        <is>
          <t>Девушка из стриптиз-клуба</t>
        </is>
      </c>
      <c r="F748" s="23" t="n">
        <v>42</v>
      </c>
      <c r="G748" s="23" t="n">
        <v>128</v>
      </c>
      <c r="H748" s="23" t="n">
        <v>10</v>
      </c>
      <c r="I748" s="23" t="n">
        <v>30</v>
      </c>
      <c r="J748" s="23" t="inlineStr">
        <is>
          <t>978-5-227-07296-2</t>
        </is>
      </c>
      <c r="K748" s="23" t="inlineStr">
        <is>
          <t>70x100 1/32</t>
        </is>
      </c>
      <c r="L748" s="23" t="inlineStr">
        <is>
          <t>мяг</t>
        </is>
      </c>
      <c r="M748" s="23" t="n">
        <v>192</v>
      </c>
      <c r="N748" s="23" t="n">
        <v>2017</v>
      </c>
      <c r="O748" s="23" t="n">
        <v>90</v>
      </c>
      <c r="P748" s="23" t="n"/>
      <c r="Q748" s="23" t="n"/>
      <c r="R748" s="25" t="inlineStr">
        <is>
          <t>Стив Дрэкетт, командир отряда особого назначения сектора «Омега», посылает Андреа Гордон,  психолога­аналитика, и Брэндона Хана, специалиста по межличностной коммуникации, в очень трудную и опасную командировку — напасть на след серийного убийцы, который охотится на молодых женщин в городке Бакай. Хан предпочитает работать в одиночку, но способности Андреа производят на него сильное впечатление, как и она сама — таинственная красавица, которую в «Омеге» прозвали «Снежной королевой». К тому же Бакай — родной город Андреа, который она знает как свои пять пальцев. А это может помочь расследованию. Опасность за­дания, однако, заключается еще и в том, что об Андреа кое­что изве­стно в преступном мире Бакая…</t>
        </is>
      </c>
      <c r="S748" s="26">
        <f>HYPERLINK("http://www.cnpol.ru/covers/17303.jpg","фото на сайте")</f>
        <v/>
      </c>
    </row>
    <row r="749" ht="50.1" customHeight="1" s="3">
      <c r="A749" s="23" t="n"/>
      <c r="B749" s="24" t="inlineStr">
        <is>
          <t>16422</t>
        </is>
      </c>
      <c r="C749" s="23" t="inlineStr">
        <is>
          <t>ИНТРИГА</t>
        </is>
      </c>
      <c r="D749" s="23" t="inlineStr">
        <is>
          <t>Миллер Л.</t>
        </is>
      </c>
      <c r="E749" s="23" t="inlineStr">
        <is>
          <t>Для отвода глаз</t>
        </is>
      </c>
      <c r="F749" s="23" t="n">
        <v>15</v>
      </c>
      <c r="G749" s="23" t="n">
        <v>128</v>
      </c>
      <c r="H749" s="23" t="n">
        <v>10</v>
      </c>
      <c r="I749" s="23" t="n">
        <v>30</v>
      </c>
      <c r="J749" s="23" t="inlineStr">
        <is>
          <t>978-5-227-06363-2</t>
        </is>
      </c>
      <c r="K749" s="23" t="inlineStr">
        <is>
          <t>70x100 1/32</t>
        </is>
      </c>
      <c r="L749" s="23" t="inlineStr">
        <is>
          <t>мяг</t>
        </is>
      </c>
      <c r="M749" s="23" t="n">
        <v>192</v>
      </c>
      <c r="N749" s="23" t="n">
        <v>2016</v>
      </c>
      <c r="O749" s="23" t="n">
        <v>90</v>
      </c>
      <c r="P749" s="23" t="n"/>
      <c r="Q749" s="23" t="n"/>
      <c r="R749" s="25" t="inlineStr">
        <is>
          <t>Репортер Гейбриел Найт убежден, что его невесту, журналистку Даниэллу Риз, убили из­за ее расследования о незаконной деятельности босса местной мафии и сенатора штата. Следствие пришло к выводу, что девушка стала жертвой ограбления, убийцу не нашли. Спустя шесть лет убили человека, который, по мнению Найта, поставлял его невесте информацию. Он уверен, что два убийства связаны между собой. К следствию приступает детектив Оливия Уотсон. Ей очень не хочется сотрудничать с Гейбриелом Найтом, непри­миримым врагом Управления полиции Канзас­Сити. Но он вскоре изменяет свое мнение о полицейских, явно благодаря Оливии, и оба вдруг понимают, что их неудержимо влечет друг к другу…</t>
        </is>
      </c>
      <c r="S749" s="26">
        <f>HYPERLINK("http://www.cnpol.ru/covers/16422.jpg","фото на сайте")</f>
        <v/>
      </c>
    </row>
    <row r="750" ht="50.1" customHeight="1" s="3">
      <c r="A750" s="23" t="n"/>
      <c r="B750" s="24" t="inlineStr">
        <is>
          <t>16362</t>
        </is>
      </c>
      <c r="C750" s="23" t="inlineStr">
        <is>
          <t>ИНТРИГА</t>
        </is>
      </c>
      <c r="D750" s="23" t="inlineStr">
        <is>
          <t>Грейвс Пола</t>
        </is>
      </c>
      <c r="E750" s="23" t="inlineStr">
        <is>
          <t>Долина влюбленных</t>
        </is>
      </c>
      <c r="F750" s="23" t="n">
        <v>14</v>
      </c>
      <c r="G750" s="23" t="n">
        <v>128</v>
      </c>
      <c r="H750" s="23" t="n">
        <v>10</v>
      </c>
      <c r="I750" s="23" t="n">
        <v>30</v>
      </c>
      <c r="J750" s="23" t="inlineStr">
        <is>
          <t>978-5-227-06270-3</t>
        </is>
      </c>
      <c r="K750" s="23" t="inlineStr">
        <is>
          <t>70x100 1/32</t>
        </is>
      </c>
      <c r="L750" s="23" t="inlineStr">
        <is>
          <t>мяг</t>
        </is>
      </c>
      <c r="M750" s="23" t="n">
        <v>192</v>
      </c>
      <c r="N750" s="23" t="n">
        <v>2015</v>
      </c>
      <c r="O750" s="23" t="n">
        <v>90</v>
      </c>
      <c r="P750" s="23" t="n"/>
      <c r="Q750" s="23" t="n"/>
      <c r="R750" s="25" t="inlineStr">
        <is>
          <t>Ансон Дотри, директор IT­отдела в фирме «Гейтс», временно отстранен от работы по подозрению в корпоративном шпионаже. Он начинает собственное расследование, которое выводит его на бухгалтера Джинни Колтрейн, также имеющую доступ к секретной информации. Однажды вечером, когда Ансон ведет наблюдение, на Джинни нападают четверо мужчин. Ансон защищает ее, не догадываясь, что Джинни привыкла во всем полагаться на собственные силы. И все­таки он становится ее добровольным телохранителем, тем более что неизвестные не оставляют своих угроз.</t>
        </is>
      </c>
      <c r="S750" s="26">
        <f>HYPERLINK("http://www.cnpol.ru/covers/16362.jpg","фото на сайте")</f>
        <v/>
      </c>
    </row>
    <row r="751" ht="50.1" customHeight="1" s="3">
      <c r="A751" s="23" t="n"/>
      <c r="B751" s="24" t="inlineStr">
        <is>
          <t>16423</t>
        </is>
      </c>
      <c r="C751" s="23" t="inlineStr">
        <is>
          <t>ИНТРИГА</t>
        </is>
      </c>
      <c r="D751" s="23" t="inlineStr">
        <is>
          <t>Грейвс Пола</t>
        </is>
      </c>
      <c r="E751" s="23" t="inlineStr">
        <is>
          <t>Дорога теней</t>
        </is>
      </c>
      <c r="F751" s="23" t="n">
        <v>16</v>
      </c>
      <c r="G751" s="23" t="n">
        <v>128</v>
      </c>
      <c r="H751" s="23" t="n">
        <v>10</v>
      </c>
      <c r="I751" s="23" t="n">
        <v>30</v>
      </c>
      <c r="J751" s="23" t="inlineStr">
        <is>
          <t>978-5-227-06364-9</t>
        </is>
      </c>
      <c r="K751" s="23" t="inlineStr">
        <is>
          <t>70x100 1/32</t>
        </is>
      </c>
      <c r="L751" s="23" t="inlineStr">
        <is>
          <t>мяг</t>
        </is>
      </c>
      <c r="M751" s="23" t="n">
        <v>192</v>
      </c>
      <c r="N751" s="23" t="n">
        <v>2016</v>
      </c>
      <c r="O751" s="23" t="n">
        <v>90</v>
      </c>
      <c r="P751" s="23" t="n"/>
      <c r="Q751" s="23" t="n"/>
      <c r="R751" s="25" t="inlineStr">
        <is>
          <t>Ника Дарси, агента организации «Врата», ночью будит жуткий скрежет в дверь. На пороге он обнаруживает раненую, истекающую кровью молодую женщину, в которой с удивлением узнает боевую подругу Маккенну Ригсби. Но только ли дружба связывает аристократа Дарси и деревенскую девушку? Взаимно опасаясь быть отвергнутыми, они так и не открылись друг другу в своих чувствах. Теперь Маккенна работает в ФБР и внедрена в бандитскую группировку «­Голубой хребет», терроризирующую горные районы Теннесси. И сейчас уверена, что в нее стрелял человек из ФБР…</t>
        </is>
      </c>
      <c r="S751" s="26">
        <f>HYPERLINK("http://www.cnpol.ru/covers/16423.jpg","фото на сайте")</f>
        <v/>
      </c>
    </row>
    <row r="752" ht="50.1" customHeight="1" s="3">
      <c r="A752" s="23" t="n"/>
      <c r="B752" s="24" t="inlineStr">
        <is>
          <t>18197</t>
        </is>
      </c>
      <c r="C752" s="23" t="inlineStr">
        <is>
          <t>ИНТРИГА</t>
        </is>
      </c>
      <c r="D752" s="23" t="inlineStr">
        <is>
          <t>Эрскин Б.</t>
        </is>
      </c>
      <c r="E752" s="23" t="inlineStr">
        <is>
          <t>Достойный жених для Клэр</t>
        </is>
      </c>
      <c r="F752" s="23" t="n">
        <v>57</v>
      </c>
      <c r="G752" s="23" t="n">
        <v>128</v>
      </c>
      <c r="H752" s="23" t="n">
        <v>10</v>
      </c>
      <c r="I752" s="23" t="n">
        <v>30</v>
      </c>
      <c r="J752" s="23" t="inlineStr">
        <is>
          <t>978-5-227-08211-4</t>
        </is>
      </c>
      <c r="K752" s="23" t="inlineStr">
        <is>
          <t>70x100 1/32</t>
        </is>
      </c>
      <c r="L752" s="23" t="inlineStr">
        <is>
          <t>мяг</t>
        </is>
      </c>
      <c r="M752" s="23" t="n">
        <v>192</v>
      </c>
      <c r="N752" s="23" t="n">
        <v>2018</v>
      </c>
      <c r="O752" s="23" t="n">
        <v>90</v>
      </c>
      <c r="P752" s="23" t="n"/>
      <c r="Q752" s="23" t="n"/>
      <c r="R752" s="25" t="inlineStr">
        <is>
          <t>Богатство и привилегии не спасают от трагедий. Мать Клэр погибла при странных обстоятельствах, муж Шейн убит террористами. Клэр подозревает в причастности к их гибели своего отчима. По просьбе друзей ей на помощь приходит тайный агент Майк Беккер. Молодые люди сразу понравились друг другу, хотя Майк с недоверием отнесся к версии Клэр. Но вскоре он убеждается в том, что ей и ее сынишке угрожает смертельная опасность. Майк — настоящий профессионал, он применяет все силы и средства для того, чтобы защитить попавшую в беду женщину, в которую он к тому же по уши влюбился…</t>
        </is>
      </c>
      <c r="S752" s="26">
        <f>HYPERLINK("http://www.cnpol.ru/covers/18197.jpg","фото на сайте")</f>
        <v/>
      </c>
    </row>
    <row r="753" ht="50.1" customHeight="1" s="3">
      <c r="A753" s="23" t="n"/>
      <c r="B753" s="24" t="inlineStr">
        <is>
          <t>20224</t>
        </is>
      </c>
      <c r="C753" s="23" t="inlineStr">
        <is>
          <t>ИНТРИГА</t>
        </is>
      </c>
      <c r="D753" s="23" t="inlineStr">
        <is>
          <t>Эрскин Б.</t>
        </is>
      </c>
      <c r="E753" s="23" t="inlineStr">
        <is>
          <t>Жаркие тайны пустыни</t>
        </is>
      </c>
      <c r="F753" s="23" t="n">
        <v>88</v>
      </c>
      <c r="G753" s="23" t="n">
        <v>128</v>
      </c>
      <c r="H753" s="23" t="n">
        <v>10</v>
      </c>
      <c r="I753" s="23" t="n">
        <v>20</v>
      </c>
      <c r="J753" s="23" t="inlineStr">
        <is>
          <t>978-5-227-09639-5</t>
        </is>
      </c>
      <c r="K753" s="23" t="inlineStr">
        <is>
          <t>70x100 1/32</t>
        </is>
      </c>
      <c r="L753" s="23" t="inlineStr">
        <is>
          <t>мяг</t>
        </is>
      </c>
      <c r="M753" s="23" t="n">
        <v>191</v>
      </c>
      <c r="N753" s="23" t="n">
        <v>2022</v>
      </c>
      <c r="O753" s="23" t="n">
        <v>90</v>
      </c>
      <c r="P753" s="23" t="n"/>
      <c r="Q753" s="23" t="n"/>
      <c r="R753" s="25" t="inlineStr">
        <is>
          <t>Джолин Найтхок, коренная американка из племени яки, работает в Службе национальных парков. Чтобы остановить строительство казино на земле племени, девушка подбрасывает на стройплощадку человеческий скелет. На обратном пути Джолин останавливает агент пограничного патруля Сэм Кросс — ее бывший. Сэм расследует дело об исчезновении людей и разыскивает захороненные в пустыне останки жертв наркокартеля. Сэм догадывается, что кости подбросила Джолин, но он все еще любит ее, а потому соглашается нарушить правила, чтобы продолжить смертельно опасное расследование вместе…</t>
        </is>
      </c>
      <c r="S753" s="26">
        <f>HYPERLINK("http://www.cnpol.ru/covers/20224.jpg","фото на сайте")</f>
        <v/>
      </c>
    </row>
    <row r="754" ht="50.1" customHeight="1" s="3">
      <c r="A754" s="23" t="n"/>
      <c r="B754" s="24" t="inlineStr">
        <is>
          <t>16000</t>
        </is>
      </c>
      <c r="C754" s="23" t="inlineStr">
        <is>
          <t>ИНТРИГА</t>
        </is>
      </c>
      <c r="D754" s="23" t="inlineStr">
        <is>
          <t>Майклз К.</t>
        </is>
      </c>
      <c r="E754" s="23" t="inlineStr">
        <is>
          <t>Жду, надеюсь, люблю.</t>
        </is>
      </c>
      <c r="F754" s="23" t="n">
        <v>2</v>
      </c>
      <c r="G754" s="23" t="n">
        <v>128</v>
      </c>
      <c r="H754" s="23" t="n">
        <v>10</v>
      </c>
      <c r="I754" s="23" t="n">
        <v>30</v>
      </c>
      <c r="J754" s="23" t="inlineStr">
        <is>
          <t>978-5-227-05962-8</t>
        </is>
      </c>
      <c r="K754" s="23" t="inlineStr">
        <is>
          <t>70x100 1/32</t>
        </is>
      </c>
      <c r="L754" s="23" t="inlineStr">
        <is>
          <t>мяг</t>
        </is>
      </c>
      <c r="M754" s="23" t="n">
        <v>190</v>
      </c>
      <c r="N754" s="23" t="n">
        <v>2015</v>
      </c>
      <c r="O754" s="23" t="n">
        <v>90</v>
      </c>
      <c r="P754" s="23" t="n"/>
      <c r="Q754" s="23" t="n"/>
      <c r="R754" s="25" t="inlineStr">
        <is>
          <t>Полгода минуло с тех пор, как жених Сидни Паркер — капитан Ник Корелли — пропал без вести, выполняя секретное задание в одной из стран Южной Америки. Не теряя надежды, Сидни ждет любимого, терзаясь тревогой. Неожиданно Ник возвращается, но его миссия далека от завершения. Оказавшись в эпицентре опасных приключений вместе с Ником, Сидни понимает, что их отношения на грани разрыва. Неужели виной всему прекрасная и обольстительная Елена — жена диктатора Тикуанны? Чудом избежав смерти от рук наемников, пара находит убежище в коттедже, затерянном в горах Колорадо. Удастся ли Нику вернуть доверие невесты и возродить былую страсть?..</t>
        </is>
      </c>
      <c r="S754" s="26">
        <f>HYPERLINK("http://www.cnpol.ru/covers/16000.jpg","фото на сайте")</f>
        <v/>
      </c>
    </row>
    <row r="755" ht="50.1" customHeight="1" s="3">
      <c r="A755" s="23" t="n"/>
      <c r="B755" s="24" t="inlineStr">
        <is>
          <t>19156</t>
        </is>
      </c>
      <c r="C755" s="23" t="inlineStr">
        <is>
          <t>ИНТРИГА</t>
        </is>
      </c>
      <c r="D755" s="23" t="inlineStr">
        <is>
          <t>Миллер Л.</t>
        </is>
      </c>
      <c r="E755" s="23" t="inlineStr">
        <is>
          <t>Женщина­загадка</t>
        </is>
      </c>
      <c r="F755" s="23" t="n">
        <v>77</v>
      </c>
      <c r="G755" s="23" t="n">
        <v>128</v>
      </c>
      <c r="H755" s="23" t="n">
        <v>10</v>
      </c>
      <c r="I755" s="23" t="n">
        <v>30</v>
      </c>
      <c r="J755" s="23" t="inlineStr">
        <is>
          <t>978-5-227-09041-6</t>
        </is>
      </c>
      <c r="K755" s="23" t="inlineStr">
        <is>
          <t>70x100 1/32</t>
        </is>
      </c>
      <c r="L755" s="23" t="inlineStr">
        <is>
          <t>мяг</t>
        </is>
      </c>
      <c r="M755" s="23" t="n">
        <v>192</v>
      </c>
      <c r="N755" s="23" t="n">
        <v>2020</v>
      </c>
      <c r="O755" s="23" t="n">
        <v>90</v>
      </c>
      <c r="P755" s="23" t="n"/>
      <c r="Q755" s="23" t="n"/>
      <c r="R755" s="25" t="inlineStr">
        <is>
          <t>Жизнь Дейзи Гандерсон складывалась непросто, ей пришлось пережить нападение бывшего парня, смерть отца и презрение матери. И все же она смогла собраться с силами и жить дальше. Морской пехотинец Гарри Локхарт, которого Дейзи знала только по письмам, тоже не мог похвастать безоблачным прошлым. Приехав в родной город для отдыха, он знакомится с Дейзи — своим другом по переписке, и оказывается, что два человека с истерзанной душой способны помочь друг другу, даже в большой беде, и попытаться стать счастливыми...</t>
        </is>
      </c>
      <c r="S755" s="26">
        <f>HYPERLINK("http://www.cnpol.ru/covers/19156.jpg","фото на сайте")</f>
        <v/>
      </c>
    </row>
    <row r="756" ht="50.1" customHeight="1" s="3">
      <c r="A756" s="23" t="n"/>
      <c r="B756" s="24" t="inlineStr">
        <is>
          <t>18752</t>
        </is>
      </c>
      <c r="C756" s="23" t="inlineStr">
        <is>
          <t>ИНТРИГА</t>
        </is>
      </c>
      <c r="D756" s="23" t="inlineStr">
        <is>
          <t>Диас Л</t>
        </is>
      </c>
      <c r="E756" s="23" t="inlineStr">
        <is>
          <t>Жертва ради любви</t>
        </is>
      </c>
      <c r="F756" s="23" t="n">
        <v>68</v>
      </c>
      <c r="G756" s="23" t="n">
        <v>128</v>
      </c>
      <c r="H756" s="23" t="n">
        <v>10</v>
      </c>
      <c r="I756" s="23" t="n">
        <v>30</v>
      </c>
      <c r="J756" s="23" t="inlineStr">
        <is>
          <t>978-5-227-08675-4</t>
        </is>
      </c>
      <c r="K756" s="23" t="inlineStr">
        <is>
          <t>70x100 1/32</t>
        </is>
      </c>
      <c r="L756" s="23" t="inlineStr">
        <is>
          <t>мяг</t>
        </is>
      </c>
      <c r="M756" s="23" t="n">
        <v>192</v>
      </c>
      <c r="N756" s="23" t="n">
        <v>2019</v>
      </c>
      <c r="O756" s="23" t="n">
        <v>90</v>
      </c>
      <c r="P756" s="23" t="n"/>
      <c r="Q756" s="23" t="n"/>
      <c r="R756" s="25" t="inlineStr">
        <is>
          <t>Джули Уэбб прячется в маленьком городке от бывшего мужа, который однажды ночью проник к ней в дом и напал на нее. На новом месте ее соседом оказывается детектив Крис Даунинг. Он обращает внимание на красивую, но нелюдимую соседку, ее поведение настораживает детектива. Услышав однажды вечером странный шум из ее дома, он бросается на помощь и оказывается вовлеченным в кровавую и запутанную семейную драму. Бывший муж второй раз покушается на жизнь Джули. И будто этого мало, кто­то еще охотится на нее. Крис намеревается, во что бы то ни стало, защитить женщину, в которую он влюбился, и выяснить, кто стоит за всеми ее несчастьями…</t>
        </is>
      </c>
      <c r="S756" s="26">
        <f>HYPERLINK("http://www.cnpol.ru/covers/18752.jpg","фото на сайте")</f>
        <v/>
      </c>
    </row>
    <row r="757" ht="50.1" customHeight="1" s="3">
      <c r="A757" s="23" t="inlineStr">
        <is>
          <t>Н</t>
        </is>
      </c>
      <c r="B757" s="24" t="inlineStr">
        <is>
          <t>21204</t>
        </is>
      </c>
      <c r="C757" s="23" t="inlineStr">
        <is>
          <t>ИНТРИГА</t>
        </is>
      </c>
      <c r="D757" s="23" t="inlineStr">
        <is>
          <t>Хэн Б.</t>
        </is>
      </c>
      <c r="E757" s="23" t="inlineStr">
        <is>
          <t>Забытый секрет</t>
        </is>
      </c>
      <c r="F757" s="23" t="n">
        <v>95</v>
      </c>
      <c r="G757" s="23" t="n">
        <v>128</v>
      </c>
      <c r="H757" s="23" t="n">
        <v>10</v>
      </c>
      <c r="I757" s="23" t="n">
        <v>20</v>
      </c>
      <c r="J757" s="23" t="inlineStr">
        <is>
          <t>978-5-227-10631-5</t>
        </is>
      </c>
      <c r="K757" s="23" t="inlineStr">
        <is>
          <t>70x100 1/32</t>
        </is>
      </c>
      <c r="L757" s="23" t="inlineStr">
        <is>
          <t>мяг</t>
        </is>
      </c>
      <c r="M757" s="23" t="n">
        <v>191</v>
      </c>
      <c r="N757" s="23" t="n">
        <v>2024</v>
      </c>
      <c r="O757" s="23" t="n">
        <v>90</v>
      </c>
      <c r="P757" s="23" t="n"/>
      <c r="Q757" s="23" t="n"/>
      <c r="R757" s="25" t="inlineStr">
        <is>
          <t>Алиса, находящаяся на позднем сроке беременности, приходит в себя в грязном трейлере и слышит, как за стеной переговариваются два бандита, и они собираются ее пытать, чтобы узнать что-то важное для них. Ей удается бежать, и бежит она к мужу, Блейку О’Коннору, представителю одной из богатейших семей в Техасе и сотруднику полиции. Но оказывается, Алиса несколько месяцев назад развелась с ним, хотя этого не помнит. Как не может вспомнить, что нужно от нее преступникам. Узнав о похищении бывшей жены, Блейк решает ей помочь, но в его прошлом тоже есть тайна: много лет назад неизвестные похитили его маленькую сестру…</t>
        </is>
      </c>
      <c r="S757" s="26">
        <f>HYPERLINK("http://www.cnpol.ru/covers/21204.jpg","фото на сайте")</f>
        <v/>
      </c>
    </row>
    <row r="758" ht="50.1" customHeight="1" s="3">
      <c r="A758" s="23" t="n"/>
      <c r="B758" s="24" t="inlineStr">
        <is>
          <t>18442</t>
        </is>
      </c>
      <c r="C758" s="23" t="inlineStr">
        <is>
          <t>ИНТРИГА</t>
        </is>
      </c>
      <c r="D758" s="23" t="inlineStr">
        <is>
          <t>Снелл Тайлер Энн</t>
        </is>
      </c>
      <c r="E758" s="23" t="inlineStr">
        <is>
          <t>Загадочное прошлое любимой</t>
        </is>
      </c>
      <c r="F758" s="23" t="n">
        <v>62</v>
      </c>
      <c r="G758" s="23" t="n">
        <v>128</v>
      </c>
      <c r="H758" s="23" t="n">
        <v>10</v>
      </c>
      <c r="I758" s="23" t="n">
        <v>30</v>
      </c>
      <c r="J758" s="23" t="inlineStr">
        <is>
          <t>978-5-227-08403-3</t>
        </is>
      </c>
      <c r="K758" s="23" t="inlineStr">
        <is>
          <t>70x100 1/32</t>
        </is>
      </c>
      <c r="L758" s="23" t="inlineStr">
        <is>
          <t>мяг</t>
        </is>
      </c>
      <c r="M758" s="23" t="n">
        <v>192</v>
      </c>
      <c r="N758" s="23" t="n">
        <v>2018</v>
      </c>
      <c r="O758" s="23" t="n">
        <v>90</v>
      </c>
      <c r="P758" s="23" t="n"/>
      <c r="Q758" s="23" t="n"/>
      <c r="R758" s="25" t="inlineStr">
        <is>
          <t>Никки Уотерс с сомнением приняла Джексона Филдса в свое охранное агентство «Орион секьюрити групп». Всему виной его горячность и некоторые поступки в прошлом. Однако Никки угрожает смертельная опасность, а новый сотрудник, не раздумывая, бросается на ее защиту. Череда трагических событий наконец раскрывает все тайны и сближает двух молодых людей. Оба понимают, что встретили свое счастье и теперь надо его удержать…</t>
        </is>
      </c>
      <c r="S758" s="26">
        <f>HYPERLINK("http://www.cnpol.ru/covers/18442.jpg","фото на сайте")</f>
        <v/>
      </c>
    </row>
    <row r="759" ht="50.1" customHeight="1" s="3">
      <c r="A759" s="23" t="n"/>
      <c r="B759" s="24" t="inlineStr">
        <is>
          <t>16548</t>
        </is>
      </c>
      <c r="C759" s="23" t="inlineStr">
        <is>
          <t>ИНТРИГА</t>
        </is>
      </c>
      <c r="D759" s="23" t="inlineStr">
        <is>
          <t>Джордано Адриенна</t>
        </is>
      </c>
      <c r="E759" s="23" t="inlineStr">
        <is>
          <t>Заказ на большую любовь</t>
        </is>
      </c>
      <c r="F759" s="23" t="n">
        <v>20</v>
      </c>
      <c r="G759" s="23" t="n">
        <v>128</v>
      </c>
      <c r="H759" s="23" t="n">
        <v>10</v>
      </c>
      <c r="I759" s="23" t="n">
        <v>30</v>
      </c>
      <c r="J759" s="23" t="inlineStr">
        <is>
          <t>978-5-227-06502-5</t>
        </is>
      </c>
      <c r="K759" s="23" t="inlineStr">
        <is>
          <t>70x100 1/32</t>
        </is>
      </c>
      <c r="L759" s="23" t="inlineStr">
        <is>
          <t>мяг</t>
        </is>
      </c>
      <c r="M759" s="23" t="n">
        <v>192</v>
      </c>
      <c r="N759" s="23" t="n">
        <v>2016</v>
      </c>
      <c r="O759" s="23" t="n">
        <v>90</v>
      </c>
      <c r="P759" s="23" t="n"/>
      <c r="Q759" s="23" t="n"/>
      <c r="R759" s="25" t="inlineStr">
        <is>
          <t>Когда дизайнер Лекси Вандербильт получила выгодный заказ, она и не подозревала, что из­за убийства, два года назад произошедшего в доме, обстановку которого ей предстояло обновить, ее собственная жизнь окажется в опасности. К счастью, на помощь Лекси готов прийти молодой обаятельный полицейский Броди Хэйуорд. И она испытывает по отношению к нему отнюдь не только благодарность. Однако после измены жениха Лекси избегает новых романтических отношений. Сейчас ей начинает казаться, что она наконец­то встретила мужчину, которому можно доверять, но что для Броди важнее: его чувства к Лекси или интересы расследования?</t>
        </is>
      </c>
      <c r="S759" s="26">
        <f>HYPERLINK("http://www.cnpol.ru/covers/16548.jpg","фото на сайте")</f>
        <v/>
      </c>
    </row>
    <row r="760" ht="50.1" customHeight="1" s="3">
      <c r="A760" s="23" t="n"/>
      <c r="B760" s="24" t="inlineStr">
        <is>
          <t>19850</t>
        </is>
      </c>
      <c r="C760" s="23" t="inlineStr">
        <is>
          <t>ИНТРИГА</t>
        </is>
      </c>
      <c r="D760" s="23" t="inlineStr">
        <is>
          <t>Кэссиди К.</t>
        </is>
      </c>
      <c r="E760" s="23" t="inlineStr">
        <is>
          <t>Заложники любви</t>
        </is>
      </c>
      <c r="F760" s="23" t="n">
        <v>85</v>
      </c>
      <c r="G760" s="23" t="n">
        <v>128</v>
      </c>
      <c r="H760" s="23" t="n">
        <v>10</v>
      </c>
      <c r="I760" s="23" t="n">
        <v>24</v>
      </c>
      <c r="J760" s="23" t="inlineStr">
        <is>
          <t>978-5-227-09511-4</t>
        </is>
      </c>
      <c r="K760" s="23" t="inlineStr">
        <is>
          <t>70x100 1/32</t>
        </is>
      </c>
      <c r="L760" s="23" t="inlineStr">
        <is>
          <t>мяг</t>
        </is>
      </c>
      <c r="M760" s="23" t="n">
        <v>192</v>
      </c>
      <c r="N760" s="23" t="n">
        <v>2021</v>
      </c>
      <c r="O760" s="23" t="n">
        <v>90</v>
      </c>
      <c r="P760" s="23" t="n"/>
      <c r="Q760" s="23" t="n"/>
      <c r="R760" s="25" t="inlineStr">
        <is>
          <t>В частную школу для одаренных детей врываются вооруженные люди, убивают и ранят сотрудников и берут в заложники учительницу Аннелизу Тейлор и нескольких учениц. Аннелиза делает все, чтобы спасти перепуганных девочек, но всем им угрожает смертельная опасность. Остается лишь надеяться, что их спасут сотрудники особого отдела ФБР. Тем более что среди них Аннелиза успела увидеть Эвана Дюрана, одного из лучших агентов ведомства. Когда­то он был любовью всей ее жизни, обстоятельства заставили ее уйти от него, но любовь не ушла…</t>
        </is>
      </c>
      <c r="S760" s="26">
        <f>HYPERLINK("http://www.cnpol.ru/covers/19850.jpg","фото на сайте")</f>
        <v/>
      </c>
    </row>
    <row r="761" ht="50.1" customHeight="1" s="3">
      <c r="A761" s="23" t="n"/>
      <c r="B761" s="24" t="inlineStr">
        <is>
          <t>17339</t>
        </is>
      </c>
      <c r="C761" s="23" t="inlineStr">
        <is>
          <t>ИНТРИГА</t>
        </is>
      </c>
      <c r="D761" s="23" t="inlineStr">
        <is>
          <t>Грейвс Пола</t>
        </is>
      </c>
      <c r="E761" s="23" t="inlineStr">
        <is>
          <t>Западня туманных гор</t>
        </is>
      </c>
      <c r="F761" s="23" t="n">
        <v>43</v>
      </c>
      <c r="G761" s="23" t="n">
        <v>128</v>
      </c>
      <c r="H761" s="23" t="n">
        <v>10</v>
      </c>
      <c r="I761" s="23" t="n">
        <v>36</v>
      </c>
      <c r="J761" s="23" t="inlineStr">
        <is>
          <t>978-5-227-07326-6</t>
        </is>
      </c>
      <c r="K761" s="23" t="inlineStr">
        <is>
          <t>70x100 1/32</t>
        </is>
      </c>
      <c r="L761" s="23" t="inlineStr">
        <is>
          <t>мяг</t>
        </is>
      </c>
      <c r="M761" s="23" t="n">
        <v>192</v>
      </c>
      <c r="N761" s="23" t="n">
        <v>2017</v>
      </c>
      <c r="O761" s="23" t="n">
        <v>90</v>
      </c>
      <c r="P761" s="23" t="n"/>
      <c r="Q761" s="23" t="n"/>
      <c r="R761" s="25" t="inlineStr">
        <is>
          <t>В один день, который Оливия Шарп сочла совсем не прекрасным, во дворе ее дома появляется Кейд Лэндри – ее бывшая любовь и мужчина, с которым они вместе служили в элитном отряде спецназа ФБР. Он пропал много месяцев назад, после того как они расстались. Что сулит ей его появление и где он пропадал все это время? Рассказ Лэндри проливает свет на многие события, но не придает уверенности в том, что он не предатель и ему можно доверять. Чтобы развеять сомнения и помочь Лэндри, Оливия приводит его в агентство «Гейтс», где служит с недавнего времени, под крыло Александра Куинна, которому доверяет, и считает, что в данной ситуации, ­несмотря на скептический настрой Кейда, без его помощи им не обойтись.</t>
        </is>
      </c>
      <c r="S761" s="26">
        <f>HYPERLINK("http://www.cnpol.ru/covers/17339.jpg","фото на сайте")</f>
        <v/>
      </c>
    </row>
    <row r="762" ht="50.1" customHeight="1" s="3">
      <c r="A762" s="23" t="n"/>
      <c r="B762" s="24" t="inlineStr">
        <is>
          <t>16057</t>
        </is>
      </c>
      <c r="C762" s="23" t="inlineStr">
        <is>
          <t>ИНТРИГА</t>
        </is>
      </c>
      <c r="D762" s="23" t="inlineStr">
        <is>
          <t>Джордано Адриенна</t>
        </is>
      </c>
      <c r="E762" s="23" t="inlineStr">
        <is>
          <t>Запретная тема</t>
        </is>
      </c>
      <c r="F762" s="23" t="n">
        <v>3</v>
      </c>
      <c r="G762" s="23" t="n">
        <v>128</v>
      </c>
      <c r="H762" s="23" t="n">
        <v>10</v>
      </c>
      <c r="I762" s="23" t="n">
        <v>32</v>
      </c>
      <c r="J762" s="23" t="inlineStr">
        <is>
          <t>978-5-227-06073-0</t>
        </is>
      </c>
      <c r="K762" s="23" t="inlineStr">
        <is>
          <t>70x100 1/32</t>
        </is>
      </c>
      <c r="L762" s="23" t="inlineStr">
        <is>
          <t>мяг</t>
        </is>
      </c>
      <c r="M762" s="23" t="n">
        <v>189</v>
      </c>
      <c r="N762" s="23" t="n">
        <v>2015</v>
      </c>
      <c r="O762" s="23" t="n">
        <v>90</v>
      </c>
      <c r="P762" s="23" t="n"/>
      <c r="Q762" s="23" t="n"/>
      <c r="R762" s="25" t="inlineStr">
        <is>
          <t>Маршал Брент Томпсон в возрасте пяти лет пережил страшную трагедию: его мать зверски убили, а расследование зашло в тупик. Хотя с момента убийства прошло больше двадцати лет, Брент так и не смог оправиться от потрясения, стал замкнутым и нелюдимым, никого не впуская в свою жизнь. Бывшая модель Дженна Хайвард служит в частной детективной компании. Несколько раз она встречалась с Томпсоном по работе, и всякий раз тот оставался для нее загадкой: мрачный, угрюмый, но при этом в нем было что­то притягательное. Между Брентом и Дженной вспыхивает настоящее чувство. Однако он борется с ним. Она же понимает, что окончательно запуталась. И чем ближе девушка подбирается к разгадке, тем опаснее становится расследование и тем больше осложняются их отношения с Брентом…</t>
        </is>
      </c>
      <c r="S762" s="26">
        <f>HYPERLINK("http://www.cnpol.ru/covers/16057.jpg","фото на сайте")</f>
        <v/>
      </c>
    </row>
    <row r="763" ht="50.1" customHeight="1" s="3">
      <c r="A763" s="23" t="n"/>
      <c r="B763" s="24" t="inlineStr">
        <is>
          <t>17188</t>
        </is>
      </c>
      <c r="C763" s="23" t="inlineStr">
        <is>
          <t>ИНТРИГА</t>
        </is>
      </c>
      <c r="D763" s="23" t="inlineStr">
        <is>
          <t>Кэссиди К.</t>
        </is>
      </c>
      <c r="E763" s="23" t="inlineStr">
        <is>
          <t>Запутанная история</t>
        </is>
      </c>
      <c r="F763" s="23" t="n">
        <v>40</v>
      </c>
      <c r="G763" s="23" t="n">
        <v>128</v>
      </c>
      <c r="H763" s="23" t="n">
        <v>10</v>
      </c>
      <c r="I763" s="23" t="n">
        <v>36</v>
      </c>
      <c r="J763" s="23" t="inlineStr">
        <is>
          <t>978-5-227-07227-6</t>
        </is>
      </c>
      <c r="K763" s="23" t="inlineStr">
        <is>
          <t>70x100 1/32</t>
        </is>
      </c>
      <c r="L763" s="23" t="inlineStr">
        <is>
          <t>мяг</t>
        </is>
      </c>
      <c r="M763" s="23" t="n">
        <v>192</v>
      </c>
      <c r="N763" s="23" t="n">
        <v>2016</v>
      </c>
      <c r="O763" s="23" t="n">
        <v>90</v>
      </c>
      <c r="P763" s="23" t="n"/>
      <c r="Q763" s="23" t="n"/>
      <c r="R763" s="25" t="n"/>
      <c r="S763" s="26">
        <f>HYPERLINK("http://www.cnpol.ru/covers/17188.jpg","фото на сайте")</f>
        <v/>
      </c>
    </row>
    <row r="764" ht="50.1" customHeight="1" s="3">
      <c r="A764" s="23" t="n"/>
      <c r="B764" s="24" t="inlineStr">
        <is>
          <t>19076</t>
        </is>
      </c>
      <c r="C764" s="23" t="inlineStr">
        <is>
          <t>ИНТРИГА</t>
        </is>
      </c>
      <c r="D764" s="23" t="inlineStr">
        <is>
          <t>Диас Л</t>
        </is>
      </c>
      <c r="E764" s="23" t="inlineStr">
        <is>
          <t>Знаки судьбы</t>
        </is>
      </c>
      <c r="F764" s="23" t="n">
        <v>75</v>
      </c>
      <c r="G764" s="23" t="n">
        <v>128</v>
      </c>
      <c r="H764" s="23" t="n">
        <v>10</v>
      </c>
      <c r="I764" s="23" t="n">
        <v>30</v>
      </c>
      <c r="J764" s="23" t="inlineStr">
        <is>
          <t>978-5-227-08951-9</t>
        </is>
      </c>
      <c r="K764" s="23" t="inlineStr">
        <is>
          <t>70x100 1/32</t>
        </is>
      </c>
      <c r="L764" s="23" t="inlineStr">
        <is>
          <t>мяг</t>
        </is>
      </c>
      <c r="M764" s="23" t="n">
        <v>192</v>
      </c>
      <c r="N764" s="23" t="n">
        <v>2020</v>
      </c>
      <c r="O764" s="23" t="n">
        <v>90</v>
      </c>
      <c r="P764" s="23" t="n"/>
      <c r="Q764" s="23" t="n"/>
      <c r="R764" s="25" t="inlineStr">
        <is>
          <t>Десять лет назад Бексли Кейн обвинили в убийстве Бобби Колдуэлла,  который преследовал и домогался ее. В отсутствие улик Бекс вынуждены были отпустить. Девушка уезжает из родного города и от своего жениха, Макса Ремингтона. Десять лет спустя она возвращается и встречает Макса, ставшего полицейским. Все эти годы они любили друг друга, не признаваясь в этом даже себе. При встрече оба изображают равнодушие, но тайный враг Бекс угрожает ей расправой, и Макс не может остаться в стороне. Он собирается выяснить, кто же десять лет назад на самом деле совершил убийство, почему его бросила невеста и любит ли она его до сих пор?</t>
        </is>
      </c>
      <c r="S764" s="26">
        <f>HYPERLINK("http://www.cnpol.ru/covers/19076.jpg","фото на сайте")</f>
        <v/>
      </c>
    </row>
    <row r="765" ht="50.1" customHeight="1" s="3">
      <c r="A765" s="23" t="n"/>
      <c r="B765" s="24" t="inlineStr">
        <is>
          <t>20867</t>
        </is>
      </c>
      <c r="C765" s="23" t="inlineStr">
        <is>
          <t>ИНТРИГА</t>
        </is>
      </c>
      <c r="D765" s="23" t="inlineStr">
        <is>
          <t>Херрон Р.</t>
        </is>
      </c>
      <c r="E765" s="23" t="inlineStr">
        <is>
          <t>Игра с огнем</t>
        </is>
      </c>
      <c r="F765" s="23" t="n">
        <v>93</v>
      </c>
      <c r="G765" s="23" t="n">
        <v>128</v>
      </c>
      <c r="H765" s="23" t="n">
        <v>10</v>
      </c>
      <c r="I765" s="23" t="n">
        <v>24</v>
      </c>
      <c r="J765" s="23" t="inlineStr">
        <is>
          <t>978-5-227-10203-4</t>
        </is>
      </c>
      <c r="K765" s="23" t="inlineStr">
        <is>
          <t>70x100 1/32</t>
        </is>
      </c>
      <c r="L765" s="23" t="inlineStr">
        <is>
          <t>мяг</t>
        </is>
      </c>
      <c r="M765" s="23" t="n">
        <v>191</v>
      </c>
      <c r="N765" s="23" t="n">
        <v>2023</v>
      </c>
      <c r="O765" s="23" t="n">
        <v>76</v>
      </c>
      <c r="P765" s="23" t="n"/>
      <c r="Q765" s="23" t="n"/>
      <c r="R765" s="25" t="inlineStr">
        <is>
          <t>Прошло пять лет с тех пор, как отец агента ФБР Лиама Маверика погиб при пожаре, а он так и не нашел виновного. Возможно, правду знает медсестра Пэйтон Уэйс, но кто-то очень не хочет, чтобы она заговорила. Жизнь Пэйтон под угрозой. Сможет ли Лиам защитить ее и раскрыть дело? И сможет ли он устоять перед чувствами, которые Пэйтон неожиданно пробуждает в его сердце?</t>
        </is>
      </c>
      <c r="S765" s="26">
        <f>HYPERLINK("http://www.cnpol.ru/covers/20867.jpg","фото на сайте")</f>
        <v/>
      </c>
    </row>
    <row r="766" ht="50.1" customHeight="1" s="3">
      <c r="A766" s="23" t="n"/>
      <c r="B766" s="24" t="inlineStr">
        <is>
          <t>17043</t>
        </is>
      </c>
      <c r="C766" s="23" t="inlineStr">
        <is>
          <t>ИНТРИГА</t>
        </is>
      </c>
      <c r="D766" s="23" t="inlineStr">
        <is>
          <t>Кенни Р.</t>
        </is>
      </c>
      <c r="E766" s="23" t="inlineStr">
        <is>
          <t>Как важно доверять попутчику</t>
        </is>
      </c>
      <c r="F766" s="23" t="n">
        <v>35</v>
      </c>
      <c r="G766" s="23" t="n">
        <v>128</v>
      </c>
      <c r="H766" s="23" t="n">
        <v>10</v>
      </c>
      <c r="I766" s="23" t="n">
        <v>30</v>
      </c>
      <c r="J766" s="23" t="inlineStr">
        <is>
          <t>978-5-227-07105-7</t>
        </is>
      </c>
      <c r="K766" s="23" t="inlineStr">
        <is>
          <t>70x100 1/32</t>
        </is>
      </c>
      <c r="L766" s="23" t="inlineStr">
        <is>
          <t>мяг</t>
        </is>
      </c>
      <c r="M766" s="23" t="n">
        <v>192</v>
      </c>
      <c r="N766" s="23" t="n">
        <v>2016</v>
      </c>
      <c r="O766" s="23" t="n">
        <v>90</v>
      </c>
      <c r="P766" s="23" t="n"/>
      <c r="Q766" s="23" t="n"/>
      <c r="R766" s="25" t="inlineStr">
        <is>
          <t>Эрин Келли Аргон считают свидетельницей убийства, к которому причастен главарь преступной банды байкеров. Она вынуждена исчезнуть из родного города в Калифорнии и бежать на край света в Малайзию. Однако бандитам удается напасть на ее след, и смертельно опасное преследование только усиливается. Все могло бы окончиться очень плохо, если бы не Джош Седович, спецагент ЦРУ, получивший задание доставить Эрин в Штаты. От предельной настороженности эти двое приходят к полному взаимному доверию, что помогает успешно завершить операцию. А совместные переживания и страсть в экстремальных условиях перерастают в глубокое чувство.</t>
        </is>
      </c>
      <c r="S766" s="26">
        <f>HYPERLINK("http://www.cnpol.ru/covers/17043.jpg","фото на сайте")</f>
        <v/>
      </c>
    </row>
    <row r="767" ht="50.1" customHeight="1" s="3">
      <c r="A767" s="23" t="n"/>
      <c r="B767" s="24" t="inlineStr">
        <is>
          <t>18553</t>
        </is>
      </c>
      <c r="C767" s="23" t="inlineStr">
        <is>
          <t>ИНТРИГА</t>
        </is>
      </c>
      <c r="D767" s="23" t="inlineStr">
        <is>
          <t>Крауч Д.</t>
        </is>
      </c>
      <c r="E767" s="23" t="inlineStr">
        <is>
          <t>Короткий роман с продолжением</t>
        </is>
      </c>
      <c r="F767" s="23" t="n">
        <v>64</v>
      </c>
      <c r="G767" s="23" t="n">
        <v>128</v>
      </c>
      <c r="H767" s="23" t="n">
        <v>10</v>
      </c>
      <c r="I767" s="23" t="n">
        <v>30</v>
      </c>
      <c r="J767" s="23" t="inlineStr">
        <is>
          <t>978-5-227-08457-6</t>
        </is>
      </c>
      <c r="K767" s="23" t="inlineStr">
        <is>
          <t>70x100 1/32</t>
        </is>
      </c>
      <c r="L767" s="23" t="inlineStr">
        <is>
          <t>мяг</t>
        </is>
      </c>
      <c r="M767" s="23" t="n">
        <v>192</v>
      </c>
      <c r="N767" s="23" t="n">
        <v>2019</v>
      </c>
      <c r="O767" s="23" t="n">
        <v>90</v>
      </c>
      <c r="P767" s="23" t="n"/>
      <c r="Q767" s="23" t="n"/>
      <c r="R767" s="25" t="inlineStr">
        <is>
          <t>Розалин Меллингер не знала, кто и почему ее преследует. Она пыталась скрыться, меняла города, отели, путала следы, но все безуспешно, Наблюдатель неизменно находил ее. Он не угрожал, лишь сообщал о каждом ее шаге, но те, кто пытались помочь девушке, погибали.  Потратив все свои сбережения, измотанная бегством, Розалин решила совершить самоубийство, когда судьба послала ей спасение в лице Стива Дрэккета. Девушка сразу влюбилась в него. Им было хорошо вместе. Но, не зная, что Стив сотрудник сектора «Омега», Розалин боялась, что Наблюдатель убьет его. Она снова обратилась в бегство. Спустя полгода влюбленные все же встретились, и при весьма странных обстоятельствах…</t>
        </is>
      </c>
      <c r="S767" s="26">
        <f>HYPERLINK("http://www.cnpol.ru/covers/18553.jpg","фото на сайте")</f>
        <v/>
      </c>
    </row>
    <row r="768" ht="50.1" customHeight="1" s="3">
      <c r="A768" s="23" t="n"/>
      <c r="B768" s="24" t="inlineStr">
        <is>
          <t>18240</t>
        </is>
      </c>
      <c r="C768" s="23" t="inlineStr">
        <is>
          <t>ИНТРИГА</t>
        </is>
      </c>
      <c r="D768" s="23" t="inlineStr">
        <is>
          <t>Крауч Д.</t>
        </is>
      </c>
      <c r="E768" s="23" t="inlineStr">
        <is>
          <t>Ловушка для настоящего мужчины</t>
        </is>
      </c>
      <c r="F768" s="23" t="n">
        <v>58</v>
      </c>
      <c r="G768" s="23" t="n">
        <v>128</v>
      </c>
      <c r="H768" s="23" t="n">
        <v>10</v>
      </c>
      <c r="I768" s="23" t="n">
        <v>30</v>
      </c>
      <c r="J768" s="23" t="inlineStr">
        <is>
          <t>978-5-227-08232-9</t>
        </is>
      </c>
      <c r="K768" s="23" t="inlineStr">
        <is>
          <t>70x100 1/32</t>
        </is>
      </c>
      <c r="L768" s="23" t="inlineStr">
        <is>
          <t>мяг</t>
        </is>
      </c>
      <c r="M768" s="23" t="n">
        <v>192</v>
      </c>
      <c r="N768" s="23" t="n">
        <v>2018</v>
      </c>
      <c r="O768" s="23" t="n">
        <v>92</v>
      </c>
      <c r="P768" s="23" t="n"/>
      <c r="Q768" s="23" t="n"/>
      <c r="R768" s="25" t="inlineStr">
        <is>
          <t>Однажды вечером во время прогулки Ванесса Эпперсон находит на пляже девушку­иностранку. Начало октября не располагает к купанию, а девушка вся мокрая, единственная одежда – футболка – порвана. Будучи социальным работником, Ванесса не может пройти мимо. Она везет несчастную в больницу, а по дороге расспрашивает, что с ней произошло. Так она узнает о торговле людьми на Внешних отмелях побережья Северной Каролины. Не имея оснований сомневаться в услышанном, Ванесса просит помощи у Лайема Гетца, сотрудника Управления по борьбе с наркотиками, который был ее первой любовью…</t>
        </is>
      </c>
      <c r="S768" s="26">
        <f>HYPERLINK("http://www.cnpol.ru/covers/18240.jpg","фото на сайте")</f>
        <v/>
      </c>
    </row>
    <row r="769" ht="50.1" customHeight="1" s="3">
      <c r="A769" s="23" t="n"/>
      <c r="B769" s="24" t="inlineStr">
        <is>
          <t>17846</t>
        </is>
      </c>
      <c r="C769" s="23" t="inlineStr">
        <is>
          <t>ИНТРИГА</t>
        </is>
      </c>
      <c r="D769" s="23" t="inlineStr">
        <is>
          <t>Иден С.</t>
        </is>
      </c>
      <c r="E769" s="23" t="inlineStr">
        <is>
          <t>Ложь</t>
        </is>
      </c>
      <c r="F769" s="23" t="n">
        <v>52</v>
      </c>
      <c r="G769" s="23" t="n">
        <v>128</v>
      </c>
      <c r="H769" s="23" t="n">
        <v>10</v>
      </c>
      <c r="I769" s="23" t="n">
        <v>30</v>
      </c>
      <c r="J769" s="23" t="inlineStr">
        <is>
          <t>978-5-227-07797-4</t>
        </is>
      </c>
      <c r="K769" s="23" t="inlineStr">
        <is>
          <t>70x100 1/32</t>
        </is>
      </c>
      <c r="L769" s="23" t="inlineStr">
        <is>
          <t>мяг</t>
        </is>
      </c>
      <c r="M769" s="23" t="n">
        <v>192</v>
      </c>
      <c r="N769" s="23" t="n">
        <v>2017</v>
      </c>
      <c r="O769" s="23" t="n">
        <v>90</v>
      </c>
      <c r="P769" s="23" t="n"/>
      <c r="Q769" s="23" t="n"/>
      <c r="R769" s="25" t="inlineStr">
        <is>
          <t>Элизабет Сноу работает библиотекарем и тщательно скрывает от окружающих свое прошлое. В ранней юности ей нравился риск, но после того, как погиб ее возлюбленный, она предпочитает быть рассудительной и старается избегать любых неприятностей. Но призраки прошлого вернулись: хриплый голос по телефону угрожает Элизабет убийством, и теперь ее жизнь всецело зависит от Мака Макгуайра. Только он может обеспечить ей защиту. К сожалению, Мак, опасный и необузданный, принадлежит как раз к тому типу мужчин, от которых Элизабет намерена держаться подальше.</t>
        </is>
      </c>
      <c r="S769" s="26">
        <f>HYPERLINK("http://www.cnpol.ru/covers/17846.jpg","фото на сайте")</f>
        <v/>
      </c>
    </row>
    <row r="770" ht="50.1" customHeight="1" s="3">
      <c r="A770" s="23" t="n"/>
      <c r="B770" s="24" t="inlineStr">
        <is>
          <t>16287</t>
        </is>
      </c>
      <c r="C770" s="23" t="inlineStr">
        <is>
          <t>ИНТРИГА</t>
        </is>
      </c>
      <c r="D770" s="23" t="inlineStr">
        <is>
          <t>Лонг Б.</t>
        </is>
      </c>
      <c r="E770" s="23" t="inlineStr">
        <is>
          <t>Лучшая ошибка в его жизни</t>
        </is>
      </c>
      <c r="F770" s="23" t="n">
        <v>12</v>
      </c>
      <c r="G770" s="23" t="n">
        <v>128</v>
      </c>
      <c r="H770" s="23" t="n">
        <v>10</v>
      </c>
      <c r="I770" s="23" t="n">
        <v>30</v>
      </c>
      <c r="J770" s="23" t="inlineStr">
        <is>
          <t>978-5-227-06204-8</t>
        </is>
      </c>
      <c r="K770" s="23" t="inlineStr">
        <is>
          <t>70x100 1/32</t>
        </is>
      </c>
      <c r="L770" s="23" t="inlineStr">
        <is>
          <t>мяг</t>
        </is>
      </c>
      <c r="M770" s="23" t="n">
        <v>192</v>
      </c>
      <c r="N770" s="23" t="n">
        <v>2015</v>
      </c>
      <c r="O770" s="23" t="n">
        <v>90</v>
      </c>
      <c r="P770" s="23" t="n"/>
      <c r="Q770" s="23" t="n"/>
      <c r="R770" s="25" t="inlineStr">
        <is>
          <t>Полночный звонок телефона разбудил и испугал Сару Фонтейн. Она ждала звонка своего мужа из Лондона, но вместо этого услышала в трубке совершенно незнакомый голос. Ник О’Хара из департамента иностранных дел США принес ей страшную новость — ее молодой муж Джеффри Фонтейн погиб при пожаре в одном из отелей Берлина... Но Сара убеждена, что ее муж жив! И они вместе с Ником перевернут всю Европу, разыскивая его! Пытаясь остановить опасного убийцу, они попадают в сеть таинственного международного шпионажа, рискуя всем, чтобы получить ответы на свои вопросы...</t>
        </is>
      </c>
      <c r="S770" s="26">
        <f>HYPERLINK("http://www.cnpol.ru/covers/16287.jpg","фото на сайте")</f>
        <v/>
      </c>
    </row>
    <row r="771" ht="50.1" customHeight="1" s="3">
      <c r="A771" s="23" t="n"/>
      <c r="B771" s="24" t="inlineStr">
        <is>
          <t>16958</t>
        </is>
      </c>
      <c r="C771" s="23" t="inlineStr">
        <is>
          <t>ИНТРИГА</t>
        </is>
      </c>
      <c r="D771" s="23" t="inlineStr">
        <is>
          <t>Диас Л</t>
        </is>
      </c>
      <c r="E771" s="23" t="inlineStr">
        <is>
          <t>Лучший жених во Флориде</t>
        </is>
      </c>
      <c r="F771" s="23" t="n">
        <v>34</v>
      </c>
      <c r="G771" s="23" t="n">
        <v>128</v>
      </c>
      <c r="H771" s="23" t="n">
        <v>10</v>
      </c>
      <c r="I771" s="23" t="n">
        <v>30</v>
      </c>
      <c r="J771" s="23" t="inlineStr">
        <is>
          <t>978-5-227-07056-2</t>
        </is>
      </c>
      <c r="K771" s="23" t="inlineStr">
        <is>
          <t>70x100 1/32</t>
        </is>
      </c>
      <c r="L771" s="23" t="inlineStr">
        <is>
          <t>мяг</t>
        </is>
      </c>
      <c r="M771" s="23" t="n">
        <v>192</v>
      </c>
      <c r="N771" s="23" t="n">
        <v>2016</v>
      </c>
      <c r="O771" s="23" t="n">
        <v>90</v>
      </c>
      <c r="P771" s="23" t="n"/>
      <c r="Q771" s="23" t="n"/>
      <c r="R771" s="25" t="inlineStr">
        <is>
          <t>Эмбер Каллахан вынуждена скрываться на болотах в национальном парке Флориды, поскольку ее несправедливо обвиняют в убийстве. Однако она готова пожертвовать собой, чтобы спасти незнакомца, пострадавшего в авиакатастрофе. А вот крушение «сесны» Декса Лассистера, бывшего пилота морской авиации, ныне финансиста и миллиардера, явно подстроено. Провидение свело их в критический для судеб обоих момент. Сильное физическое притяжение, возникшее почти сразу же между красавчиком Дексом и Эмбер, могло завершиться легкой интрижкой, если бы не катастрофическое наводнение и вереница опасных происшествий в усадьбе Каллаханов, которые позволили влюбленным проверить свои чувства и убедиться, что они созданы друг для друга.</t>
        </is>
      </c>
      <c r="S771" s="26">
        <f>HYPERLINK("http://www.cnpol.ru/covers/16958.jpg","фото на сайте")</f>
        <v/>
      </c>
    </row>
    <row r="772" ht="50.1" customHeight="1" s="3">
      <c r="A772" s="23" t="n"/>
      <c r="B772" s="24" t="inlineStr">
        <is>
          <t>17567</t>
        </is>
      </c>
      <c r="C772" s="23" t="inlineStr">
        <is>
          <t>ИНТРИГА</t>
        </is>
      </c>
      <c r="D772" s="23" t="inlineStr">
        <is>
          <t>Миллер Л.</t>
        </is>
      </c>
      <c r="E772" s="23" t="inlineStr">
        <is>
          <t>Любовный талисман</t>
        </is>
      </c>
      <c r="F772" s="23" t="n">
        <v>47</v>
      </c>
      <c r="G772" s="23" t="n">
        <v>128</v>
      </c>
      <c r="H772" s="23" t="n">
        <v>10</v>
      </c>
      <c r="I772" s="23" t="n">
        <v>30</v>
      </c>
      <c r="J772" s="23" t="inlineStr">
        <is>
          <t>978-5-227-07625-0</t>
        </is>
      </c>
      <c r="K772" s="23" t="inlineStr">
        <is>
          <t>70x100 1/32</t>
        </is>
      </c>
      <c r="L772" s="23" t="inlineStr">
        <is>
          <t>мяг</t>
        </is>
      </c>
      <c r="M772" s="23" t="n">
        <v>192</v>
      </c>
      <c r="N772" s="23" t="n">
        <v>2017</v>
      </c>
      <c r="O772" s="23" t="n">
        <v>90</v>
      </c>
      <c r="P772" s="23" t="n"/>
      <c r="Q772" s="23" t="n"/>
      <c r="R772" s="25" t="inlineStr">
        <is>
          <t>Ниалл Ватсон, медицинский эксперт полиции Канзас-Сити, всей душой предан своей большой дружной семье. В силу природной застенчивости он не стремится ухаживать за женщинами и вполне доволен размеренной и спокойной холостяцкой жизнью. Однажды в квартире его соседки Люси, молодой скромницы, с которой он едва знаком, появляется подкидыш, грудной младенец. Долг мужчины и полицейского повелевает ему принять участие в спасении малыша. Целая череда неожиданных событий, след из давнего прошлого Люси, криминальный мотив, заставивший всполошиться весь клан Ватсонов, подведут пару к крутому повороту судьбы. Сколько тревог и восторгов доведется им пережить!</t>
        </is>
      </c>
      <c r="S772" s="26">
        <f>HYPERLINK("http://www.cnpol.ru/covers/17567.jpg","фото на сайте")</f>
        <v/>
      </c>
    </row>
    <row r="773" ht="50.1" customHeight="1" s="3">
      <c r="A773" s="23" t="n"/>
      <c r="B773" s="24" t="inlineStr">
        <is>
          <t>19561</t>
        </is>
      </c>
      <c r="C773" s="23" t="inlineStr">
        <is>
          <t>ИНТРИГА</t>
        </is>
      </c>
      <c r="D773" s="23" t="inlineStr">
        <is>
          <t>Эрскин Б.</t>
        </is>
      </c>
      <c r="E773" s="23" t="inlineStr">
        <is>
          <t>Любовь под подозрением</t>
        </is>
      </c>
      <c r="F773" s="23" t="n">
        <v>82</v>
      </c>
      <c r="G773" s="23" t="n">
        <v>128</v>
      </c>
      <c r="H773" s="23" t="n">
        <v>10</v>
      </c>
      <c r="I773" s="23" t="n">
        <v>28</v>
      </c>
      <c r="J773" s="23" t="inlineStr">
        <is>
          <t>978-5-227-09238-0</t>
        </is>
      </c>
      <c r="K773" s="23" t="inlineStr">
        <is>
          <t>70x100 1/32</t>
        </is>
      </c>
      <c r="L773" s="23" t="inlineStr">
        <is>
          <t>мяг</t>
        </is>
      </c>
      <c r="M773" s="23" t="n">
        <v>192</v>
      </c>
      <c r="N773" s="23" t="n">
        <v>2021</v>
      </c>
      <c r="O773" s="23" t="n">
        <v>90</v>
      </c>
      <c r="P773" s="23" t="n"/>
      <c r="Q773" s="23" t="n"/>
      <c r="R773" s="25" t="inlineStr">
        <is>
          <t>Саванна Мартелл понятия не имеет, как она оказалась в доме своего бывшего мужа рядом с его мертвым телом. Зная, что она не сможет ответить на вопросы полиции, Саванна понимает, что ей нужно алиби. Единственный человек, которому она может довериться, — бывший возлюбленный  Коннор Уэллс. Они расстались, но их страсть так и не угасла. Коннор соглашается помочь. Но загадочные убийства продолжаются, и все улики указывают на Саванну…</t>
        </is>
      </c>
      <c r="S773" s="26">
        <f>HYPERLINK("http://www.cnpol.ru/covers/19561.jpg","фото на сайте")</f>
        <v/>
      </c>
    </row>
    <row r="774" ht="50.1" customHeight="1" s="3">
      <c r="A774" s="23" t="n"/>
      <c r="B774" s="24" t="inlineStr">
        <is>
          <t>16185</t>
        </is>
      </c>
      <c r="C774" s="23" t="inlineStr">
        <is>
          <t>ИНТРИГА</t>
        </is>
      </c>
      <c r="D774" s="23" t="inlineStr">
        <is>
          <t>Хэн Б.</t>
        </is>
      </c>
      <c r="E774" s="23" t="inlineStr">
        <is>
          <t>Любовь с риском для жизни</t>
        </is>
      </c>
      <c r="F774" s="23" t="n">
        <v>8</v>
      </c>
      <c r="G774" s="23" t="n">
        <v>128</v>
      </c>
      <c r="H774" s="23" t="n">
        <v>10</v>
      </c>
      <c r="I774" s="23" t="n">
        <v>30</v>
      </c>
      <c r="J774" s="23" t="inlineStr">
        <is>
          <t>978-5-227-06226-0</t>
        </is>
      </c>
      <c r="K774" s="23" t="inlineStr">
        <is>
          <t>70x100 1/32</t>
        </is>
      </c>
      <c r="L774" s="23" t="inlineStr">
        <is>
          <t>мяг</t>
        </is>
      </c>
      <c r="M774" s="23" t="n">
        <v>190</v>
      </c>
      <c r="N774" s="23" t="n">
        <v>2015</v>
      </c>
      <c r="O774" s="23" t="n">
        <v>90</v>
      </c>
      <c r="P774" s="23" t="n"/>
      <c r="Q774" s="23" t="n"/>
      <c r="R774" s="25" t="inlineStr">
        <is>
          <t>Сэди Брукс волей случая оказалась замешана в криминальную историю, и теперь ее жизни угрожает банда убийц. Ник Кэмпбелл — федеральный маршал — вызвался охранять ее, но Сэди невдомек, какова причина такой его инициативы. Более того, она вообще не воспринимает его как мужчину. А Ник – мужественный красавец, о котором можно только мечтать, и в какой­то момент Сэди осознает это. В ней просыпается женщина. Одно только ранит ее — мысль о невозможности любви и счастья, когда беда идет за ней по пятам…</t>
        </is>
      </c>
      <c r="S774" s="26">
        <f>HYPERLINK("http://www.cnpol.ru/covers/16185.jpg","фото на сайте")</f>
        <v/>
      </c>
    </row>
    <row r="775" ht="50.1" customHeight="1" s="3">
      <c r="A775" s="23" t="n"/>
      <c r="B775" s="24" t="inlineStr">
        <is>
          <t>17496</t>
        </is>
      </c>
      <c r="C775" s="23" t="inlineStr">
        <is>
          <t>ИНТРИГА</t>
        </is>
      </c>
      <c r="D775" s="23" t="inlineStr">
        <is>
          <t>Джени Крауч</t>
        </is>
      </c>
      <c r="E775" s="23" t="inlineStr">
        <is>
          <t>Маленькая ложь</t>
        </is>
      </c>
      <c r="F775" s="23" t="n">
        <v>45</v>
      </c>
      <c r="G775" s="23" t="n">
        <v>128</v>
      </c>
      <c r="H775" s="23" t="n">
        <v>10</v>
      </c>
      <c r="I775" s="23" t="n">
        <v>36</v>
      </c>
      <c r="J775" s="23" t="inlineStr">
        <is>
          <t>978-5-227-07563-5</t>
        </is>
      </c>
      <c r="K775" s="23" t="inlineStr">
        <is>
          <t>70x100 1/32</t>
        </is>
      </c>
      <c r="L775" s="23" t="inlineStr">
        <is>
          <t>мяг</t>
        </is>
      </c>
      <c r="M775" s="23" t="n">
        <v>192</v>
      </c>
      <c r="N775" s="23" t="n">
        <v>2017</v>
      </c>
      <c r="O775" s="23" t="n">
        <v>90</v>
      </c>
      <c r="P775" s="23" t="n"/>
      <c r="Q775" s="23" t="n"/>
      <c r="R775" s="25" t="inlineStr">
        <is>
          <t>Молли Хамфриз — начальник лаборатории судебно­медицинской экспертизы в секторе «Омега». Ее любят и уважают сотрудники, она профессиональна и хладнокровна. И только когда рядом с ней оказывается агент Дерек Уотермен, Молли заикается и краснеет как школьница. Три года назад Дерек провел с нею ночь, но потом сделал вид, что между ними ничего не было. Молли не может понять почему и очень страдает. Однажды она остается поработать сверхурочно с важными уликами, которые могут указать на виновников преступления. Ночью в лаборатории гремит взрыв. Деррик узнает о гибели человека и решает, что это была Молли…</t>
        </is>
      </c>
      <c r="S775" s="26">
        <f>HYPERLINK("http://www.cnpol.ru/covers/17496.jpg","фото на сайте")</f>
        <v/>
      </c>
    </row>
    <row r="776" ht="50.1" customHeight="1" s="3">
      <c r="A776" s="23" t="n"/>
      <c r="B776" s="24" t="inlineStr">
        <is>
          <t>16817</t>
        </is>
      </c>
      <c r="C776" s="23" t="inlineStr">
        <is>
          <t>ИНТРИГА</t>
        </is>
      </c>
      <c r="D776" s="23" t="inlineStr">
        <is>
          <t>Хэн Б.</t>
        </is>
      </c>
      <c r="E776" s="23" t="inlineStr">
        <is>
          <t>Мексиканские страсти</t>
        </is>
      </c>
      <c r="F776" s="23" t="n">
        <v>28</v>
      </c>
      <c r="G776" s="23" t="n">
        <v>128</v>
      </c>
      <c r="H776" s="23" t="n">
        <v>10</v>
      </c>
      <c r="I776" s="23" t="n">
        <v>30</v>
      </c>
      <c r="J776" s="23" t="inlineStr">
        <is>
          <t>978-5-227-06806-4</t>
        </is>
      </c>
      <c r="K776" s="23" t="inlineStr">
        <is>
          <t>70x100 1/32</t>
        </is>
      </c>
      <c r="L776" s="23" t="inlineStr">
        <is>
          <t>мяг</t>
        </is>
      </c>
      <c r="M776" s="23" t="n">
        <v>192</v>
      </c>
      <c r="N776" s="23" t="n">
        <v>2016</v>
      </c>
      <c r="O776" s="23" t="n">
        <v>90</v>
      </c>
      <c r="P776" s="23" t="n"/>
      <c r="Q776" s="23" t="n"/>
      <c r="R776" s="25" t="n"/>
      <c r="S776" s="26">
        <f>HYPERLINK("http://www.cnpol.ru/covers/16817.jpg","фото на сайте")</f>
        <v/>
      </c>
    </row>
    <row r="777" ht="50.1" customHeight="1" s="3">
      <c r="A777" s="23" t="n"/>
      <c r="B777" s="24" t="inlineStr">
        <is>
          <t>20720</t>
        </is>
      </c>
      <c r="C777" s="23" t="inlineStr">
        <is>
          <t>ИНТРИГА</t>
        </is>
      </c>
      <c r="D777" s="23" t="inlineStr">
        <is>
          <t>Джонсон Д.К.</t>
        </is>
      </c>
      <c r="E777" s="23" t="inlineStr">
        <is>
          <t>Мужчина­загадка</t>
        </is>
      </c>
      <c r="F777" s="23" t="n">
        <v>92</v>
      </c>
      <c r="G777" s="23" t="n">
        <v>128</v>
      </c>
      <c r="H777" s="23" t="n">
        <v>10</v>
      </c>
      <c r="I777" s="23" t="n">
        <v>24</v>
      </c>
      <c r="J777" s="23" t="inlineStr">
        <is>
          <t>978-5-227-10151-8</t>
        </is>
      </c>
      <c r="K777" s="23" t="inlineStr">
        <is>
          <t>70x100 1/32</t>
        </is>
      </c>
      <c r="L777" s="23" t="inlineStr">
        <is>
          <t>мяг</t>
        </is>
      </c>
      <c r="M777" s="23" t="n">
        <v>191</v>
      </c>
      <c r="N777" s="23" t="n">
        <v>2023</v>
      </c>
      <c r="O777" s="23" t="n">
        <v>79</v>
      </c>
      <c r="P777" s="23" t="n"/>
      <c r="Q777" s="23" t="n"/>
      <c r="R777" s="25" t="inlineStr">
        <is>
          <t>Клер Холланд увлекается водным туризмом (морским каякингом) и отправляется в поход вместе с другом Майком, не ожидая, что для него этот поход будет последним… Клер и Майк становятся свидетелями, как в уединенной бухте с корабля на яхту перегружают явно контрабанду. Заметив их, капитан корабля убивает Майка, а успевшая спрятаться Клер вскоре слышит второй выстрел и всплеск упавшего в воду тела… Когда корабль и яхта спешно отчалили, Клер спасает раненого, оказавшегося агентом по борьбе с наркотиками. Молодым людям предстоит провести вместе несколько дней…</t>
        </is>
      </c>
      <c r="S777" s="26">
        <f>HYPERLINK("http://www.cnpol.ru/covers/20720.jpg","фото на сайте")</f>
        <v/>
      </c>
    </row>
    <row r="778" ht="50.1" customHeight="1" s="3">
      <c r="A778" s="23" t="n"/>
      <c r="B778" s="24" t="inlineStr">
        <is>
          <t>19339</t>
        </is>
      </c>
      <c r="C778" s="23" t="inlineStr">
        <is>
          <t>ИНТРИГА</t>
        </is>
      </c>
      <c r="D778" s="23" t="inlineStr">
        <is>
          <t>Даймон Х</t>
        </is>
      </c>
      <c r="E778" s="23" t="inlineStr">
        <is>
          <t>Нарушенная клятва</t>
        </is>
      </c>
      <c r="F778" s="23" t="n">
        <v>80</v>
      </c>
      <c r="G778" s="23" t="n">
        <v>128</v>
      </c>
      <c r="H778" s="23" t="n">
        <v>10</v>
      </c>
      <c r="I778" s="23" t="n">
        <v>30</v>
      </c>
      <c r="J778" s="23" t="inlineStr">
        <is>
          <t>978-5-227-09143-7</t>
        </is>
      </c>
      <c r="K778" s="23" t="inlineStr">
        <is>
          <t>70x100 1/32</t>
        </is>
      </c>
      <c r="L778" s="23" t="inlineStr">
        <is>
          <t>мяг</t>
        </is>
      </c>
      <c r="M778" s="23" t="n">
        <v>192</v>
      </c>
      <c r="N778" s="23" t="n">
        <v>2020</v>
      </c>
      <c r="O778" s="23" t="n">
        <v>90</v>
      </c>
      <c r="P778" s="23" t="n"/>
      <c r="Q778" s="23" t="n"/>
      <c r="R778" s="25" t="n"/>
      <c r="S778" s="26">
        <f>HYPERLINK("http://www.cnpol.ru/covers/19339.jpg","фото на сайте")</f>
        <v/>
      </c>
    </row>
    <row r="779" ht="50.1" customHeight="1" s="3">
      <c r="A779" s="23" t="n"/>
      <c r="B779" s="24" t="inlineStr">
        <is>
          <t>19243</t>
        </is>
      </c>
      <c r="C779" s="23" t="inlineStr">
        <is>
          <t>ИНТРИГА</t>
        </is>
      </c>
      <c r="D779" s="23" t="inlineStr">
        <is>
          <t>Кэссиди К.</t>
        </is>
      </c>
      <c r="E779" s="23" t="inlineStr">
        <is>
          <t>Не беги от любви</t>
        </is>
      </c>
      <c r="F779" s="23" t="n">
        <v>78</v>
      </c>
      <c r="G779" s="23" t="n">
        <v>128</v>
      </c>
      <c r="H779" s="23" t="n">
        <v>10</v>
      </c>
      <c r="I779" s="23" t="n">
        <v>30</v>
      </c>
      <c r="J779" s="23" t="inlineStr">
        <is>
          <t>978-5-227-09064-5</t>
        </is>
      </c>
      <c r="K779" s="23" t="inlineStr">
        <is>
          <t>70x100 1/32</t>
        </is>
      </c>
      <c r="L779" s="23" t="inlineStr">
        <is>
          <t>мяг</t>
        </is>
      </c>
      <c r="M779" s="23" t="n">
        <v>192</v>
      </c>
      <c r="N779" s="23" t="n">
        <v>2020</v>
      </c>
      <c r="O779" s="23" t="n">
        <v>90</v>
      </c>
      <c r="P779" s="23" t="n"/>
      <c r="Q779" s="23" t="n"/>
      <c r="R779" s="25" t="n"/>
      <c r="S779" s="26">
        <f>HYPERLINK("http://www.cnpol.ru/covers/19243.jpg","фото на сайте")</f>
        <v/>
      </c>
    </row>
    <row r="780" ht="50.1" customHeight="1" s="3">
      <c r="A780" s="23" t="n"/>
      <c r="B780" s="24" t="inlineStr">
        <is>
          <t>17820</t>
        </is>
      </c>
      <c r="C780" s="23" t="inlineStr">
        <is>
          <t>ИНТРИГА</t>
        </is>
      </c>
      <c r="D780" s="23" t="inlineStr">
        <is>
          <t>Лоренцо Мелинда ди</t>
        </is>
      </c>
      <c r="E780" s="23" t="inlineStr">
        <is>
          <t>Не доверяй незнакомцу</t>
        </is>
      </c>
      <c r="F780" s="23" t="n">
        <v>51</v>
      </c>
      <c r="G780" s="23" t="n">
        <v>128</v>
      </c>
      <c r="H780" s="23" t="n">
        <v>10</v>
      </c>
      <c r="I780" s="23" t="n">
        <v>30</v>
      </c>
      <c r="J780" s="23" t="inlineStr">
        <is>
          <t>978-5-227-07769-1</t>
        </is>
      </c>
      <c r="K780" s="23" t="inlineStr">
        <is>
          <t>70x100 1/32</t>
        </is>
      </c>
      <c r="L780" s="23" t="inlineStr">
        <is>
          <t>мяг</t>
        </is>
      </c>
      <c r="M780" s="23" t="n">
        <v>192</v>
      </c>
      <c r="N780" s="23" t="n">
        <v>2017</v>
      </c>
      <c r="O780" s="23" t="n">
        <v>90</v>
      </c>
      <c r="P780" s="23" t="n"/>
      <c r="Q780" s="23" t="n"/>
      <c r="R780" s="25" t="n"/>
      <c r="S780" s="26">
        <f>HYPERLINK("http://www.cnpol.ru/covers/17820.jpg","фото на сайте")</f>
        <v/>
      </c>
    </row>
    <row r="781" ht="50.1" customHeight="1" s="3">
      <c r="A781" s="23" t="n"/>
      <c r="B781" s="24" t="inlineStr">
        <is>
          <t>16582</t>
        </is>
      </c>
      <c r="C781" s="23" t="inlineStr">
        <is>
          <t>ИНТРИГА</t>
        </is>
      </c>
      <c r="D781" s="23" t="inlineStr">
        <is>
          <t>Эрскин Б.</t>
        </is>
      </c>
      <c r="E781" s="23" t="inlineStr">
        <is>
          <t>Не лучшее время для знакомства</t>
        </is>
      </c>
      <c r="F781" s="23" t="n">
        <v>21</v>
      </c>
      <c r="G781" s="23" t="n">
        <v>128</v>
      </c>
      <c r="H781" s="23" t="n">
        <v>10</v>
      </c>
      <c r="I781" s="23" t="n">
        <v>30</v>
      </c>
      <c r="J781" s="23" t="inlineStr">
        <is>
          <t>978-5-227-06538-4</t>
        </is>
      </c>
      <c r="K781" s="23" t="inlineStr">
        <is>
          <t>70x100 1/32</t>
        </is>
      </c>
      <c r="L781" s="23" t="inlineStr">
        <is>
          <t>мяг</t>
        </is>
      </c>
      <c r="M781" s="23" t="n">
        <v>192</v>
      </c>
      <c r="N781" s="23" t="n">
        <v>2016</v>
      </c>
      <c r="O781" s="23" t="n">
        <v>90</v>
      </c>
      <c r="P781" s="23" t="n"/>
      <c r="Q781" s="23" t="n"/>
      <c r="R781" s="25" t="n"/>
      <c r="S781" s="26">
        <f>HYPERLINK("http://www.cnpol.ru/covers/16582.jpg","фото на сайте")</f>
        <v/>
      </c>
    </row>
    <row r="782" ht="50.1" customHeight="1" s="3">
      <c r="A782" s="23" t="n"/>
      <c r="B782" s="24" t="inlineStr">
        <is>
          <t>17173</t>
        </is>
      </c>
      <c r="C782" s="23" t="inlineStr">
        <is>
          <t>ИНТРИГА</t>
        </is>
      </c>
      <c r="D782" s="23" t="inlineStr">
        <is>
          <t>Лонг Б.</t>
        </is>
      </c>
      <c r="E782" s="23" t="inlineStr">
        <is>
          <t>Невеста с бурным прошлым</t>
        </is>
      </c>
      <c r="F782" s="23" t="n">
        <v>39</v>
      </c>
      <c r="G782" s="23" t="n">
        <v>128</v>
      </c>
      <c r="H782" s="23" t="n">
        <v>10</v>
      </c>
      <c r="I782" s="23" t="n">
        <v>36</v>
      </c>
      <c r="J782" s="23" t="inlineStr">
        <is>
          <t>978-5-227-07226-9</t>
        </is>
      </c>
      <c r="K782" s="23" t="inlineStr">
        <is>
          <t>70x100 1/32</t>
        </is>
      </c>
      <c r="L782" s="23" t="inlineStr">
        <is>
          <t>мяг</t>
        </is>
      </c>
      <c r="M782" s="23" t="n">
        <v>192</v>
      </c>
      <c r="N782" s="23" t="n">
        <v>2016</v>
      </c>
      <c r="O782" s="23" t="n">
        <v>90</v>
      </c>
      <c r="P782" s="23" t="n"/>
      <c r="Q782" s="23" t="n"/>
      <c r="R782" s="25" t="n"/>
      <c r="S782" s="26">
        <f>HYPERLINK("http://www.cnpol.ru/covers/17173.jpg","фото на сайте")</f>
        <v/>
      </c>
    </row>
    <row r="783" ht="50.1" customHeight="1" s="3">
      <c r="A783" s="23" t="n"/>
      <c r="B783" s="24" t="inlineStr">
        <is>
          <t>20421</t>
        </is>
      </c>
      <c r="C783" s="23" t="inlineStr">
        <is>
          <t>ИНТРИГА</t>
        </is>
      </c>
      <c r="D783" s="23" t="inlineStr">
        <is>
          <t>Линдси Д.Э.</t>
        </is>
      </c>
      <c r="E783" s="23" t="inlineStr">
        <is>
          <t>Необычная прелюдия к свадьбе</t>
        </is>
      </c>
      <c r="F783" s="23" t="n">
        <v>91</v>
      </c>
      <c r="G783" s="23" t="n">
        <v>128</v>
      </c>
      <c r="H783" s="23" t="n">
        <v>10</v>
      </c>
      <c r="I783" s="23" t="n">
        <v>20</v>
      </c>
      <c r="J783" s="23" t="inlineStr">
        <is>
          <t>978-5-227-10025-2</t>
        </is>
      </c>
      <c r="K783" s="23" t="inlineStr">
        <is>
          <t>70x100 1/32</t>
        </is>
      </c>
      <c r="L783" s="23" t="inlineStr">
        <is>
          <t>мяг</t>
        </is>
      </c>
      <c r="M783" s="23" t="n">
        <v>191</v>
      </c>
      <c r="N783" s="23" t="n">
        <v>2022</v>
      </c>
      <c r="O783" s="23" t="n">
        <v>90</v>
      </c>
      <c r="P783" s="23" t="n"/>
      <c r="Q783" s="23" t="n"/>
      <c r="R783" s="25" t="inlineStr">
        <is>
          <t>Линди изо всех сил боролась с убийцей и спасла себя и своего малыша. Но ей по-прежнему угрожает опасность, тем более что живет она с маленьким сынишкой в одиноко стоящем доме. Но мир не без добрых людей, и судьба посылает ей такого человека, к тому же молодого, сильного и, в виде бонуса, красивого. Кейд Лэнс — бывший военный, проникается глубокой симпатией и нежностью к отважной маленькой женщине и ее сынишке и дает себе слово защитить их любой ценой…</t>
        </is>
      </c>
      <c r="S783" s="26">
        <f>HYPERLINK("http://www.cnpol.ru/covers/20421.jpg","фото на сайте")</f>
        <v/>
      </c>
    </row>
    <row r="784" ht="50.1" customHeight="1" s="3">
      <c r="A784" s="23" t="n"/>
      <c r="B784" s="24" t="inlineStr">
        <is>
          <t>18018</t>
        </is>
      </c>
      <c r="C784" s="23" t="inlineStr">
        <is>
          <t>ИНТРИГА</t>
        </is>
      </c>
      <c r="D784" s="23" t="inlineStr">
        <is>
          <t>Иден С.</t>
        </is>
      </c>
      <c r="E784" s="23" t="inlineStr">
        <is>
          <t>Неожиданное признание</t>
        </is>
      </c>
      <c r="F784" s="23" t="n">
        <v>55</v>
      </c>
      <c r="G784" s="23" t="n">
        <v>128</v>
      </c>
      <c r="H784" s="23" t="n">
        <v>10</v>
      </c>
      <c r="I784" s="23" t="n">
        <v>30</v>
      </c>
      <c r="J784" s="23" t="inlineStr">
        <is>
          <t>978-5-227-08112-4</t>
        </is>
      </c>
      <c r="K784" s="23" t="inlineStr">
        <is>
          <t>70x100 1/32</t>
        </is>
      </c>
      <c r="L784" s="23" t="inlineStr">
        <is>
          <t>мяг</t>
        </is>
      </c>
      <c r="M784" s="23" t="n">
        <v>192</v>
      </c>
      <c r="N784" s="23" t="n">
        <v>2018</v>
      </c>
      <c r="O784" s="23" t="n">
        <v>90</v>
      </c>
      <c r="P784" s="23" t="n"/>
      <c r="Q784" s="23" t="n"/>
      <c r="R784" s="25" t="n"/>
      <c r="S784" s="26">
        <f>HYPERLINK("http://www.cnpol.ru/covers/18018.jpg","фото на сайте")</f>
        <v/>
      </c>
    </row>
    <row r="785" ht="50.1" customHeight="1" s="3">
      <c r="A785" s="23" t="n"/>
      <c r="B785" s="24" t="inlineStr">
        <is>
          <t>17693</t>
        </is>
      </c>
      <c r="C785" s="23" t="inlineStr">
        <is>
          <t>ИНТРИГА</t>
        </is>
      </c>
      <c r="D785" s="23" t="inlineStr">
        <is>
          <t>Джордано Адриенна</t>
        </is>
      </c>
      <c r="E785" s="23" t="inlineStr">
        <is>
          <t>Неудержимое влечение</t>
        </is>
      </c>
      <c r="F785" s="23" t="n">
        <v>49</v>
      </c>
      <c r="G785" s="23" t="n">
        <v>128</v>
      </c>
      <c r="H785" s="23" t="n">
        <v>10</v>
      </c>
      <c r="I785" s="23" t="n">
        <v>30</v>
      </c>
      <c r="J785" s="23" t="inlineStr">
        <is>
          <t>978-5-227-07715-8</t>
        </is>
      </c>
      <c r="K785" s="23" t="inlineStr">
        <is>
          <t>70x100 1/32</t>
        </is>
      </c>
      <c r="L785" s="23" t="inlineStr">
        <is>
          <t>мяг</t>
        </is>
      </c>
      <c r="M785" s="23" t="n">
        <v>160</v>
      </c>
      <c r="N785" s="23" t="n">
        <v>2017</v>
      </c>
      <c r="O785" s="23" t="n">
        <v>90</v>
      </c>
      <c r="P785" s="23" t="n"/>
      <c r="Q785" s="23" t="n"/>
      <c r="R785" s="25" t="n"/>
      <c r="S785" s="26">
        <f>HYPERLINK("http://www.cnpol.ru/covers/17693.jpg","фото на сайте")</f>
        <v/>
      </c>
    </row>
    <row r="786" ht="50.1" customHeight="1" s="3">
      <c r="A786" s="23" t="n"/>
      <c r="B786" s="24" t="inlineStr">
        <is>
          <t>19294</t>
        </is>
      </c>
      <c r="C786" s="23" t="inlineStr">
        <is>
          <t>ИНТРИГА</t>
        </is>
      </c>
      <c r="D786" s="23" t="inlineStr">
        <is>
          <t>Джеймс Э.</t>
        </is>
      </c>
      <c r="E786" s="23" t="inlineStr">
        <is>
          <t>Новая жизнь Грейс</t>
        </is>
      </c>
      <c r="F786" s="23" t="n">
        <v>79</v>
      </c>
      <c r="G786" s="23" t="n">
        <v>128</v>
      </c>
      <c r="H786" s="23" t="n">
        <v>10</v>
      </c>
      <c r="I786" s="23" t="n">
        <v>30</v>
      </c>
      <c r="J786" s="23" t="inlineStr">
        <is>
          <t>978-5-227-09096-6</t>
        </is>
      </c>
      <c r="K786" s="23" t="inlineStr">
        <is>
          <t>70x100 1/32</t>
        </is>
      </c>
      <c r="L786" s="23" t="inlineStr">
        <is>
          <t>мяг</t>
        </is>
      </c>
      <c r="M786" s="23" t="n">
        <v>192</v>
      </c>
      <c r="N786" s="23" t="n">
        <v>2020</v>
      </c>
      <c r="O786" s="23" t="n">
        <v>90</v>
      </c>
      <c r="P786" s="23" t="n"/>
      <c r="Q786" s="23" t="n"/>
      <c r="R786" s="25" t="n"/>
      <c r="S786" s="26">
        <f>HYPERLINK("http://www.cnpol.ru/covers/19294.jpg","фото на сайте")</f>
        <v/>
      </c>
    </row>
    <row r="787" ht="50.1" customHeight="1" s="3">
      <c r="A787" s="23" t="n"/>
      <c r="B787" s="24" t="inlineStr">
        <is>
          <t>16648</t>
        </is>
      </c>
      <c r="C787" s="23" t="inlineStr">
        <is>
          <t>ИНТРИГА</t>
        </is>
      </c>
      <c r="D787" s="23" t="inlineStr">
        <is>
          <t>Эрскин Б.</t>
        </is>
      </c>
      <c r="E787" s="23" t="inlineStr">
        <is>
          <t>Новый знакомый</t>
        </is>
      </c>
      <c r="F787" s="23" t="n">
        <v>24</v>
      </c>
      <c r="G787" s="23" t="n">
        <v>128</v>
      </c>
      <c r="H787" s="23" t="n">
        <v>10</v>
      </c>
      <c r="I787" s="23" t="n">
        <v>30</v>
      </c>
      <c r="J787" s="23" t="inlineStr">
        <is>
          <t>978-5-227-06712-8</t>
        </is>
      </c>
      <c r="K787" s="23" t="inlineStr">
        <is>
          <t>70x100 1/32</t>
        </is>
      </c>
      <c r="L787" s="23" t="inlineStr">
        <is>
          <t>мяг</t>
        </is>
      </c>
      <c r="M787" s="23" t="n">
        <v>192</v>
      </c>
      <c r="N787" s="23" t="n">
        <v>2016</v>
      </c>
      <c r="O787" s="23" t="n">
        <v>90</v>
      </c>
      <c r="P787" s="23" t="n"/>
      <c r="Q787" s="23" t="n"/>
      <c r="R787" s="25" t="n"/>
      <c r="S787" s="26">
        <f>HYPERLINK("http://www.cnpol.ru/covers/16648.jpg","фото на сайте")</f>
        <v/>
      </c>
    </row>
    <row r="788" ht="50.1" customHeight="1" s="3">
      <c r="A788" s="23" t="n"/>
      <c r="B788" s="24" t="inlineStr">
        <is>
          <t>17101</t>
        </is>
      </c>
      <c r="C788" s="23" t="inlineStr">
        <is>
          <t>ИНТРИГА</t>
        </is>
      </c>
      <c r="D788" s="23" t="inlineStr">
        <is>
          <t>Лонг Б.</t>
        </is>
      </c>
      <c r="E788" s="23" t="inlineStr">
        <is>
          <t>Новый муж для Рейни</t>
        </is>
      </c>
      <c r="F788" s="23" t="n">
        <v>37</v>
      </c>
      <c r="G788" s="23" t="n">
        <v>128</v>
      </c>
      <c r="H788" s="23" t="n">
        <v>10</v>
      </c>
      <c r="I788" s="23" t="n">
        <v>36</v>
      </c>
      <c r="J788" s="23" t="inlineStr">
        <is>
          <t>978-5-227-07145-3</t>
        </is>
      </c>
      <c r="K788" s="23" t="inlineStr">
        <is>
          <t>70x100 1/32</t>
        </is>
      </c>
      <c r="L788" s="23" t="inlineStr">
        <is>
          <t>мяг</t>
        </is>
      </c>
      <c r="M788" s="23" t="n">
        <v>192</v>
      </c>
      <c r="N788" s="23" t="n">
        <v>2016</v>
      </c>
      <c r="O788" s="23" t="n">
        <v>90</v>
      </c>
      <c r="P788" s="23" t="n"/>
      <c r="Q788" s="23" t="n"/>
      <c r="R788" s="25" t="n"/>
      <c r="S788" s="26">
        <f>HYPERLINK("http://www.cnpol.ru/covers/17101.jpg","фото на сайте")</f>
        <v/>
      </c>
    </row>
    <row r="789" ht="50.1" customHeight="1" s="3">
      <c r="A789" s="23" t="n"/>
      <c r="B789" s="24" t="inlineStr">
        <is>
          <t>19482</t>
        </is>
      </c>
      <c r="C789" s="23" t="inlineStr">
        <is>
          <t>ИНТРИГА</t>
        </is>
      </c>
      <c r="D789" s="23" t="inlineStr">
        <is>
          <t>Кэссиди К.</t>
        </is>
      </c>
      <c r="E789" s="23" t="inlineStr">
        <is>
          <t>Одна тайна на двоих</t>
        </is>
      </c>
      <c r="F789" s="23" t="n">
        <v>81</v>
      </c>
      <c r="G789" s="23" t="n">
        <v>128</v>
      </c>
      <c r="H789" s="23" t="n">
        <v>10</v>
      </c>
      <c r="I789" s="23" t="n">
        <v>30</v>
      </c>
      <c r="J789" s="23" t="inlineStr">
        <is>
          <t>978-5-227-09211-3</t>
        </is>
      </c>
      <c r="K789" s="23" t="inlineStr">
        <is>
          <t>70x100 1/32</t>
        </is>
      </c>
      <c r="L789" s="23" t="inlineStr">
        <is>
          <t>мяг</t>
        </is>
      </c>
      <c r="M789" s="23" t="n">
        <v>192</v>
      </c>
      <c r="N789" s="23" t="n">
        <v>2020</v>
      </c>
      <c r="O789" s="23" t="n">
        <v>90</v>
      </c>
      <c r="P789" s="23" t="n"/>
      <c r="Q789" s="23" t="n"/>
      <c r="R789" s="25" t="n"/>
      <c r="S789" s="26">
        <f>HYPERLINK("http://www.cnpol.ru/covers/19482.jpg","фото на сайте")</f>
        <v/>
      </c>
    </row>
    <row r="790" ht="50.1" customHeight="1" s="3">
      <c r="A790" s="23" t="n"/>
      <c r="B790" s="24" t="inlineStr">
        <is>
          <t>19953</t>
        </is>
      </c>
      <c r="C790" s="23" t="inlineStr">
        <is>
          <t>ИНТРИГА</t>
        </is>
      </c>
      <c r="D790" s="23" t="inlineStr">
        <is>
          <t>Эрскин Б.</t>
        </is>
      </c>
      <c r="E790" s="23" t="inlineStr">
        <is>
          <t>Опасная связь</t>
        </is>
      </c>
      <c r="F790" s="23" t="n">
        <v>86</v>
      </c>
      <c r="G790" s="23" t="n">
        <v>128</v>
      </c>
      <c r="H790" s="23" t="n">
        <v>10</v>
      </c>
      <c r="I790" s="23" t="n">
        <v>20</v>
      </c>
      <c r="J790" s="23" t="inlineStr">
        <is>
          <t>978-5-227-09576-3</t>
        </is>
      </c>
      <c r="K790" s="23" t="inlineStr">
        <is>
          <t>70x100 1/32</t>
        </is>
      </c>
      <c r="L790" s="23" t="inlineStr">
        <is>
          <t>мяг</t>
        </is>
      </c>
      <c r="M790" s="23" t="n">
        <v>191</v>
      </c>
      <c r="N790" s="23" t="n">
        <v>2021</v>
      </c>
      <c r="O790" s="23" t="n">
        <v>90</v>
      </c>
      <c r="P790" s="23" t="n"/>
      <c r="Q790" s="23" t="n"/>
      <c r="R790" s="25" t="n"/>
      <c r="S790" s="26">
        <f>HYPERLINK("http://www.cnpol.ru/covers/19953.jpg","фото на сайте")</f>
        <v/>
      </c>
    </row>
    <row r="791" ht="50.1" customHeight="1" s="3">
      <c r="A791" s="23" t="n"/>
      <c r="B791" s="24" t="inlineStr">
        <is>
          <t>17917</t>
        </is>
      </c>
      <c r="C791" s="23" t="inlineStr">
        <is>
          <t>ИНТРИГА</t>
        </is>
      </c>
      <c r="D791" s="23" t="inlineStr">
        <is>
          <t>Кернан Д.</t>
        </is>
      </c>
      <c r="E791" s="23" t="inlineStr">
        <is>
          <t>Опасные свидания</t>
        </is>
      </c>
      <c r="F791" s="23" t="n">
        <v>53</v>
      </c>
      <c r="G791" s="23" t="n">
        <v>128</v>
      </c>
      <c r="H791" s="23" t="n">
        <v>10</v>
      </c>
      <c r="I791" s="23" t="n">
        <v>30</v>
      </c>
      <c r="J791" s="23" t="inlineStr">
        <is>
          <t>978-5-227-08011-0</t>
        </is>
      </c>
      <c r="K791" s="23" t="inlineStr">
        <is>
          <t>70x100 1/32</t>
        </is>
      </c>
      <c r="L791" s="23" t="inlineStr">
        <is>
          <t>мяг</t>
        </is>
      </c>
      <c r="M791" s="23" t="n">
        <v>192</v>
      </c>
      <c r="N791" s="23" t="n">
        <v>2018</v>
      </c>
      <c r="O791" s="23" t="n">
        <v>90</v>
      </c>
      <c r="P791" s="23" t="n"/>
      <c r="Q791" s="23" t="n"/>
      <c r="R791" s="25" t="n"/>
      <c r="S791" s="26">
        <f>HYPERLINK("http://www.cnpol.ru/covers/17917.jpg","фото на сайте")</f>
        <v/>
      </c>
    </row>
    <row r="792" ht="50.1" customHeight="1" s="3">
      <c r="A792" s="23" t="n"/>
      <c r="B792" s="24" t="inlineStr">
        <is>
          <t>18141</t>
        </is>
      </c>
      <c r="C792" s="23" t="inlineStr">
        <is>
          <t>ИНТРИГА</t>
        </is>
      </c>
      <c r="D792" s="23" t="inlineStr">
        <is>
          <t>Джеймс Э.</t>
        </is>
      </c>
      <c r="E792" s="23" t="inlineStr">
        <is>
          <t>Опасный курортный роман</t>
        </is>
      </c>
      <c r="F792" s="23" t="n">
        <v>56</v>
      </c>
      <c r="G792" s="23" t="n">
        <v>128</v>
      </c>
      <c r="H792" s="23" t="n">
        <v>10</v>
      </c>
      <c r="I792" s="23" t="n">
        <v>30</v>
      </c>
      <c r="J792" s="23" t="inlineStr">
        <is>
          <t>978-5-227-08144-5</t>
        </is>
      </c>
      <c r="K792" s="23" t="inlineStr">
        <is>
          <t>70x100 1/32</t>
        </is>
      </c>
      <c r="L792" s="23" t="inlineStr">
        <is>
          <t>мяг</t>
        </is>
      </c>
      <c r="M792" s="23" t="n">
        <v>192</v>
      </c>
      <c r="N792" s="23" t="n">
        <v>2018</v>
      </c>
      <c r="O792" s="23" t="n">
        <v>90</v>
      </c>
      <c r="P792" s="23" t="n"/>
      <c r="Q792" s="23" t="n"/>
      <c r="R792" s="25" t="n"/>
      <c r="S792" s="26">
        <f>HYPERLINK("http://www.cnpol.ru/covers/18141.jpg","фото на сайте")</f>
        <v/>
      </c>
    </row>
    <row r="793" ht="50.1" customHeight="1" s="3">
      <c r="A793" s="23" t="n"/>
      <c r="B793" s="24" t="inlineStr">
        <is>
          <t>16184</t>
        </is>
      </c>
      <c r="C793" s="23" t="inlineStr">
        <is>
          <t>ИНТРИГА</t>
        </is>
      </c>
      <c r="D793" s="23" t="inlineStr">
        <is>
          <t>Эрскин Б.</t>
        </is>
      </c>
      <c r="E793" s="23" t="inlineStr">
        <is>
          <t>Отель у моря</t>
        </is>
      </c>
      <c r="F793" s="23" t="n">
        <v>7</v>
      </c>
      <c r="G793" s="23" t="n">
        <v>128</v>
      </c>
      <c r="H793" s="23" t="n">
        <v>10</v>
      </c>
      <c r="I793" s="23" t="n">
        <v>30</v>
      </c>
      <c r="J793" s="23" t="inlineStr">
        <is>
          <t>978-5-227-06225-3</t>
        </is>
      </c>
      <c r="K793" s="23" t="inlineStr">
        <is>
          <t>70x100 1/32</t>
        </is>
      </c>
      <c r="L793" s="23" t="inlineStr">
        <is>
          <t>мяг</t>
        </is>
      </c>
      <c r="M793" s="23" t="n">
        <v>190</v>
      </c>
      <c r="N793" s="23" t="n">
        <v>2015</v>
      </c>
      <c r="O793" s="23" t="n">
        <v>90</v>
      </c>
      <c r="P793" s="23" t="n"/>
      <c r="Q793" s="23" t="n"/>
      <c r="R793" s="25" t="n"/>
      <c r="S793" s="26">
        <f>HYPERLINK("http://www.cnpol.ru/covers/16184.jpg","фото на сайте")</f>
        <v/>
      </c>
    </row>
    <row r="794" ht="50.1" customHeight="1" s="3">
      <c r="A794" s="23" t="n"/>
      <c r="B794" s="24" t="inlineStr">
        <is>
          <t>17546</t>
        </is>
      </c>
      <c r="C794" s="23" t="inlineStr">
        <is>
          <t>ИНТРИГА</t>
        </is>
      </c>
      <c r="D794" s="23" t="inlineStr">
        <is>
          <t>Кэссиди К.</t>
        </is>
      </c>
      <c r="E794" s="23" t="inlineStr">
        <is>
          <t>Парк развлечений</t>
        </is>
      </c>
      <c r="F794" s="23" t="n">
        <v>46</v>
      </c>
      <c r="G794" s="23" t="n">
        <v>128</v>
      </c>
      <c r="H794" s="23" t="n">
        <v>10</v>
      </c>
      <c r="I794" s="23" t="n">
        <v>36</v>
      </c>
      <c r="J794" s="23" t="inlineStr">
        <is>
          <t>978-5-227-07592-5</t>
        </is>
      </c>
      <c r="K794" s="23" t="inlineStr">
        <is>
          <t>70x100 1/32</t>
        </is>
      </c>
      <c r="L794" s="23" t="inlineStr">
        <is>
          <t>мяг</t>
        </is>
      </c>
      <c r="M794" s="23" t="n">
        <v>192</v>
      </c>
      <c r="N794" s="23" t="n">
        <v>2017</v>
      </c>
      <c r="O794" s="23" t="n">
        <v>90</v>
      </c>
      <c r="P794" s="23" t="n"/>
      <c r="Q794" s="23" t="n"/>
      <c r="R794" s="25" t="n"/>
      <c r="S794" s="26">
        <f>HYPERLINK("http://www.cnpol.ru/covers/17546.jpg","фото на сайте")</f>
        <v/>
      </c>
    </row>
    <row r="795" ht="50.1" customHeight="1" s="3">
      <c r="A795" s="23" t="n"/>
      <c r="B795" s="24" t="inlineStr">
        <is>
          <t>16896</t>
        </is>
      </c>
      <c r="C795" s="23" t="inlineStr">
        <is>
          <t>ИНТРИГА</t>
        </is>
      </c>
      <c r="D795" s="23" t="inlineStr">
        <is>
          <t>Майерс С</t>
        </is>
      </c>
      <c r="E795" s="23" t="inlineStr">
        <is>
          <t>Повод для служебного романа</t>
        </is>
      </c>
      <c r="F795" s="23" t="n">
        <v>29</v>
      </c>
      <c r="G795" s="23" t="n">
        <v>128</v>
      </c>
      <c r="H795" s="23" t="n">
        <v>10</v>
      </c>
      <c r="I795" s="23" t="n">
        <v>30</v>
      </c>
      <c r="J795" s="23" t="inlineStr">
        <is>
          <t>978-5-227-06839-2</t>
        </is>
      </c>
      <c r="K795" s="23" t="inlineStr">
        <is>
          <t>70x100 1/32</t>
        </is>
      </c>
      <c r="L795" s="23" t="inlineStr">
        <is>
          <t>мяг</t>
        </is>
      </c>
      <c r="M795" s="23" t="n">
        <v>192</v>
      </c>
      <c r="N795" s="23" t="n">
        <v>2016</v>
      </c>
      <c r="O795" s="23" t="n">
        <v>90</v>
      </c>
      <c r="P795" s="23" t="n"/>
      <c r="Q795" s="23" t="n"/>
      <c r="R795" s="25" t="n"/>
      <c r="S795" s="26">
        <f>HYPERLINK("http://www.cnpol.ru/covers/16896.jpg","фото на сайте")</f>
        <v/>
      </c>
    </row>
    <row r="796" ht="50.1" customHeight="1" s="3">
      <c r="A796" s="23" t="n"/>
      <c r="B796" s="24" t="inlineStr">
        <is>
          <t>18650</t>
        </is>
      </c>
      <c r="C796" s="23" t="inlineStr">
        <is>
          <t>ИНТРИГА</t>
        </is>
      </c>
      <c r="D796" s="23" t="inlineStr">
        <is>
          <t>Лонг Б.</t>
        </is>
      </c>
      <c r="E796" s="23" t="inlineStr">
        <is>
          <t>Погоня за любовью</t>
        </is>
      </c>
      <c r="F796" s="23" t="n">
        <v>66</v>
      </c>
      <c r="G796" s="23" t="n">
        <v>128</v>
      </c>
      <c r="H796" s="23" t="n">
        <v>10</v>
      </c>
      <c r="I796" s="23" t="n">
        <v>30</v>
      </c>
      <c r="J796" s="23" t="inlineStr">
        <is>
          <t>978-5-227-08563-4</t>
        </is>
      </c>
      <c r="K796" s="23" t="inlineStr">
        <is>
          <t>70x100 1/32</t>
        </is>
      </c>
      <c r="L796" s="23" t="inlineStr">
        <is>
          <t>мяг</t>
        </is>
      </c>
      <c r="M796" s="23" t="n">
        <v>192</v>
      </c>
      <c r="N796" s="23" t="n">
        <v>2019</v>
      </c>
      <c r="O796" s="23" t="n">
        <v>90</v>
      </c>
      <c r="P796" s="23" t="n"/>
      <c r="Q796" s="23" t="n"/>
      <c r="R796" s="25" t="n"/>
      <c r="S796" s="26">
        <f>HYPERLINK("http://www.cnpol.ru/covers/18650.jpg","фото на сайте")</f>
        <v/>
      </c>
    </row>
    <row r="797" ht="50.1" customHeight="1" s="3">
      <c r="A797" s="23" t="n"/>
      <c r="B797" s="24" t="inlineStr">
        <is>
          <t>17102</t>
        </is>
      </c>
      <c r="C797" s="23" t="inlineStr">
        <is>
          <t>ИНТРИГА</t>
        </is>
      </c>
      <c r="D797" s="23" t="inlineStr">
        <is>
          <t>Миллер Л.</t>
        </is>
      </c>
      <c r="E797" s="23" t="inlineStr">
        <is>
          <t>Подарки для любимых</t>
        </is>
      </c>
      <c r="F797" s="23" t="n">
        <v>38</v>
      </c>
      <c r="G797" s="23" t="n">
        <v>128</v>
      </c>
      <c r="H797" s="23" t="n">
        <v>10</v>
      </c>
      <c r="I797" s="23" t="n">
        <v>36</v>
      </c>
      <c r="J797" s="23" t="inlineStr">
        <is>
          <t>978-5-227-07146-0</t>
        </is>
      </c>
      <c r="K797" s="23" t="inlineStr">
        <is>
          <t>70x100 1/32</t>
        </is>
      </c>
      <c r="L797" s="23" t="inlineStr">
        <is>
          <t>мяг</t>
        </is>
      </c>
      <c r="M797" s="23" t="n">
        <v>192</v>
      </c>
      <c r="N797" s="23" t="n">
        <v>2016</v>
      </c>
      <c r="O797" s="23" t="n">
        <v>90</v>
      </c>
      <c r="P797" s="23" t="n"/>
      <c r="Q797" s="23" t="n"/>
      <c r="R797" s="25" t="n"/>
      <c r="S797" s="26">
        <f>HYPERLINK("http://www.cnpol.ru/covers/17102.jpg","фото на сайте")</f>
        <v/>
      </c>
    </row>
    <row r="798" ht="50.1" customHeight="1" s="3">
      <c r="A798" s="23" t="n"/>
      <c r="B798" s="24" t="inlineStr">
        <is>
          <t>19126</t>
        </is>
      </c>
      <c r="C798" s="23" t="inlineStr">
        <is>
          <t>ИНТРИГА</t>
        </is>
      </c>
      <c r="D798" s="23" t="inlineStr">
        <is>
          <t>Эрскин Б.</t>
        </is>
      </c>
      <c r="E798" s="23" t="inlineStr">
        <is>
          <t>Последнее шоу в стриптиз­клубе</t>
        </is>
      </c>
      <c r="F798" s="23" t="n">
        <v>76</v>
      </c>
      <c r="G798" s="23" t="n">
        <v>128</v>
      </c>
      <c r="H798" s="23" t="n">
        <v>10</v>
      </c>
      <c r="I798" s="23" t="n">
        <v>30</v>
      </c>
      <c r="J798" s="23" t="inlineStr">
        <is>
          <t>978-5-227-08973-1</t>
        </is>
      </c>
      <c r="K798" s="23" t="inlineStr">
        <is>
          <t>70x100 1/32</t>
        </is>
      </c>
      <c r="L798" s="23" t="inlineStr">
        <is>
          <t>мяг</t>
        </is>
      </c>
      <c r="M798" s="23" t="n">
        <v>192</v>
      </c>
      <c r="N798" s="23" t="n">
        <v>2020</v>
      </c>
      <c r="O798" s="23" t="n">
        <v>90</v>
      </c>
      <c r="P798" s="23" t="n"/>
      <c r="Q798" s="23" t="n"/>
      <c r="R798" s="25" t="n"/>
      <c r="S798" s="26">
        <f>HYPERLINK("http://www.cnpol.ru/covers/19126.jpg","фото на сайте")</f>
        <v/>
      </c>
    </row>
    <row r="799" ht="50.1" customHeight="1" s="3">
      <c r="A799" s="23" t="n"/>
      <c r="B799" s="24" t="inlineStr">
        <is>
          <t>20016</t>
        </is>
      </c>
      <c r="C799" s="23" t="inlineStr">
        <is>
          <t>ИНТРИГА</t>
        </is>
      </c>
      <c r="D799" s="23" t="inlineStr">
        <is>
          <t>Майлз К.</t>
        </is>
      </c>
      <c r="E799" s="23" t="inlineStr">
        <is>
          <t>Последняя тайна</t>
        </is>
      </c>
      <c r="F799" s="23" t="n">
        <v>87</v>
      </c>
      <c r="G799" s="23" t="n">
        <v>128</v>
      </c>
      <c r="H799" s="23" t="n">
        <v>10</v>
      </c>
      <c r="I799" s="23" t="n">
        <v>30</v>
      </c>
      <c r="J799" s="23" t="inlineStr">
        <is>
          <t>978-5-227-09634-0</t>
        </is>
      </c>
      <c r="K799" s="23" t="inlineStr">
        <is>
          <t>70x100 1/32</t>
        </is>
      </c>
      <c r="L799" s="23" t="inlineStr">
        <is>
          <t>мяг</t>
        </is>
      </c>
      <c r="M799" s="23" t="n">
        <v>191</v>
      </c>
      <c r="N799" s="23" t="n">
        <v>2021</v>
      </c>
      <c r="O799" s="23" t="n">
        <v>76</v>
      </c>
      <c r="P799" s="23" t="n"/>
      <c r="Q799" s="23" t="n"/>
      <c r="R799" s="25" t="n"/>
      <c r="S799" s="26">
        <f>HYPERLINK("http://www.cnpol.ru/covers/20016.jpg","фото на сайте")</f>
        <v/>
      </c>
    </row>
    <row r="800" ht="50.1" customHeight="1" s="3">
      <c r="A800" s="23" t="n"/>
      <c r="B800" s="24" t="inlineStr">
        <is>
          <t>18287</t>
        </is>
      </c>
      <c r="C800" s="23" t="inlineStr">
        <is>
          <t>ИНТРИГА</t>
        </is>
      </c>
      <c r="D800" s="23" t="inlineStr">
        <is>
          <t>Майерс С</t>
        </is>
      </c>
      <c r="E800" s="23" t="inlineStr">
        <is>
          <t>Поцелуй опасного мужчины</t>
        </is>
      </c>
      <c r="F800" s="23" t="n">
        <v>59</v>
      </c>
      <c r="G800" s="23" t="n">
        <v>128</v>
      </c>
      <c r="H800" s="23" t="n">
        <v>10</v>
      </c>
      <c r="I800" s="23" t="n">
        <v>30</v>
      </c>
      <c r="J800" s="23" t="inlineStr">
        <is>
          <t>978-5-227-08256-5</t>
        </is>
      </c>
      <c r="K800" s="23" t="inlineStr">
        <is>
          <t>70x100 1/32</t>
        </is>
      </c>
      <c r="L800" s="23" t="inlineStr">
        <is>
          <t>мяг</t>
        </is>
      </c>
      <c r="M800" s="23" t="n">
        <v>192</v>
      </c>
      <c r="N800" s="23" t="n">
        <v>2018</v>
      </c>
      <c r="O800" s="23" t="n">
        <v>92</v>
      </c>
      <c r="P800" s="23" t="n"/>
      <c r="Q800" s="23" t="n"/>
      <c r="R800" s="25" t="n"/>
      <c r="S800" s="26">
        <f>HYPERLINK("http://www.cnpol.ru/covers/18287.jpg","фото на сайте")</f>
        <v/>
      </c>
    </row>
    <row r="801" ht="50.1" customHeight="1" s="3">
      <c r="A801" s="23" t="n"/>
      <c r="B801" s="24" t="inlineStr">
        <is>
          <t>20338</t>
        </is>
      </c>
      <c r="C801" s="23" t="inlineStr">
        <is>
          <t>ИНТРИГА</t>
        </is>
      </c>
      <c r="D801" s="23" t="inlineStr">
        <is>
          <t>Фоссен Д.</t>
        </is>
      </c>
      <c r="E801" s="23" t="inlineStr">
        <is>
          <t>Приманка</t>
        </is>
      </c>
      <c r="F801" s="23" t="n">
        <v>89</v>
      </c>
      <c r="G801" s="23" t="n">
        <v>128</v>
      </c>
      <c r="H801" s="23" t="n">
        <v>10</v>
      </c>
      <c r="I801" s="23" t="n">
        <v>20</v>
      </c>
      <c r="J801" s="23" t="inlineStr">
        <is>
          <t>978-5-227-09850-4</t>
        </is>
      </c>
      <c r="K801" s="23" t="inlineStr">
        <is>
          <t>70x100 1/32</t>
        </is>
      </c>
      <c r="L801" s="23" t="inlineStr">
        <is>
          <t>мяг</t>
        </is>
      </c>
      <c r="M801" s="23" t="n">
        <v>191</v>
      </c>
      <c r="N801" s="23" t="n">
        <v>2022</v>
      </c>
      <c r="O801" s="23" t="n">
        <v>90</v>
      </c>
      <c r="P801" s="23" t="n"/>
      <c r="Q801" s="23" t="n"/>
      <c r="R801" s="25" t="n"/>
      <c r="S801" s="26">
        <f>HYPERLINK("http://www.cnpol.ru/covers/20338.jpg","фото на сайте")</f>
        <v/>
      </c>
    </row>
    <row r="802" ht="50.1" customHeight="1" s="3">
      <c r="A802" s="23" t="n"/>
      <c r="B802" s="24" t="inlineStr">
        <is>
          <t>20370</t>
        </is>
      </c>
      <c r="C802" s="23" t="inlineStr">
        <is>
          <t>ИНТРИГА</t>
        </is>
      </c>
      <c r="D802" s="23" t="inlineStr">
        <is>
          <t>Кэссиди К.</t>
        </is>
      </c>
      <c r="E802" s="23" t="inlineStr">
        <is>
          <t>Прошлые грехи</t>
        </is>
      </c>
      <c r="F802" s="23" t="n">
        <v>90</v>
      </c>
      <c r="G802" s="23" t="n">
        <v>128</v>
      </c>
      <c r="H802" s="23" t="n">
        <v>10</v>
      </c>
      <c r="I802" s="23" t="n">
        <v>20</v>
      </c>
      <c r="J802" s="23" t="inlineStr">
        <is>
          <t>978-5-227-09933-4</t>
        </is>
      </c>
      <c r="K802" s="23" t="inlineStr">
        <is>
          <t>70x100 1/32</t>
        </is>
      </c>
      <c r="L802" s="23" t="inlineStr">
        <is>
          <t>мяг</t>
        </is>
      </c>
      <c r="M802" s="23" t="n">
        <v>191</v>
      </c>
      <c r="N802" s="23" t="n">
        <v>2022</v>
      </c>
      <c r="O802" s="23" t="n">
        <v>90</v>
      </c>
      <c r="P802" s="23" t="n"/>
      <c r="Q802" s="23" t="n"/>
      <c r="R802" s="25" t="n"/>
      <c r="S802" s="26">
        <f>HYPERLINK("http://www.cnpol.ru/covers/20370.jpg","фото на сайте")</f>
        <v/>
      </c>
    </row>
    <row r="803" ht="50.1" customHeight="1" s="3">
      <c r="A803" s="23" t="inlineStr">
        <is>
          <t>Н</t>
        </is>
      </c>
      <c r="B803" s="24" t="inlineStr">
        <is>
          <t>21033</t>
        </is>
      </c>
      <c r="C803" s="23" t="inlineStr">
        <is>
          <t>ИНТРИГА</t>
        </is>
      </c>
      <c r="D803" s="23" t="inlineStr">
        <is>
          <t>Уэбб Д.</t>
        </is>
      </c>
      <c r="E803" s="23" t="inlineStr">
        <is>
          <t>Раскрытая тайна</t>
        </is>
      </c>
      <c r="F803" s="23" t="n">
        <v>94</v>
      </c>
      <c r="G803" s="23" t="n">
        <v>128</v>
      </c>
      <c r="H803" s="23" t="n">
        <v>10</v>
      </c>
      <c r="I803" s="23" t="n">
        <v>30</v>
      </c>
      <c r="J803" s="23" t="inlineStr">
        <is>
          <t>978-5-227-10252-2</t>
        </is>
      </c>
      <c r="K803" s="23" t="inlineStr">
        <is>
          <t>70x100 1/32</t>
        </is>
      </c>
      <c r="L803" s="23" t="inlineStr">
        <is>
          <t>мяг</t>
        </is>
      </c>
      <c r="M803" s="23" t="n">
        <v>191</v>
      </c>
      <c r="N803" s="23" t="n">
        <v>2024</v>
      </c>
      <c r="O803" s="23" t="n">
        <v>76</v>
      </c>
      <c r="P803" s="23" t="n"/>
      <c r="Q803" s="23" t="n"/>
      <c r="R803" s="25" t="inlineStr">
        <is>
          <t>С юных лет Одри Андерсон хотела выйти замуж за одноклассника Колта Таннера. Но все планы перечеркнула школьная вечеринка, которую Одри проболела, а Колт, напившись, переспал с роковой красоткой, после чего был вынужден на ней жениться из-за ее беременности. Через несколько лет после рождения сына они развелись, но Одри так и не простила Колта, который стал шерифом…</t>
        </is>
      </c>
      <c r="S803" s="26">
        <f>HYPERLINK("http://www.cnpol.ru/covers/21033.jpg","фото на сайте")</f>
        <v/>
      </c>
    </row>
    <row r="804" ht="50.1" customHeight="1" s="3">
      <c r="A804" s="23" t="n"/>
      <c r="B804" s="24" t="inlineStr">
        <is>
          <t>18792</t>
        </is>
      </c>
      <c r="C804" s="23" t="inlineStr">
        <is>
          <t>ИНТРИГА</t>
        </is>
      </c>
      <c r="D804" s="23" t="inlineStr">
        <is>
          <t>Майерс С</t>
        </is>
      </c>
      <c r="E804" s="23" t="inlineStr">
        <is>
          <t>Рискованное турне</t>
        </is>
      </c>
      <c r="F804" s="23" t="n">
        <v>69</v>
      </c>
      <c r="G804" s="23" t="n">
        <v>128</v>
      </c>
      <c r="H804" s="23" t="n">
        <v>10</v>
      </c>
      <c r="I804" s="23" t="n">
        <v>30</v>
      </c>
      <c r="J804" s="23" t="inlineStr">
        <is>
          <t>978-5-227-08711-9</t>
        </is>
      </c>
      <c r="K804" s="23" t="inlineStr">
        <is>
          <t>70x100 1/32</t>
        </is>
      </c>
      <c r="L804" s="23" t="inlineStr">
        <is>
          <t>мяг</t>
        </is>
      </c>
      <c r="M804" s="23" t="n">
        <v>192</v>
      </c>
      <c r="N804" s="23" t="n">
        <v>2019</v>
      </c>
      <c r="O804" s="23" t="n">
        <v>90</v>
      </c>
      <c r="P804" s="23" t="n"/>
      <c r="Q804" s="23" t="n"/>
      <c r="R804" s="25" t="n"/>
      <c r="S804" s="26">
        <f>HYPERLINK("http://www.cnpol.ru/covers/18792.jpg","фото на сайте")</f>
        <v/>
      </c>
    </row>
    <row r="805" ht="50.1" customHeight="1" s="3">
      <c r="A805" s="23" t="n"/>
      <c r="B805" s="24" t="inlineStr">
        <is>
          <t>17044</t>
        </is>
      </c>
      <c r="C805" s="23" t="inlineStr">
        <is>
          <t>ИНТРИГА</t>
        </is>
      </c>
      <c r="D805" s="23" t="inlineStr">
        <is>
          <t>Крауч Д.</t>
        </is>
      </c>
      <c r="E805" s="23" t="inlineStr">
        <is>
          <t>Романтика с риском для жизни</t>
        </is>
      </c>
      <c r="F805" s="23" t="n">
        <v>36</v>
      </c>
      <c r="G805" s="23" t="n">
        <v>128</v>
      </c>
      <c r="H805" s="23" t="n">
        <v>10</v>
      </c>
      <c r="I805" s="23" t="n">
        <v>30</v>
      </c>
      <c r="J805" s="23" t="inlineStr">
        <is>
          <t>978-5-227-07106-4</t>
        </is>
      </c>
      <c r="K805" s="23" t="inlineStr">
        <is>
          <t>70x100 1/32</t>
        </is>
      </c>
      <c r="L805" s="23" t="inlineStr">
        <is>
          <t>мяг</t>
        </is>
      </c>
      <c r="M805" s="23" t="n">
        <v>192</v>
      </c>
      <c r="N805" s="23" t="n">
        <v>2016</v>
      </c>
      <c r="O805" s="23" t="n">
        <v>90</v>
      </c>
      <c r="P805" s="23" t="n"/>
      <c r="Q805" s="23" t="n"/>
      <c r="R805" s="25" t="n"/>
      <c r="S805" s="26">
        <f>HYPERLINK("http://www.cnpol.ru/covers/17044.jpg","фото на сайте")</f>
        <v/>
      </c>
    </row>
    <row r="806" ht="50.1" customHeight="1" s="3">
      <c r="A806" s="23" t="inlineStr">
        <is>
          <t>Н</t>
        </is>
      </c>
      <c r="B806" s="24" t="inlineStr">
        <is>
          <t>21323</t>
        </is>
      </c>
      <c r="C806" s="23" t="inlineStr">
        <is>
          <t>ИНТРИГА</t>
        </is>
      </c>
      <c r="D806" s="23" t="inlineStr">
        <is>
          <t>Майерс С</t>
        </is>
      </c>
      <c r="E806" s="23" t="inlineStr">
        <is>
          <t>Самая невероятная встреча</t>
        </is>
      </c>
      <c r="F806" s="23" t="n">
        <v>96</v>
      </c>
      <c r="G806" s="23" t="n">
        <v>128</v>
      </c>
      <c r="H806" s="23" t="n">
        <v>10</v>
      </c>
      <c r="I806" s="23" t="n">
        <v>30</v>
      </c>
      <c r="J806" s="23" t="inlineStr">
        <is>
          <t>978-5-227-10785-5</t>
        </is>
      </c>
      <c r="K806" s="23" t="inlineStr">
        <is>
          <t>70x100 1/32</t>
        </is>
      </c>
      <c r="L806" s="23" t="inlineStr">
        <is>
          <t>мяг</t>
        </is>
      </c>
      <c r="M806" s="23" t="n">
        <v>191</v>
      </c>
      <c r="N806" s="23" t="n">
        <v>2024</v>
      </c>
      <c r="O806" s="23" t="n">
        <v>76</v>
      </c>
      <c r="P806" s="23" t="n"/>
      <c r="Q806" s="23" t="n"/>
      <c r="R806" s="25" t="inlineStr">
        <is>
          <t>Рослин приехала на горнолыжный курорт, надеясь найти Диллона Диаса. Несколько месяцев назад этот замечательный мужчина помог ей пережить горькую обиду, нанесенную бывшим женихом. Здесь в горах она провела с Диллоном волшебные два дня и две ночи, а потом сбежала, не сообщив ему своего настоящего имени, просто боялась, что ее снова отвергнут. Она и не догадывалась, что Диллон влюбился в нее без памяти и теперь отчаянно пытается разыскать. Встреча двух влюбленных была неминуема, но впереди их ждали грозные препятствия, которые придется преодолеть…</t>
        </is>
      </c>
      <c r="S806" s="26">
        <f>HYPERLINK("http://www.cnpol.ru/covers/21323.jpg","фото на сайте")</f>
        <v/>
      </c>
    </row>
    <row r="807" ht="50.1" customHeight="1" s="3">
      <c r="A807" s="23" t="n"/>
      <c r="B807" s="24" t="inlineStr">
        <is>
          <t>18836</t>
        </is>
      </c>
      <c r="C807" s="23" t="inlineStr">
        <is>
          <t>ИНТРИГА</t>
        </is>
      </c>
      <c r="D807" s="23" t="inlineStr">
        <is>
          <t>Уэбб Д.</t>
        </is>
      </c>
      <c r="E807" s="23" t="inlineStr">
        <is>
          <t>Сбывшийся сон</t>
        </is>
      </c>
      <c r="F807" s="23" t="n">
        <v>70</v>
      </c>
      <c r="G807" s="23" t="n">
        <v>128</v>
      </c>
      <c r="H807" s="23" t="n">
        <v>10</v>
      </c>
      <c r="I807" s="23" t="n">
        <v>30</v>
      </c>
      <c r="J807" s="23" t="inlineStr">
        <is>
          <t>978-5-227-08739-3</t>
        </is>
      </c>
      <c r="K807" s="23" t="inlineStr">
        <is>
          <t>70x100 1/32</t>
        </is>
      </c>
      <c r="L807" s="23" t="inlineStr">
        <is>
          <t>мяг</t>
        </is>
      </c>
      <c r="M807" s="23" t="n">
        <v>192</v>
      </c>
      <c r="N807" s="23" t="n">
        <v>2019</v>
      </c>
      <c r="O807" s="23" t="n">
        <v>96</v>
      </c>
      <c r="P807" s="23" t="n"/>
      <c r="Q807" s="23" t="n"/>
      <c r="R807" s="25" t="n"/>
      <c r="S807" s="26">
        <f>HYPERLINK("http://www.cnpol.ru/covers/18836.jpg","фото на сайте")</f>
        <v/>
      </c>
    </row>
    <row r="808" ht="50.1" customHeight="1" s="3">
      <c r="A808" s="23" t="n"/>
      <c r="B808" s="24" t="inlineStr">
        <is>
          <t>17659</t>
        </is>
      </c>
      <c r="C808" s="23" t="inlineStr">
        <is>
          <t>ИНТРИГА</t>
        </is>
      </c>
      <c r="D808" s="23" t="inlineStr">
        <is>
          <t>Майлз К.</t>
        </is>
      </c>
      <c r="E808" s="23" t="inlineStr">
        <is>
          <t>Свидание с настоящим мужчиной</t>
        </is>
      </c>
      <c r="F808" s="23" t="n">
        <v>48</v>
      </c>
      <c r="G808" s="23" t="n">
        <v>128</v>
      </c>
      <c r="H808" s="23" t="n">
        <v>10</v>
      </c>
      <c r="I808" s="23" t="n">
        <v>30</v>
      </c>
      <c r="J808" s="23" t="inlineStr">
        <is>
          <t>978-5-227-07691-5</t>
        </is>
      </c>
      <c r="K808" s="23" t="inlineStr">
        <is>
          <t>70x100 1/32</t>
        </is>
      </c>
      <c r="L808" s="23" t="inlineStr">
        <is>
          <t>мяг</t>
        </is>
      </c>
      <c r="M808" s="23" t="n">
        <v>192</v>
      </c>
      <c r="N808" s="23" t="n">
        <v>2017</v>
      </c>
      <c r="O808" s="23" t="n">
        <v>90</v>
      </c>
      <c r="P808" s="23" t="n"/>
      <c r="Q808" s="23" t="n"/>
      <c r="R808" s="25" t="n"/>
      <c r="S808" s="26">
        <f>HYPERLINK("http://www.cnpol.ru/covers/17659.jpg","фото на сайте")</f>
        <v/>
      </c>
    </row>
    <row r="809" ht="50.1" customHeight="1" s="3">
      <c r="A809" s="23" t="n"/>
      <c r="B809" s="24" t="inlineStr">
        <is>
          <t>18965</t>
        </is>
      </c>
      <c r="C809" s="23" t="inlineStr">
        <is>
          <t>ИНТРИГА</t>
        </is>
      </c>
      <c r="D809" s="23" t="inlineStr">
        <is>
          <t>Миллер Л.</t>
        </is>
      </c>
      <c r="E809" s="23" t="inlineStr">
        <is>
          <t>Свидания с детективом</t>
        </is>
      </c>
      <c r="F809" s="23" t="n">
        <v>73</v>
      </c>
      <c r="G809" s="23" t="n">
        <v>128</v>
      </c>
      <c r="H809" s="23" t="n">
        <v>10</v>
      </c>
      <c r="I809" s="23" t="n">
        <v>30</v>
      </c>
      <c r="J809" s="23" t="inlineStr">
        <is>
          <t>978-5-227-08895-6</t>
        </is>
      </c>
      <c r="K809" s="23" t="inlineStr">
        <is>
          <t>70x100 1/32</t>
        </is>
      </c>
      <c r="L809" s="23" t="inlineStr">
        <is>
          <t>мяг</t>
        </is>
      </c>
      <c r="M809" s="23" t="n">
        <v>192</v>
      </c>
      <c r="N809" s="23" t="n">
        <v>2019</v>
      </c>
      <c r="O809" s="23" t="n">
        <v>90</v>
      </c>
      <c r="P809" s="23" t="n"/>
      <c r="Q809" s="23" t="n"/>
      <c r="R809" s="25" t="n"/>
      <c r="S809" s="26">
        <f>HYPERLINK("http://www.cnpol.ru/covers/18965.jpg","фото на сайте")</f>
        <v/>
      </c>
    </row>
    <row r="810" ht="50.1" customHeight="1" s="3">
      <c r="A810" s="23" t="n"/>
      <c r="B810" s="24" t="inlineStr">
        <is>
          <t>16908</t>
        </is>
      </c>
      <c r="C810" s="23" t="inlineStr">
        <is>
          <t>ИНТРИГА</t>
        </is>
      </c>
      <c r="D810" s="23" t="inlineStr">
        <is>
          <t>Грейвс Пола</t>
        </is>
      </c>
      <c r="E810" s="23" t="inlineStr">
        <is>
          <t>Секретное досье на любимого</t>
        </is>
      </c>
      <c r="F810" s="23" t="n">
        <v>32</v>
      </c>
      <c r="G810" s="23" t="n">
        <v>128</v>
      </c>
      <c r="H810" s="23" t="n">
        <v>10</v>
      </c>
      <c r="I810" s="23" t="n">
        <v>30</v>
      </c>
      <c r="J810" s="23" t="inlineStr">
        <is>
          <t>978-5-227-06938-2</t>
        </is>
      </c>
      <c r="K810" s="23" t="inlineStr">
        <is>
          <t>70x100 1/32</t>
        </is>
      </c>
      <c r="L810" s="23" t="inlineStr">
        <is>
          <t>мяг</t>
        </is>
      </c>
      <c r="M810" s="23" t="n">
        <v>192</v>
      </c>
      <c r="N810" s="23" t="n">
        <v>2016</v>
      </c>
      <c r="O810" s="23" t="n">
        <v>90</v>
      </c>
      <c r="P810" s="23" t="n"/>
      <c r="Q810" s="23" t="n"/>
      <c r="R810" s="25" t="n"/>
      <c r="S810" s="26">
        <f>HYPERLINK("http://www.cnpol.ru/covers/16908.jpg","фото на сайте")</f>
        <v/>
      </c>
    </row>
    <row r="811" ht="50.1" customHeight="1" s="3">
      <c r="A811" s="23" t="n"/>
      <c r="B811" s="24" t="inlineStr">
        <is>
          <t>18893</t>
        </is>
      </c>
      <c r="C811" s="23" t="inlineStr">
        <is>
          <t>ИНТРИГА</t>
        </is>
      </c>
      <c r="D811" s="23" t="inlineStr">
        <is>
          <t>Грейвс Пола</t>
        </is>
      </c>
      <c r="E811" s="23" t="inlineStr">
        <is>
          <t>Скандал в день свадьбы</t>
        </is>
      </c>
      <c r="F811" s="23" t="n">
        <v>71</v>
      </c>
      <c r="G811" s="23" t="n">
        <v>128</v>
      </c>
      <c r="H811" s="23" t="n">
        <v>10</v>
      </c>
      <c r="I811" s="23" t="n">
        <v>30</v>
      </c>
      <c r="J811" s="23" t="inlineStr">
        <is>
          <t>978-5-227-08784-3</t>
        </is>
      </c>
      <c r="K811" s="23" t="inlineStr">
        <is>
          <t>70x100 1/32</t>
        </is>
      </c>
      <c r="L811" s="23" t="inlineStr">
        <is>
          <t>мяг</t>
        </is>
      </c>
      <c r="M811" s="23" t="n">
        <v>192</v>
      </c>
      <c r="N811" s="23" t="n">
        <v>2019</v>
      </c>
      <c r="O811" s="23" t="n">
        <v>90</v>
      </c>
      <c r="P811" s="23" t="n"/>
      <c r="Q811" s="23" t="n"/>
      <c r="R811" s="25" t="n"/>
      <c r="S811" s="26">
        <f>HYPERLINK("http://www.cnpol.ru/covers/18893.jpg","фото на сайте")</f>
        <v/>
      </c>
    </row>
    <row r="812" ht="50.1" customHeight="1" s="3">
      <c r="A812" s="23" t="n"/>
      <c r="B812" s="24" t="inlineStr">
        <is>
          <t>17768</t>
        </is>
      </c>
      <c r="C812" s="23" t="inlineStr">
        <is>
          <t>ИНТРИГА</t>
        </is>
      </c>
      <c r="D812" s="23" t="inlineStr">
        <is>
          <t>Диас Л</t>
        </is>
      </c>
      <c r="E812" s="23" t="inlineStr">
        <is>
          <t>Сладкие сны любви</t>
        </is>
      </c>
      <c r="F812" s="23" t="n">
        <v>50</v>
      </c>
      <c r="G812" s="23" t="n">
        <v>128</v>
      </c>
      <c r="H812" s="23" t="n">
        <v>10</v>
      </c>
      <c r="I812" s="23" t="n">
        <v>36</v>
      </c>
      <c r="J812" s="23" t="inlineStr">
        <is>
          <t>978-5-227-07737-0</t>
        </is>
      </c>
      <c r="K812" s="23" t="inlineStr">
        <is>
          <t>70x100 1/32</t>
        </is>
      </c>
      <c r="L812" s="23" t="inlineStr">
        <is>
          <t>мяг</t>
        </is>
      </c>
      <c r="M812" s="23" t="n">
        <v>192</v>
      </c>
      <c r="N812" s="23" t="n">
        <v>2017</v>
      </c>
      <c r="O812" s="23" t="n">
        <v>90</v>
      </c>
      <c r="P812" s="23" t="n"/>
      <c r="Q812" s="23" t="n"/>
      <c r="R812" s="25" t="n"/>
      <c r="S812" s="26">
        <f>HYPERLINK("http://www.cnpol.ru/covers/17768.jpg","фото на сайте")</f>
        <v/>
      </c>
    </row>
    <row r="813" ht="50.1" customHeight="1" s="3">
      <c r="A813" s="23" t="n"/>
      <c r="B813" s="24" t="inlineStr">
        <is>
          <t>18385</t>
        </is>
      </c>
      <c r="C813" s="23" t="inlineStr">
        <is>
          <t>ИНТРИГА</t>
        </is>
      </c>
      <c r="D813" s="23" t="inlineStr">
        <is>
          <t>Снелл Тайлер Энн</t>
        </is>
      </c>
      <c r="E813" s="23" t="inlineStr">
        <is>
          <t>Случайное счастье</t>
        </is>
      </c>
      <c r="F813" s="23" t="n">
        <v>61</v>
      </c>
      <c r="G813" s="23" t="n">
        <v>128</v>
      </c>
      <c r="H813" s="23" t="n">
        <v>10</v>
      </c>
      <c r="I813" s="23" t="n">
        <v>30</v>
      </c>
      <c r="J813" s="23" t="inlineStr">
        <is>
          <t>978-5-227-08371-5</t>
        </is>
      </c>
      <c r="K813" s="23" t="inlineStr">
        <is>
          <t>70x100 1/32</t>
        </is>
      </c>
      <c r="L813" s="23" t="inlineStr">
        <is>
          <t>мяг</t>
        </is>
      </c>
      <c r="M813" s="23" t="n">
        <v>192</v>
      </c>
      <c r="N813" s="23" t="n">
        <v>2018</v>
      </c>
      <c r="O813" s="23" t="n">
        <v>90</v>
      </c>
      <c r="P813" s="23" t="n"/>
      <c r="Q813" s="23" t="n"/>
      <c r="R813" s="25" t="n"/>
      <c r="S813" s="26">
        <f>HYPERLINK("http://www.cnpol.ru/covers/18385.jpg","фото на сайте")</f>
        <v/>
      </c>
    </row>
    <row r="814" ht="50.1" customHeight="1" s="3">
      <c r="A814" s="23" t="n"/>
      <c r="B814" s="24" t="inlineStr">
        <is>
          <t>18502</t>
        </is>
      </c>
      <c r="C814" s="23" t="inlineStr">
        <is>
          <t>ИНТРИГА</t>
        </is>
      </c>
      <c r="D814" s="23" t="inlineStr">
        <is>
          <t>Кэссиди К.</t>
        </is>
      </c>
      <c r="E814" s="23" t="inlineStr">
        <is>
          <t>Случайные партнеры</t>
        </is>
      </c>
      <c r="F814" s="23" t="n">
        <v>63</v>
      </c>
      <c r="G814" s="23" t="n">
        <v>128</v>
      </c>
      <c r="H814" s="23" t="n">
        <v>10</v>
      </c>
      <c r="I814" s="23" t="n">
        <v>30</v>
      </c>
      <c r="J814" s="23" t="inlineStr">
        <is>
          <t>978-5-227-08426-2</t>
        </is>
      </c>
      <c r="K814" s="23" t="inlineStr">
        <is>
          <t>70x100 1/32</t>
        </is>
      </c>
      <c r="L814" s="23" t="inlineStr">
        <is>
          <t>мяг</t>
        </is>
      </c>
      <c r="M814" s="23" t="n">
        <v>192</v>
      </c>
      <c r="N814" s="23" t="n">
        <v>2019</v>
      </c>
      <c r="O814" s="23" t="n">
        <v>88</v>
      </c>
      <c r="P814" s="23" t="n"/>
      <c r="Q814" s="23" t="n"/>
      <c r="R814" s="25" t="n"/>
      <c r="S814" s="26">
        <f>HYPERLINK("http://www.cnpol.ru/covers/18502.jpg","фото на сайте")</f>
        <v/>
      </c>
    </row>
    <row r="815" ht="50.1" customHeight="1" s="3">
      <c r="A815" s="23" t="n"/>
      <c r="B815" s="24" t="inlineStr">
        <is>
          <t>16988</t>
        </is>
      </c>
      <c r="C815" s="23" t="inlineStr">
        <is>
          <t>ИНТРИГА</t>
        </is>
      </c>
      <c r="D815" s="23" t="inlineStr">
        <is>
          <t>Крауч Д.</t>
        </is>
      </c>
      <c r="E815" s="23" t="inlineStr">
        <is>
          <t>Спасательный круг для любимой</t>
        </is>
      </c>
      <c r="F815" s="23" t="n">
        <v>33</v>
      </c>
      <c r="G815" s="23" t="n">
        <v>128</v>
      </c>
      <c r="H815" s="23" t="n">
        <v>10</v>
      </c>
      <c r="I815" s="23" t="n">
        <v>30</v>
      </c>
      <c r="J815" s="23" t="inlineStr">
        <is>
          <t>978-5-227-07055-5</t>
        </is>
      </c>
      <c r="K815" s="23" t="inlineStr">
        <is>
          <t>70x100 1/32</t>
        </is>
      </c>
      <c r="L815" s="23" t="inlineStr">
        <is>
          <t>мяг</t>
        </is>
      </c>
      <c r="M815" s="23" t="n">
        <v>190</v>
      </c>
      <c r="N815" s="23" t="n">
        <v>2016</v>
      </c>
      <c r="O815" s="23" t="n">
        <v>90</v>
      </c>
      <c r="P815" s="23" t="n"/>
      <c r="Q815" s="23" t="n"/>
      <c r="R815" s="25" t="n"/>
      <c r="S815" s="26">
        <f>HYPERLINK("http://www.cnpol.ru/covers/16988.jpg","фото на сайте")</f>
        <v/>
      </c>
    </row>
    <row r="816" ht="50.1" customHeight="1" s="3">
      <c r="A816" s="23" t="n"/>
      <c r="B816" s="24" t="inlineStr">
        <is>
          <t>15999</t>
        </is>
      </c>
      <c r="C816" s="23" t="inlineStr">
        <is>
          <t>ИНТРИГА</t>
        </is>
      </c>
      <c r="D816" s="23" t="inlineStr">
        <is>
          <t>Кэссиди К.</t>
        </is>
      </c>
      <c r="E816" s="23" t="inlineStr">
        <is>
          <t>Спасительная любовь</t>
        </is>
      </c>
      <c r="F816" s="23" t="n">
        <v>1</v>
      </c>
      <c r="G816" s="23" t="n">
        <v>128</v>
      </c>
      <c r="H816" s="23" t="n">
        <v>10</v>
      </c>
      <c r="I816" s="23" t="n">
        <v>30</v>
      </c>
      <c r="J816" s="23" t="inlineStr">
        <is>
          <t>978-5-227-05961-1</t>
        </is>
      </c>
      <c r="K816" s="23" t="inlineStr">
        <is>
          <t>70x100 1/32</t>
        </is>
      </c>
      <c r="L816" s="23" t="inlineStr">
        <is>
          <t>мяг</t>
        </is>
      </c>
      <c r="M816" s="23" t="n">
        <v>190</v>
      </c>
      <c r="N816" s="23" t="n">
        <v>2015</v>
      </c>
      <c r="O816" s="23" t="n">
        <v>90</v>
      </c>
      <c r="P816" s="23" t="n"/>
      <c r="Q816" s="23" t="n"/>
      <c r="R816" s="25" t="n"/>
      <c r="S816" s="26">
        <f>HYPERLINK("http://www.cnpol.ru/covers/15999.jpg","фото на сайте")</f>
        <v/>
      </c>
    </row>
    <row r="817" ht="50.1" customHeight="1" s="3">
      <c r="A817" s="23" t="n"/>
      <c r="B817" s="24" t="inlineStr">
        <is>
          <t>17426</t>
        </is>
      </c>
      <c r="C817" s="23" t="inlineStr">
        <is>
          <t>ИНТРИГА</t>
        </is>
      </c>
      <c r="D817" s="23" t="inlineStr">
        <is>
          <t>Лонг Б.</t>
        </is>
      </c>
      <c r="E817" s="23" t="inlineStr">
        <is>
          <t>Спасительный обман</t>
        </is>
      </c>
      <c r="F817" s="23" t="n">
        <v>44</v>
      </c>
      <c r="G817" s="23" t="n">
        <v>128</v>
      </c>
      <c r="H817" s="23" t="n">
        <v>10</v>
      </c>
      <c r="I817" s="23" t="n">
        <v>36</v>
      </c>
      <c r="J817" s="23" t="inlineStr">
        <is>
          <t>978-5-227-07327-3</t>
        </is>
      </c>
      <c r="K817" s="23" t="inlineStr">
        <is>
          <t>70x100 1/32</t>
        </is>
      </c>
      <c r="L817" s="23" t="inlineStr">
        <is>
          <t>мяг</t>
        </is>
      </c>
      <c r="M817" s="23" t="n">
        <v>192</v>
      </c>
      <c r="N817" s="23" t="n">
        <v>2017</v>
      </c>
      <c r="O817" s="23" t="n">
        <v>90</v>
      </c>
      <c r="P817" s="23" t="n"/>
      <c r="Q817" s="23" t="n"/>
      <c r="R817" s="25" t="n"/>
      <c r="S817" s="26">
        <f>HYPERLINK("http://www.cnpol.ru/covers/17426.jpg","фото на сайте")</f>
        <v/>
      </c>
    </row>
    <row r="818" ht="50.1" customHeight="1" s="3">
      <c r="A818" s="23" t="n"/>
      <c r="B818" s="24" t="inlineStr">
        <is>
          <t>18697</t>
        </is>
      </c>
      <c r="C818" s="23" t="inlineStr">
        <is>
          <t>ИНТРИГА</t>
        </is>
      </c>
      <c r="D818" s="23" t="inlineStr">
        <is>
          <t>Грейвс Пола</t>
        </is>
      </c>
      <c r="E818" s="23" t="inlineStr">
        <is>
          <t>Сюрприз для богатой и знаменитой</t>
        </is>
      </c>
      <c r="F818" s="23" t="n">
        <v>67</v>
      </c>
      <c r="G818" s="23" t="n">
        <v>128</v>
      </c>
      <c r="H818" s="23" t="n">
        <v>10</v>
      </c>
      <c r="I818" s="23" t="n">
        <v>30</v>
      </c>
      <c r="J818" s="23" t="inlineStr">
        <is>
          <t>978-5-227-08598-6</t>
        </is>
      </c>
      <c r="K818" s="23" t="inlineStr">
        <is>
          <t>70x100 1/32</t>
        </is>
      </c>
      <c r="L818" s="23" t="inlineStr">
        <is>
          <t>мяг</t>
        </is>
      </c>
      <c r="M818" s="23" t="n">
        <v>192</v>
      </c>
      <c r="N818" s="23" t="n">
        <v>2019</v>
      </c>
      <c r="O818" s="23" t="n">
        <v>90</v>
      </c>
      <c r="P818" s="23" t="n"/>
      <c r="Q818" s="23" t="n"/>
      <c r="R818" s="25" t="n"/>
      <c r="S818" s="26">
        <f>HYPERLINK("http://www.cnpol.ru/covers/18697.jpg","фото на сайте")</f>
        <v/>
      </c>
    </row>
    <row r="819" ht="50.1" customHeight="1" s="3">
      <c r="A819" s="23" t="n"/>
      <c r="B819" s="24" t="inlineStr">
        <is>
          <t>16547</t>
        </is>
      </c>
      <c r="C819" s="23" t="inlineStr">
        <is>
          <t>ИНТРИГА</t>
        </is>
      </c>
      <c r="D819" s="23" t="inlineStr">
        <is>
          <t>Крауч Д.</t>
        </is>
      </c>
      <c r="E819" s="23" t="inlineStr">
        <is>
          <t>Сюрприз от Меган</t>
        </is>
      </c>
      <c r="F819" s="23" t="n">
        <v>19</v>
      </c>
      <c r="G819" s="23" t="n">
        <v>128</v>
      </c>
      <c r="H819" s="23" t="n">
        <v>10</v>
      </c>
      <c r="I819" s="23" t="n">
        <v>30</v>
      </c>
      <c r="J819" s="23" t="inlineStr">
        <is>
          <t>978-5-227-06501-8</t>
        </is>
      </c>
      <c r="K819" s="23" t="inlineStr">
        <is>
          <t>70x100 1/32</t>
        </is>
      </c>
      <c r="L819" s="23" t="inlineStr">
        <is>
          <t>мяг</t>
        </is>
      </c>
      <c r="M819" s="23" t="n">
        <v>192</v>
      </c>
      <c r="N819" s="23" t="n">
        <v>2016</v>
      </c>
      <c r="O819" s="23" t="n">
        <v>90</v>
      </c>
      <c r="P819" s="23" t="n"/>
      <c r="Q819" s="23" t="n"/>
      <c r="R819" s="25" t="n"/>
      <c r="S819" s="26">
        <f>HYPERLINK("http://www.cnpol.ru/covers/16547.jpg","фото на сайте")</f>
        <v/>
      </c>
    </row>
    <row r="820" ht="50.1" customHeight="1" s="3">
      <c r="A820" s="23" t="n"/>
      <c r="B820" s="24" t="inlineStr">
        <is>
          <t>16816</t>
        </is>
      </c>
      <c r="C820" s="23" t="inlineStr">
        <is>
          <t>ИНТРИГА</t>
        </is>
      </c>
      <c r="D820" s="23" t="inlineStr">
        <is>
          <t>Чайлдс Л</t>
        </is>
      </c>
      <c r="E820" s="23" t="inlineStr">
        <is>
          <t>Тайна свадебных платьев</t>
        </is>
      </c>
      <c r="F820" s="23" t="n">
        <v>27</v>
      </c>
      <c r="G820" s="23" t="n">
        <v>128</v>
      </c>
      <c r="H820" s="23" t="n">
        <v>10</v>
      </c>
      <c r="I820" s="23" t="n">
        <v>30</v>
      </c>
      <c r="J820" s="23" t="inlineStr">
        <is>
          <t>978-5-227-06805-7</t>
        </is>
      </c>
      <c r="K820" s="23" t="inlineStr">
        <is>
          <t>70x100 1/32</t>
        </is>
      </c>
      <c r="L820" s="23" t="inlineStr">
        <is>
          <t>мяг</t>
        </is>
      </c>
      <c r="M820" s="23" t="n">
        <v>192</v>
      </c>
      <c r="N820" s="23" t="n">
        <v>2016</v>
      </c>
      <c r="O820" s="23" t="n">
        <v>90</v>
      </c>
      <c r="P820" s="23" t="n"/>
      <c r="Q820" s="23" t="n"/>
      <c r="R820" s="25" t="n"/>
      <c r="S820" s="26">
        <f>HYPERLINK("http://www.cnpol.ru/covers/16816.jpg","фото на сайте")</f>
        <v/>
      </c>
    </row>
    <row r="821" ht="50.1" customHeight="1" s="3">
      <c r="A821" s="23" t="n"/>
      <c r="B821" s="24" t="inlineStr">
        <is>
          <t>19662</t>
        </is>
      </c>
      <c r="C821" s="23" t="inlineStr">
        <is>
          <t>ИНТРИГА</t>
        </is>
      </c>
      <c r="D821" s="23" t="inlineStr">
        <is>
          <t>Джеймс Э.</t>
        </is>
      </c>
      <c r="E821" s="23" t="inlineStr">
        <is>
          <t>Таинственная незнакомка</t>
        </is>
      </c>
      <c r="F821" s="23" t="n">
        <v>84</v>
      </c>
      <c r="G821" s="23" t="n">
        <v>128</v>
      </c>
      <c r="H821" s="23" t="n">
        <v>10</v>
      </c>
      <c r="I821" s="23" t="n">
        <v>28</v>
      </c>
      <c r="J821" s="23" t="inlineStr">
        <is>
          <t>978-5-227-09489-6</t>
        </is>
      </c>
      <c r="K821" s="23" t="inlineStr">
        <is>
          <t>70x100 1/32</t>
        </is>
      </c>
      <c r="L821" s="23" t="inlineStr">
        <is>
          <t>мяг</t>
        </is>
      </c>
      <c r="M821" s="23" t="n">
        <v>192</v>
      </c>
      <c r="N821" s="23" t="n">
        <v>2021</v>
      </c>
      <c r="O821" s="23" t="n">
        <v>90</v>
      </c>
      <c r="P821" s="23" t="n"/>
      <c r="Q821" s="23" t="n"/>
      <c r="R821" s="25" t="n"/>
      <c r="S821" s="26">
        <f>HYPERLINK("http://www.cnpol.ru/covers/19662.jpg","фото на сайте")</f>
        <v/>
      </c>
    </row>
    <row r="822" ht="50.1" customHeight="1" s="3">
      <c r="A822" s="23" t="n"/>
      <c r="B822" s="24" t="inlineStr">
        <is>
          <t>16361</t>
        </is>
      </c>
      <c r="C822" s="23" t="inlineStr">
        <is>
          <t>ИНТРИГА</t>
        </is>
      </c>
      <c r="D822" s="23" t="inlineStr">
        <is>
          <t>Кэссиди К.</t>
        </is>
      </c>
      <c r="E822" s="23" t="inlineStr">
        <is>
          <t>Тайный поклонник</t>
        </is>
      </c>
      <c r="F822" s="23" t="n">
        <v>13</v>
      </c>
      <c r="G822" s="23" t="n">
        <v>128</v>
      </c>
      <c r="H822" s="23" t="n">
        <v>10</v>
      </c>
      <c r="I822" s="23" t="n">
        <v>30</v>
      </c>
      <c r="J822" s="23" t="inlineStr">
        <is>
          <t>978-5-227-06269-7</t>
        </is>
      </c>
      <c r="K822" s="23" t="inlineStr">
        <is>
          <t>70x100 1/32</t>
        </is>
      </c>
      <c r="L822" s="23" t="inlineStr">
        <is>
          <t>мяг</t>
        </is>
      </c>
      <c r="M822" s="23" t="n">
        <v>192</v>
      </c>
      <c r="N822" s="23" t="n">
        <v>2015</v>
      </c>
      <c r="O822" s="23" t="n">
        <v>90</v>
      </c>
      <c r="P822" s="23" t="n"/>
      <c r="Q822" s="23" t="n"/>
      <c r="R822" s="25" t="n"/>
      <c r="S822" s="26">
        <f>HYPERLINK("http://www.cnpol.ru/covers/16361.jpg","фото на сайте")</f>
        <v/>
      </c>
    </row>
    <row r="823" ht="50.1" customHeight="1" s="3">
      <c r="A823" s="23" t="n"/>
      <c r="B823" s="24" t="inlineStr">
        <is>
          <t>19017</t>
        </is>
      </c>
      <c r="C823" s="23" t="inlineStr">
        <is>
          <t>ИНТРИГА</t>
        </is>
      </c>
      <c r="D823" s="23" t="inlineStr">
        <is>
          <t>Уэбб Д.</t>
        </is>
      </c>
      <c r="E823" s="23" t="inlineStr">
        <is>
          <t>Тень прошлого</t>
        </is>
      </c>
      <c r="F823" s="23" t="n">
        <v>74</v>
      </c>
      <c r="G823" s="23" t="n">
        <v>128</v>
      </c>
      <c r="H823" s="23" t="n">
        <v>10</v>
      </c>
      <c r="I823" s="23" t="n">
        <v>30</v>
      </c>
      <c r="J823" s="23" t="inlineStr">
        <is>
          <t>978-5-227-08924-3</t>
        </is>
      </c>
      <c r="K823" s="23" t="inlineStr">
        <is>
          <t>70x100 1/32</t>
        </is>
      </c>
      <c r="L823" s="23" t="inlineStr">
        <is>
          <t>мяг</t>
        </is>
      </c>
      <c r="M823" s="23" t="n">
        <v>192</v>
      </c>
      <c r="N823" s="23" t="n">
        <v>2020</v>
      </c>
      <c r="O823" s="23" t="n">
        <v>90</v>
      </c>
      <c r="P823" s="23" t="n"/>
      <c r="Q823" s="23" t="n"/>
      <c r="R823" s="25" t="n"/>
      <c r="S823" s="26">
        <f>HYPERLINK("http://www.cnpol.ru/covers/19017.jpg","фото на сайте")</f>
        <v/>
      </c>
    </row>
    <row r="824" ht="50.1" customHeight="1" s="3">
      <c r="A824" s="23" t="n"/>
      <c r="B824" s="24" t="inlineStr">
        <is>
          <t>16897</t>
        </is>
      </c>
      <c r="C824" s="23" t="inlineStr">
        <is>
          <t>ИНТРИГА</t>
        </is>
      </c>
      <c r="D824" s="23" t="inlineStr">
        <is>
          <t>Кейн М.</t>
        </is>
      </c>
      <c r="E824" s="23" t="inlineStr">
        <is>
          <t>Третье чудо</t>
        </is>
      </c>
      <c r="F824" s="23" t="n">
        <v>30</v>
      </c>
      <c r="G824" s="23" t="n">
        <v>128</v>
      </c>
      <c r="H824" s="23" t="n">
        <v>10</v>
      </c>
      <c r="I824" s="23" t="n">
        <v>36</v>
      </c>
      <c r="J824" s="23" t="inlineStr">
        <is>
          <t>978-5-227-06840-8</t>
        </is>
      </c>
      <c r="K824" s="23" t="inlineStr">
        <is>
          <t>70x100 1/32</t>
        </is>
      </c>
      <c r="L824" s="23" t="inlineStr">
        <is>
          <t>мяг</t>
        </is>
      </c>
      <c r="M824" s="23" t="n">
        <v>192</v>
      </c>
      <c r="N824" s="23" t="n">
        <v>2016</v>
      </c>
      <c r="O824" s="23" t="n">
        <v>90</v>
      </c>
      <c r="P824" s="23" t="n"/>
      <c r="Q824" s="23" t="n"/>
      <c r="R824" s="25" t="n"/>
      <c r="S824" s="26">
        <f>HYPERLINK("http://www.cnpol.ru/covers/16897.jpg","фото на сайте")</f>
        <v/>
      </c>
    </row>
    <row r="825" ht="50.1" customHeight="1" s="3">
      <c r="A825" s="23" t="n"/>
      <c r="B825" s="24" t="inlineStr">
        <is>
          <t>16583</t>
        </is>
      </c>
      <c r="C825" s="23" t="inlineStr">
        <is>
          <t>ИНТРИГА</t>
        </is>
      </c>
      <c r="D825" s="23" t="inlineStr">
        <is>
          <t>Снелл Тайлер Энн</t>
        </is>
      </c>
      <c r="E825" s="23" t="inlineStr">
        <is>
          <t>Третья женщина</t>
        </is>
      </c>
      <c r="F825" s="23" t="n">
        <v>22</v>
      </c>
      <c r="G825" s="23" t="n">
        <v>128</v>
      </c>
      <c r="H825" s="23" t="n">
        <v>10</v>
      </c>
      <c r="I825" s="23" t="n">
        <v>30</v>
      </c>
      <c r="J825" s="23" t="inlineStr">
        <is>
          <t>978-5-227-06539-1</t>
        </is>
      </c>
      <c r="K825" s="23" t="inlineStr">
        <is>
          <t>70x100 1/32</t>
        </is>
      </c>
      <c r="L825" s="23" t="inlineStr">
        <is>
          <t>мяг</t>
        </is>
      </c>
      <c r="M825" s="23" t="n">
        <v>192</v>
      </c>
      <c r="N825" s="23" t="n">
        <v>2016</v>
      </c>
      <c r="O825" s="23" t="n">
        <v>90</v>
      </c>
      <c r="P825" s="23" t="n"/>
      <c r="Q825" s="23" t="n"/>
      <c r="R825" s="25" t="n"/>
      <c r="S825" s="26">
        <f>HYPERLINK("http://www.cnpol.ru/covers/16583.jpg","фото на сайте")</f>
        <v/>
      </c>
    </row>
    <row r="826" ht="50.1" customHeight="1" s="3">
      <c r="A826" s="23" t="n"/>
      <c r="B826" s="24" t="inlineStr">
        <is>
          <t>18927</t>
        </is>
      </c>
      <c r="C826" s="23" t="inlineStr">
        <is>
          <t>ИНТРИГА</t>
        </is>
      </c>
      <c r="D826" s="23" t="inlineStr">
        <is>
          <t>Эрскин Б.</t>
        </is>
      </c>
      <c r="E826" s="23" t="inlineStr">
        <is>
          <t>Шанс переписать прошлое</t>
        </is>
      </c>
      <c r="F826" s="23" t="n">
        <v>72</v>
      </c>
      <c r="G826" s="23" t="n">
        <v>128</v>
      </c>
      <c r="H826" s="23" t="n">
        <v>10</v>
      </c>
      <c r="I826" s="23" t="n">
        <v>30</v>
      </c>
      <c r="J826" s="23" t="inlineStr">
        <is>
          <t>978-5-227-08831-4</t>
        </is>
      </c>
      <c r="K826" s="23" t="inlineStr">
        <is>
          <t>70x100 1/32</t>
        </is>
      </c>
      <c r="L826" s="23" t="inlineStr">
        <is>
          <t>мяг</t>
        </is>
      </c>
      <c r="M826" s="23" t="n">
        <v>192</v>
      </c>
      <c r="N826" s="23" t="n">
        <v>2019</v>
      </c>
      <c r="O826" s="23" t="n">
        <v>90</v>
      </c>
      <c r="P826" s="23" t="n"/>
      <c r="Q826" s="23" t="n"/>
      <c r="R826" s="25" t="n"/>
      <c r="S826" s="26">
        <f>HYPERLINK("http://www.cnpol.ru/covers/18927.jpg","фото на сайте")</f>
        <v/>
      </c>
    </row>
    <row r="827" ht="50.1" customHeight="1" s="3">
      <c r="A827" s="23" t="inlineStr">
        <is>
          <t>Н</t>
        </is>
      </c>
      <c r="B827" s="24" t="inlineStr">
        <is>
          <t>21546</t>
        </is>
      </c>
      <c r="C827" s="23" t="inlineStr">
        <is>
          <t>ИП НОВ</t>
        </is>
      </c>
      <c r="D827" s="23" t="inlineStr">
        <is>
          <t>Делдерфилд Р.Ф.</t>
        </is>
      </c>
      <c r="E827" s="23" t="inlineStr">
        <is>
          <t>Братья и сестры Наполеона: Исторические портреты</t>
        </is>
      </c>
      <c r="F827" s="23" t="inlineStr">
        <is>
          <t>        </t>
        </is>
      </c>
      <c r="G827" s="27" t="n">
        <v>1246</v>
      </c>
      <c r="H827" s="23" t="n">
        <v>10</v>
      </c>
      <c r="I827" s="23" t="n">
        <v>10</v>
      </c>
      <c r="J827" s="23" t="inlineStr">
        <is>
          <t>978-5-9524-5805-5</t>
        </is>
      </c>
      <c r="K827" s="23" t="inlineStr">
        <is>
          <t>84x108 1/32</t>
        </is>
      </c>
      <c r="L827" s="23" t="inlineStr">
        <is>
          <t>тв</t>
        </is>
      </c>
      <c r="M827" s="23" t="n">
        <v>395</v>
      </c>
      <c r="N827" s="23" t="n">
        <v>2025</v>
      </c>
      <c r="O827" s="23" t="n">
        <v>604</v>
      </c>
      <c r="P827" s="23" t="n"/>
      <c r="Q827" s="23" t="n"/>
      <c r="R827" s="25" t="inlineStr">
        <is>
          <t>Книга Р.Ф. Делдерфилда — это увлекательные жизнеописания родственников Наполеона, которые сумели подняться к вершинам власти, стали коронованными особами и породнились со многими королевскими домами Европы. Автор подробно рассказывает об их талантах, недостатках, деяниях, а также о судьбе их семей после роковой битвы при Ватерлоо, краха империи и возвращения на французский престол династии Бурбонов.</t>
        </is>
      </c>
      <c r="S827" s="26">
        <f>HYPERLINK("http://www.cnpol.ru/covers/21546.jpg","фото на сайте")</f>
        <v/>
      </c>
    </row>
    <row r="828" ht="50.1" customHeight="1" s="3">
      <c r="A828" s="23" t="n"/>
      <c r="B828" s="24" t="inlineStr">
        <is>
          <t>20323</t>
        </is>
      </c>
      <c r="C828" s="23" t="inlineStr">
        <is>
          <t>ИП НОВ</t>
        </is>
      </c>
      <c r="D828" s="23" t="inlineStr">
        <is>
          <t>Делдерфилд Р.Ф.</t>
        </is>
      </c>
      <c r="E828" s="23" t="inlineStr">
        <is>
          <t>Жены и любовницы Наполеона: Исторические портреты</t>
        </is>
      </c>
      <c r="F828" s="23" t="inlineStr">
        <is>
          <t>        </t>
        </is>
      </c>
      <c r="G828" s="27" t="n">
        <v>1152</v>
      </c>
      <c r="H828" s="23" t="n">
        <v>10</v>
      </c>
      <c r="I828" s="23" t="n">
        <v>10</v>
      </c>
      <c r="J828" s="23" t="inlineStr">
        <is>
          <t>978-5-9524-5830-7</t>
        </is>
      </c>
      <c r="K828" s="23" t="inlineStr">
        <is>
          <t>84x108 1/32</t>
        </is>
      </c>
      <c r="L828" s="23" t="inlineStr">
        <is>
          <t>тв</t>
        </is>
      </c>
      <c r="M828" s="23" t="n">
        <v>397</v>
      </c>
      <c r="N828" s="23" t="n">
        <v>2022</v>
      </c>
      <c r="O828" s="23" t="n">
        <v>320</v>
      </c>
      <c r="P828" s="23" t="n"/>
      <c r="Q828" s="23" t="n"/>
      <c r="R828" s="25" t="inlineStr">
        <is>
          <t>Прошло уже почти два столетия с тех пор, как тело Наполеона Бонапарта предали земле, но образ его продолжает завораживать каждое новое поколение. Данная книга раскрывает одну из сторон этой удивительной легендарной личности. Наполеон здесь не осуждается и не оправдывается — автор лишь показывает многогранность его натуры. Это рассказ об одиссее, длинном и насыщенном событиями путешествии, проделанном одиноким человеком в поисках идеальной спутницы...</t>
        </is>
      </c>
      <c r="S828" s="26">
        <f>HYPERLINK("http://www.cnpol.ru/covers/20323.jpg","фото на сайте")</f>
        <v/>
      </c>
    </row>
    <row r="829" ht="50.1" customHeight="1" s="3">
      <c r="A829" s="23" t="n"/>
      <c r="B829" s="24" t="inlineStr">
        <is>
          <t>20779</t>
        </is>
      </c>
      <c r="C829" s="23" t="inlineStr">
        <is>
          <t>ИП НОВ</t>
        </is>
      </c>
      <c r="D829" s="23" t="inlineStr">
        <is>
          <t>Делдерфилд Р.Ф.</t>
        </is>
      </c>
      <c r="E829" s="23" t="inlineStr">
        <is>
          <t>Крушение империи Наполеона: Военно-исторические хроники</t>
        </is>
      </c>
      <c r="F829" s="23" t="inlineStr">
        <is>
          <t>        </t>
        </is>
      </c>
      <c r="G829" s="27" t="n">
        <v>1124</v>
      </c>
      <c r="H829" s="23" t="n">
        <v>10</v>
      </c>
      <c r="I829" s="23" t="n">
        <v>10</v>
      </c>
      <c r="J829" s="23" t="inlineStr">
        <is>
          <t>978-5-9524-5804-8</t>
        </is>
      </c>
      <c r="K829" s="23" t="inlineStr">
        <is>
          <t>84x108 1/32</t>
        </is>
      </c>
      <c r="L829" s="23" t="inlineStr">
        <is>
          <t>тв</t>
        </is>
      </c>
      <c r="M829" s="23" t="n">
        <v>444</v>
      </c>
      <c r="N829" s="23" t="n">
        <v>2023</v>
      </c>
      <c r="O829" s="23" t="n">
        <v>479</v>
      </c>
      <c r="P829" s="23" t="n"/>
      <c r="Q829" s="23" t="n"/>
      <c r="R829" s="25" t="inlineStr">
        <is>
          <t>В книге в хронологическом порядке рассмотрены события последнего года правления Наполеона, дан подробный анализ сильных и слабых сторон имперского режима, причин успехов Наполеона до 1812 года и его поражений в Испании и России. Описание сражений, карты-схемы и выдержки из документов того времени дополняют картину военно-политической обстановки в Европе и помогают воссоздать дух далекой эпохи.</t>
        </is>
      </c>
      <c r="S829" s="26">
        <f>HYPERLINK("http://www.cnpol.ru/covers/20779.jpg","фото на сайте")</f>
        <v/>
      </c>
    </row>
    <row r="830" ht="50.1" customHeight="1" s="3">
      <c r="A830" s="23" t="inlineStr">
        <is>
          <t>Д</t>
        </is>
      </c>
      <c r="B830" s="24" t="inlineStr">
        <is>
          <t>21977</t>
        </is>
      </c>
      <c r="C830" s="23" t="inlineStr">
        <is>
          <t>ИП НОВ</t>
        </is>
      </c>
      <c r="D830" s="23" t="inlineStr">
        <is>
          <t>Делдерфилд Р.Ф.</t>
        </is>
      </c>
      <c r="E830" s="23" t="inlineStr">
        <is>
          <t>Маршалы Наполеона: Исторические портреты</t>
        </is>
      </c>
      <c r="F830" s="23" t="inlineStr">
        <is>
          <t>        </t>
        </is>
      </c>
      <c r="G830" s="27" t="n">
        <v>1278</v>
      </c>
      <c r="H830" s="23" t="n">
        <v>10</v>
      </c>
      <c r="I830" s="23" t="n">
        <v>5</v>
      </c>
      <c r="J830" s="23" t="inlineStr">
        <is>
          <t>978-5-9524-6609-8</t>
        </is>
      </c>
      <c r="K830" s="23" t="inlineStr">
        <is>
          <t>84x108 1/32</t>
        </is>
      </c>
      <c r="L830" s="23" t="inlineStr">
        <is>
          <t>тв</t>
        </is>
      </c>
      <c r="M830" s="23" t="n">
        <v>444</v>
      </c>
      <c r="N830" s="23" t="n">
        <v>2026</v>
      </c>
      <c r="O830" s="23" t="n">
        <v>483</v>
      </c>
      <c r="P830" s="23" t="n"/>
      <c r="Q830" s="23" t="n"/>
      <c r="R830" s="25" t="inlineStr">
        <is>
          <t>В книге рассказывается о жизни двадцати шести знаменитых полководцев, которые получили свой маршальский жезл от Наполеона. Это были люди самого разного происхождения: от аристократов до выходцев из низших слоев общества. Читатель узнает, с чего начинали эти храбрые и честолюбивые люди, как относились к власти, с чем пришли к концу жизни и как вели себя по отношению к человеку, которому были обязаны своим высоким положением. Книга поможет понять влияние Наполеона на людей его поколения и на политическую ситуацию в Европе.</t>
        </is>
      </c>
      <c r="S830" s="26">
        <f>HYPERLINK("http://www.cnpol.ru/covers/21977.jpg","фото на сайте")</f>
        <v/>
      </c>
    </row>
    <row r="831" ht="50.1" customHeight="1" s="3">
      <c r="A831" s="23" t="inlineStr">
        <is>
          <t>Д</t>
        </is>
      </c>
      <c r="B831" s="24" t="inlineStr">
        <is>
          <t>21777</t>
        </is>
      </c>
      <c r="C831" s="23" t="inlineStr">
        <is>
          <t>ИП НОВ</t>
        </is>
      </c>
      <c r="D831" s="23" t="inlineStr">
        <is>
          <t>Делдерфилд Р.Ф.</t>
        </is>
      </c>
      <c r="E831" s="23" t="inlineStr">
        <is>
          <t>Наполеон. Изгнание из Москвы</t>
        </is>
      </c>
      <c r="F831" s="23" t="inlineStr">
        <is>
          <t>        </t>
        </is>
      </c>
      <c r="G831" s="27" t="n">
        <v>1124</v>
      </c>
      <c r="H831" s="23" t="n">
        <v>10</v>
      </c>
      <c r="I831" s="23" t="n">
        <v>5</v>
      </c>
      <c r="J831" s="23" t="inlineStr">
        <is>
          <t>978-5-9524-6517-6</t>
        </is>
      </c>
      <c r="K831" s="23" t="inlineStr">
        <is>
          <t>84x108 1/32</t>
        </is>
      </c>
      <c r="L831" s="23" t="inlineStr">
        <is>
          <t>тв</t>
        </is>
      </c>
      <c r="M831" s="23" t="n">
        <v>381</v>
      </c>
      <c r="N831" s="23" t="n">
        <v>2025</v>
      </c>
      <c r="O831" s="23" t="n">
        <v>455</v>
      </c>
      <c r="P831" s="23" t="n"/>
      <c r="Q831" s="23" t="n"/>
      <c r="R831" s="25" t="inlineStr">
        <is>
          <t>Интереснейшее исследование реальных событий русской военной кампании Наполеона 1812 года, признанной самой страшной катастрофой XIX века. Автор раскрывает причины и последствия противостояния русского и французского самодержцев, дает объективные портреты Наполеона и русского монарха Александра I. В книге рассмотрена военно-политическая обстановка в Европе, дан подробный анализ военных стратегий противоборствующих имперских режимов, причин сокрушительного поражения Наполеона в России.</t>
        </is>
      </c>
      <c r="S831" s="26">
        <f>HYPERLINK("http://www.cnpol.ru/covers/21777.jpg","фото на сайте")</f>
        <v/>
      </c>
    </row>
    <row r="832" ht="50.1" customHeight="1" s="3">
      <c r="A832" s="23" t="inlineStr">
        <is>
          <t>Н</t>
        </is>
      </c>
      <c r="B832" s="24" t="inlineStr">
        <is>
          <t>21955</t>
        </is>
      </c>
      <c r="C832" s="23" t="inlineStr">
        <is>
          <t>ИР ХП</t>
        </is>
      </c>
      <c r="D832" s="23" t="inlineStr">
        <is>
          <t>Лок Н.</t>
        </is>
      </c>
      <c r="E832" s="23" t="inlineStr">
        <is>
          <t>Пленница мрачного лорда</t>
        </is>
      </c>
      <c r="F832" s="23" t="inlineStr">
        <is>
          <t>        </t>
        </is>
      </c>
      <c r="G832" s="23" t="n">
        <v>195</v>
      </c>
      <c r="H832" s="23" t="n">
        <v>10</v>
      </c>
      <c r="I832" s="23" t="n">
        <v>10</v>
      </c>
      <c r="J832" s="23" t="inlineStr">
        <is>
          <t>978-5-227-10801-2</t>
        </is>
      </c>
      <c r="K832" s="23" t="inlineStr">
        <is>
          <t>70x100 1/32</t>
        </is>
      </c>
      <c r="L832" s="23" t="inlineStr">
        <is>
          <t>мяг</t>
        </is>
      </c>
      <c r="M832" s="23" t="n">
        <v>255</v>
      </c>
      <c r="N832" s="23" t="n">
        <v>2024</v>
      </c>
      <c r="O832" s="23" t="n">
        <v>118</v>
      </c>
      <c r="P832" s="23" t="n"/>
      <c r="Q832" s="23" t="n"/>
      <c r="R832" s="25" t="inlineStr">
        <is>
          <t>Могущественный и непобедимый пограничный лорд Тиг из крепости Гвалчду получает написанные кровью послания, угрожающие расправой ему и его людям. В поисках злоумышленника он отправляется в Дамегский лес и встречает там девушку, прекрасную как ангел. В надежде вызволить своего ловчего ястреба красавица дикарка взбирается на дерево, но, не удержавшись, падает с высоты в объятия лорда. Тиг переносит израненную незнакомку в замок и запирает в своих покоях, подозревая, что та причастна к зловещим посланиям. Под неусыпной заботой лорда и его тетки пленница поправляется. Между Тигом и Анвен возникает и постепенно крепнет чувство, многократно превосходящее страсть. Преодолев взаимное недоверие, ее неприязнь и его властолюбие, победив таинственного врага, они по-настоящему обретают друг друга.</t>
        </is>
      </c>
      <c r="S832" s="26">
        <f>HYPERLINK("http://www.cnpol.ru/covers/21955.jpg","фото на сайте")</f>
        <v/>
      </c>
    </row>
    <row r="833" ht="50.1" customHeight="1" s="3">
      <c r="A833" s="23" t="inlineStr">
        <is>
          <t>Д</t>
        </is>
      </c>
      <c r="B833" s="24" t="inlineStr">
        <is>
          <t>22080</t>
        </is>
      </c>
      <c r="C833" s="23" t="inlineStr">
        <is>
          <t>ИР ХП</t>
        </is>
      </c>
      <c r="D833" s="23" t="inlineStr">
        <is>
          <t>Херрис Э.</t>
        </is>
      </c>
      <c r="E833" s="23" t="inlineStr">
        <is>
          <t>Пленница пиратов</t>
        </is>
      </c>
      <c r="F833" s="23" t="inlineStr">
        <is>
          <t>        </t>
        </is>
      </c>
      <c r="G833" s="23" t="n">
        <v>188</v>
      </c>
      <c r="H833" s="23" t="n">
        <v>10</v>
      </c>
      <c r="I833" s="23" t="n">
        <v>10</v>
      </c>
      <c r="J833" s="23" t="inlineStr">
        <is>
          <t>978-5-227-11244-6</t>
        </is>
      </c>
      <c r="K833" s="23" t="inlineStr">
        <is>
          <t>70x100 1/32</t>
        </is>
      </c>
      <c r="L833" s="23" t="inlineStr">
        <is>
          <t>мяг</t>
        </is>
      </c>
      <c r="M833" s="23" t="n">
        <v>255</v>
      </c>
      <c r="N833" s="23" t="n">
        <v>2024</v>
      </c>
      <c r="O833" s="23" t="n">
        <v>117</v>
      </c>
      <c r="P833" s="23" t="n"/>
      <c r="Q833" s="23" t="n"/>
      <c r="R833" s="25" t="inlineStr">
        <is>
          <t>После внезапной смерти своего юного супруга дочь испанского дона красавица Марибель не хочет снова вступать в брак, но отец принуждает ее. Желая завладеть состоянием, доставшимся дочери от мужа, он отправляет Марибель в Англию к жениху, которого она никогда не видела. По пути на корабль нападают пираты и красавицу захватывают в плен. Капитан пиратов сразу обращает на себя ее внимание. Он очень красив, к тому же единственный сын английского лорда. Однако из-за ложного обвинения в государственной измене Джастину грозит виселица. Молодые люди не в силах сдержать пожар охвативших их чувств. Любовь помогает преодолеть невероятные препятствия, встающие на пути к счастью.</t>
        </is>
      </c>
      <c r="S833" s="26">
        <f>HYPERLINK("http://www.cnpol.ru/covers/22080.jpg","фото на сайте")</f>
        <v/>
      </c>
    </row>
    <row r="834" ht="50.1" customHeight="1" s="3">
      <c r="A834" s="23" t="n"/>
      <c r="B834" s="24" t="inlineStr">
        <is>
          <t>12449</t>
        </is>
      </c>
      <c r="C834" s="23" t="inlineStr">
        <is>
          <t>ИР+</t>
        </is>
      </c>
      <c r="D834" s="23" t="inlineStr">
        <is>
          <t>Мортимер К.</t>
        </is>
      </c>
      <c r="E834" s="23" t="inlineStr">
        <is>
          <t>Золушка для герцога</t>
        </is>
      </c>
      <c r="F834" s="23" t="inlineStr">
        <is>
          <t>        </t>
        </is>
      </c>
      <c r="G834" s="23" t="n">
        <v>97</v>
      </c>
      <c r="H834" s="23" t="n">
        <v>10</v>
      </c>
      <c r="I834" s="23" t="n">
        <v>40</v>
      </c>
      <c r="J834" s="23" t="inlineStr">
        <is>
          <t>978-5-227-02600-2</t>
        </is>
      </c>
      <c r="K834" s="23" t="inlineStr">
        <is>
          <t>70x90 1/32</t>
        </is>
      </c>
      <c r="L834" s="23" t="inlineStr">
        <is>
          <t>мяг</t>
        </is>
      </c>
      <c r="M834" s="23" t="n">
        <v>253</v>
      </c>
      <c r="N834" s="23" t="n">
        <v>2011</v>
      </c>
      <c r="O834" s="23" t="n">
        <v>114</v>
      </c>
      <c r="P834" s="23" t="n"/>
      <c r="Q834" s="23" t="n"/>
      <c r="R834" s="25" t="inlineStr">
        <is>
          <t>Золушка не обязательно теряет туфельку. Джейн Смит, рыжеволосая воспитанница четы Салби, сама слетела с лестницы навстречу прекрасному принцу. Хок Сен-Клер, десятый герцог Сторбридж, единолично управлял поместьем, не находя женщины, достойной носить титул герцогини. Зеленоглазая красавица в желтом платье, с которой он так неожиданно столкнулся, была очаровательна. Герцог и оглянуться не успел, как Джейн поселилась в Малберри-Холле, его доме. Своенравная и по-детски наивная, она очень отличалась от столичных охотниц за титулом. Благородный красавец Хок тоже нравился Джейн. Но что может быть общего у герцога и дочери священника?</t>
        </is>
      </c>
      <c r="S834" s="26">
        <f>HYPERLINK("http://www.cnpol.ru/covers/12449.jpg","фото на сайте")</f>
        <v/>
      </c>
    </row>
    <row r="835" ht="50.1" customHeight="1" s="3">
      <c r="A835" s="23" t="n"/>
      <c r="B835" s="24" t="inlineStr">
        <is>
          <t>12574</t>
        </is>
      </c>
      <c r="C835" s="23" t="inlineStr">
        <is>
          <t>ИР+</t>
        </is>
      </c>
      <c r="D835" s="23" t="inlineStr">
        <is>
          <t>Аллен Л.</t>
        </is>
      </c>
      <c r="E835" s="23" t="inlineStr">
        <is>
          <t>Покорись страсти</t>
        </is>
      </c>
      <c r="F835" s="23" t="inlineStr">
        <is>
          <t>        </t>
        </is>
      </c>
      <c r="G835" s="23" t="n">
        <v>97</v>
      </c>
      <c r="H835" s="23" t="n">
        <v>10</v>
      </c>
      <c r="I835" s="23" t="n">
        <v>36</v>
      </c>
      <c r="J835" s="23" t="inlineStr">
        <is>
          <t>978-5-227-02755-9</t>
        </is>
      </c>
      <c r="K835" s="23" t="inlineStr">
        <is>
          <t>70x90 1/32</t>
        </is>
      </c>
      <c r="L835" s="23" t="inlineStr">
        <is>
          <t>мяг</t>
        </is>
      </c>
      <c r="M835" s="23" t="n">
        <v>254</v>
      </c>
      <c r="N835" s="23" t="n">
        <v>2011</v>
      </c>
      <c r="O835" s="23" t="n">
        <v>112</v>
      </c>
      <c r="P835" s="23" t="n"/>
      <c r="Q835" s="23" t="n"/>
      <c r="R835" s="25" t="n"/>
      <c r="S835" s="26">
        <f>HYPERLINK("http://www.cnpol.ru/covers/12574.jpg","фото на сайте")</f>
        <v/>
      </c>
    </row>
    <row r="836" ht="50.1" customHeight="1" s="3">
      <c r="A836" s="23" t="n"/>
      <c r="B836" s="24" t="inlineStr">
        <is>
          <t>12264</t>
        </is>
      </c>
      <c r="C836" s="23" t="inlineStr">
        <is>
          <t>ИР+</t>
        </is>
      </c>
      <c r="D836" s="23" t="inlineStr">
        <is>
          <t>Коуэн Дебра</t>
        </is>
      </c>
      <c r="E836" s="23" t="inlineStr">
        <is>
          <t>Ураган секретов</t>
        </is>
      </c>
      <c r="F836" s="23" t="inlineStr">
        <is>
          <t>        </t>
        </is>
      </c>
      <c r="G836" s="23" t="n">
        <v>97</v>
      </c>
      <c r="H836" s="23" t="n">
        <v>10</v>
      </c>
      <c r="I836" s="23" t="n">
        <v>30</v>
      </c>
      <c r="J836" s="23" t="inlineStr">
        <is>
          <t>978-5-227-02456-5</t>
        </is>
      </c>
      <c r="K836" s="23" t="inlineStr">
        <is>
          <t>70x90 1/32</t>
        </is>
      </c>
      <c r="L836" s="23" t="inlineStr">
        <is>
          <t>мяг</t>
        </is>
      </c>
      <c r="M836" s="23" t="n">
        <v>254</v>
      </c>
      <c r="N836" s="23" t="n">
        <v>2010</v>
      </c>
      <c r="O836" s="23" t="n">
        <v>112</v>
      </c>
      <c r="P836" s="23" t="n"/>
      <c r="Q836" s="23" t="n"/>
      <c r="R836" s="25" t="n"/>
      <c r="S836" s="26">
        <f>HYPERLINK("http://www.cnpol.ru/covers/12264.jpg","фото на сайте")</f>
        <v/>
      </c>
    </row>
    <row r="837" ht="50.1" customHeight="1" s="3">
      <c r="A837" s="23" t="n"/>
      <c r="B837" s="24" t="inlineStr">
        <is>
          <t>19048</t>
        </is>
      </c>
      <c r="C837" s="23" t="inlineStr">
        <is>
          <t>ИСТ Д</t>
        </is>
      </c>
      <c r="D837" s="23" t="inlineStr">
        <is>
          <t>Лавров В.В</t>
        </is>
      </c>
      <c r="E837" s="23" t="inlineStr">
        <is>
          <t>Блуд на крови</t>
        </is>
      </c>
      <c r="F837" s="23" t="inlineStr">
        <is>
          <t>        </t>
        </is>
      </c>
      <c r="G837" s="23" t="n">
        <v>888</v>
      </c>
      <c r="H837" s="23" t="n">
        <v>10</v>
      </c>
      <c r="I837" s="23" t="n">
        <v>12</v>
      </c>
      <c r="J837" s="23" t="inlineStr">
        <is>
          <t>978-5-227-07913-8</t>
        </is>
      </c>
      <c r="K837" s="23" t="inlineStr">
        <is>
          <t>84x108 1/32</t>
        </is>
      </c>
      <c r="L837" s="23" t="inlineStr">
        <is>
          <t>тв</t>
        </is>
      </c>
      <c r="M837" s="23" t="n">
        <v>416</v>
      </c>
      <c r="N837" s="23" t="n">
        <v>2020</v>
      </c>
      <c r="O837" s="23" t="n">
        <v>508</v>
      </c>
      <c r="P837" s="23" t="n"/>
      <c r="Q837" s="23" t="n"/>
      <c r="R837" s="25" t="inlineStr">
        <is>
          <t>«Блуд на крови» — книга, написанная в жанре русского исторического детектива. В книгу вошли рассказы о знаменитых преступлениях со времен Екатерины Великой до первых лет советской власти. С большой достоверностью описана блестящая работа ­талантливых российских сыщиков._x000D_
Книга содержит много интересных сведений из неизвестных прежде страниц российской истории</t>
        </is>
      </c>
      <c r="S837" s="26">
        <f>HYPERLINK("http://www.cnpol.ru/covers/19048.jpg","фото на сайте")</f>
        <v/>
      </c>
    </row>
    <row r="838" ht="50.1" customHeight="1" s="3">
      <c r="A838" s="23" t="n"/>
      <c r="B838" s="24" t="inlineStr">
        <is>
          <t>18858</t>
        </is>
      </c>
      <c r="C838" s="23" t="inlineStr">
        <is>
          <t>ИСТ Д</t>
        </is>
      </c>
      <c r="D838" s="23" t="inlineStr">
        <is>
          <t>Лавров В.В</t>
        </is>
      </c>
      <c r="E838" s="23" t="inlineStr">
        <is>
          <t>Граф Соколов — гений сыска</t>
        </is>
      </c>
      <c r="F838" s="23" t="inlineStr">
        <is>
          <t>        </t>
        </is>
      </c>
      <c r="G838" s="27" t="n">
        <v>1057</v>
      </c>
      <c r="H838" s="23" t="n">
        <v>10</v>
      </c>
      <c r="I838" s="23" t="n">
        <v>10</v>
      </c>
      <c r="J838" s="23" t="inlineStr">
        <is>
          <t>978-5-227-07904-6</t>
        </is>
      </c>
      <c r="K838" s="23" t="inlineStr">
        <is>
          <t>84x108 1/32</t>
        </is>
      </c>
      <c r="L838" s="23" t="inlineStr">
        <is>
          <t>тв</t>
        </is>
      </c>
      <c r="M838" s="23" t="n">
        <v>544</v>
      </c>
      <c r="N838" s="23" t="n">
        <v>2019</v>
      </c>
      <c r="O838" s="23" t="n">
        <v>588</v>
      </c>
      <c r="P838" s="23" t="n"/>
      <c r="Q838" s="23" t="n"/>
      <c r="R838" s="25" t="n"/>
      <c r="S838" s="26">
        <f>HYPERLINK("http://www.cnpol.ru/covers/18858.jpg","фото на сайте")</f>
        <v/>
      </c>
    </row>
    <row r="839" ht="50.1" customHeight="1" s="3">
      <c r="A839" s="23" t="inlineStr">
        <is>
          <t>Н</t>
        </is>
      </c>
      <c r="B839" s="24" t="inlineStr">
        <is>
          <t>22194</t>
        </is>
      </c>
      <c r="C839" s="23" t="inlineStr">
        <is>
          <t>ИСТ Д</t>
        </is>
      </c>
      <c r="D839" s="23" t="inlineStr">
        <is>
          <t>Уильямс А.</t>
        </is>
      </c>
      <c r="E839" s="23" t="inlineStr">
        <is>
          <t>Дневник Берии</t>
        </is>
      </c>
      <c r="F839" s="23" t="inlineStr">
        <is>
          <t>        </t>
        </is>
      </c>
      <c r="G839" s="23" t="n">
        <v>936</v>
      </c>
      <c r="H839" s="23" t="n">
        <v>10</v>
      </c>
      <c r="I839" s="23" t="n">
        <v>10</v>
      </c>
      <c r="J839" s="23" t="inlineStr">
        <is>
          <t>978-5-9524-6694-4</t>
        </is>
      </c>
      <c r="K839" s="23" t="inlineStr">
        <is>
          <t>84x108 1/32</t>
        </is>
      </c>
      <c r="L839" s="23" t="inlineStr">
        <is>
          <t>тв</t>
        </is>
      </c>
      <c r="M839" s="23" t="n">
        <v>287</v>
      </c>
      <c r="N839" s="23" t="n">
        <v>2026</v>
      </c>
      <c r="O839" s="23" t="n">
        <v>342</v>
      </c>
      <c r="P839" s="23" t="n"/>
      <c r="Q839" s="23" t="n"/>
      <c r="R839" s="25" t="inlineStr">
        <is>
          <t>1970-е годы, разгар холодной войны. Крупное американское издательство получает заманчивое предложение — опубликовать тайный дневник шефа госбезопасности СССР, вывезенный за железный занавес. Шокирующие откровения о жестоких расправах, грязных методах борьбы за власть и скандальные подробности о похождениях главы НКВД обладают убийственной достоверностью и способны скомпрометировать современное советское руководство. Воротилы книжного бизнеса готовы выложить миллионы за сенсационный материал, но требуются неопровержимые доказательства подлинности. За владельцем рукописи, советским перебежчиком Борисом Дробновым, устанавливают слежку. Кто он — меркантильный посредник или талантливый фальсификатор, затеявший опасную игру с призраком Берии?..</t>
        </is>
      </c>
      <c r="S839" s="26">
        <f>HYPERLINK("http://www.cnpol.ru/covers/22194.jpg","фото на сайте")</f>
        <v/>
      </c>
    </row>
    <row r="840" ht="50.1" customHeight="1" s="3">
      <c r="A840" s="23" t="n"/>
      <c r="B840" s="24" t="inlineStr">
        <is>
          <t>18859</t>
        </is>
      </c>
      <c r="C840" s="23" t="inlineStr">
        <is>
          <t>ИСТ Д</t>
        </is>
      </c>
      <c r="D840" s="23" t="inlineStr">
        <is>
          <t>Лавров В.В</t>
        </is>
      </c>
      <c r="E840" s="23" t="inlineStr">
        <is>
          <t>Железная хватка графа Соколова</t>
        </is>
      </c>
      <c r="F840" s="23" t="inlineStr">
        <is>
          <t>        </t>
        </is>
      </c>
      <c r="G840" s="23" t="n">
        <v>888</v>
      </c>
      <c r="H840" s="23" t="n">
        <v>10</v>
      </c>
      <c r="I840" s="23" t="n">
        <v>14</v>
      </c>
      <c r="J840" s="23" t="inlineStr">
        <is>
          <t>978-5-227-07905-3</t>
        </is>
      </c>
      <c r="K840" s="23" t="inlineStr">
        <is>
          <t>84x108 1/32</t>
        </is>
      </c>
      <c r="L840" s="23" t="inlineStr">
        <is>
          <t>тв</t>
        </is>
      </c>
      <c r="M840" s="23" t="n">
        <v>384</v>
      </c>
      <c r="N840" s="23" t="n">
        <v>2019</v>
      </c>
      <c r="O840" s="23" t="n">
        <v>436</v>
      </c>
      <c r="P840" s="23" t="n"/>
      <c r="Q840" s="23" t="n"/>
      <c r="R840" s="25" t="inlineStr">
        <is>
          <t>В начале XX века политические преступники подрывают устои Российской империи. Эсеры и большевики устраивают взрывы, ограбления банков и частных домов, устраняют наиболее честных и преданных России людей._x000D_
В борьбу со злодеями вступает знаменитый граф Соколов – гений сыска. Погони за террористами и смутьянами, которые готовили стране великие потрясения, приводят его в большевистское гнездо — к самому Ленину._x000D_
В историческом детективе в самых неожиданных положениях выступают Николай II, Г. Распутин, В. Ленин, И. Сталин, И. Арманд, Н. Крупская, Ф. Дзержинский._x000D_
Книга содержит много любопытных исторических сведений.</t>
        </is>
      </c>
      <c r="S840" s="26">
        <f>HYPERLINK("http://www.cnpol.ru/covers/18859.jpg","фото на сайте")</f>
        <v/>
      </c>
    </row>
    <row r="841" ht="50.1" customHeight="1" s="3">
      <c r="A841" s="23" t="n"/>
      <c r="B841" s="24" t="inlineStr">
        <is>
          <t>19238</t>
        </is>
      </c>
      <c r="C841" s="23" t="inlineStr">
        <is>
          <t>ИСТ Д</t>
        </is>
      </c>
      <c r="D841" s="23" t="inlineStr">
        <is>
          <t>Лавров В.В</t>
        </is>
      </c>
      <c r="E841" s="23" t="inlineStr">
        <is>
          <t>Катастрофа. Бунин. Роковые годы</t>
        </is>
      </c>
      <c r="F841" s="23" t="inlineStr">
        <is>
          <t>        </t>
        </is>
      </c>
      <c r="G841" s="27" t="n">
        <v>1183</v>
      </c>
      <c r="H841" s="23" t="n">
        <v>10</v>
      </c>
      <c r="I841" s="23" t="n">
        <v>6</v>
      </c>
      <c r="J841" s="23" t="inlineStr">
        <is>
          <t>978-5-227-07915-2</t>
        </is>
      </c>
      <c r="K841" s="23" t="inlineStr">
        <is>
          <t>84x108 1/32</t>
        </is>
      </c>
      <c r="L841" s="23" t="inlineStr">
        <is>
          <t>тв</t>
        </is>
      </c>
      <c r="M841" s="23" t="n">
        <v>832</v>
      </c>
      <c r="N841" s="23" t="n">
        <v>2020</v>
      </c>
      <c r="O841" s="23" t="n">
        <v>802</v>
      </c>
      <c r="P841" s="23" t="n"/>
      <c r="Q841" s="23" t="n"/>
      <c r="R841" s="25" t="inlineStr">
        <is>
          <t>Роман повествует о бурных и трагических событиях XX века: большевистском перевороте, кровавом терроре, укреплении диктаторских режимов в Европе, несчастной жизни россиян на чужбине. Среди десятков и десятков его персонажей — от петербургского извозчика до русской дамы, торгующей собой на панелях Стамбула, от Троцкого и Ленина до Муссолини и Сталина, от Рахманинова и Станиславского до Алексея Толстого и Марка Алданова — наиболее яркой фигурой является великий Бунин.</t>
        </is>
      </c>
      <c r="S841" s="26">
        <f>HYPERLINK("http://www.cnpol.ru/covers/19238.jpg","фото на сайте")</f>
        <v/>
      </c>
    </row>
    <row r="842" ht="50.1" customHeight="1" s="3">
      <c r="A842" s="23" t="n"/>
      <c r="B842" s="24" t="inlineStr">
        <is>
          <t>19056</t>
        </is>
      </c>
      <c r="C842" s="23" t="inlineStr">
        <is>
          <t>ИСТ Д</t>
        </is>
      </c>
      <c r="D842" s="23" t="inlineStr">
        <is>
          <t>Лавров В.В</t>
        </is>
      </c>
      <c r="E842" s="23" t="inlineStr">
        <is>
          <t>Кровавая плаха</t>
        </is>
      </c>
      <c r="F842" s="23" t="inlineStr">
        <is>
          <t>        </t>
        </is>
      </c>
      <c r="G842" s="23" t="n">
        <v>888</v>
      </c>
      <c r="H842" s="23" t="n">
        <v>10</v>
      </c>
      <c r="I842" s="23" t="n">
        <v>12</v>
      </c>
      <c r="J842" s="23" t="inlineStr">
        <is>
          <t>978-5-227-07912-1</t>
        </is>
      </c>
      <c r="K842" s="23" t="inlineStr">
        <is>
          <t>84x108 1/32</t>
        </is>
      </c>
      <c r="L842" s="23" t="inlineStr">
        <is>
          <t>тв</t>
        </is>
      </c>
      <c r="M842" s="23" t="n">
        <v>384</v>
      </c>
      <c r="N842" s="23" t="n">
        <v>2020</v>
      </c>
      <c r="O842" s="23" t="n">
        <v>476</v>
      </c>
      <c r="P842" s="23" t="n"/>
      <c r="Q842" s="23" t="n"/>
      <c r="R842" s="25" t="inlineStr">
        <is>
          <t>Одна из первых книг в русской литературе, написанная в жанре исторического детектива. Это рассказы о знаменитых преступниках и преступлениях прошлого: о Соньке Золотой Ручке, о дерзком похищении серебряного сервиза — подарка Николая I — у французского посла герцога Монтебелло, о приключениях легенд российского сыска Ивана Путилина, Аркадия Кошко и других.</t>
        </is>
      </c>
      <c r="S842" s="26">
        <f>HYPERLINK("http://www.cnpol.ru/covers/19056.jpg","фото на сайте")</f>
        <v/>
      </c>
    </row>
    <row r="843" ht="50.1" customHeight="1" s="3">
      <c r="A843" s="23" t="n"/>
      <c r="B843" s="24" t="inlineStr">
        <is>
          <t>18970</t>
        </is>
      </c>
      <c r="C843" s="23" t="inlineStr">
        <is>
          <t>ИСТ Д</t>
        </is>
      </c>
      <c r="D843" s="23" t="inlineStr">
        <is>
          <t>Лавров В.В</t>
        </is>
      </c>
      <c r="E843" s="23" t="inlineStr">
        <is>
          <t>Русская сила графа Соколова</t>
        </is>
      </c>
      <c r="F843" s="23" t="inlineStr">
        <is>
          <t>        </t>
        </is>
      </c>
      <c r="G843" s="27" t="n">
        <v>1057</v>
      </c>
      <c r="H843" s="23" t="n">
        <v>10</v>
      </c>
      <c r="I843" s="23" t="n">
        <v>10</v>
      </c>
      <c r="J843" s="23" t="inlineStr">
        <is>
          <t>978-5-227-07908-4</t>
        </is>
      </c>
      <c r="K843" s="23" t="inlineStr">
        <is>
          <t>84x108 1/32</t>
        </is>
      </c>
      <c r="L843" s="23" t="inlineStr">
        <is>
          <t>тв</t>
        </is>
      </c>
      <c r="M843" s="23" t="n">
        <v>544</v>
      </c>
      <c r="N843" s="23" t="n">
        <v>2019</v>
      </c>
      <c r="O843" s="23" t="n">
        <v>530</v>
      </c>
      <c r="P843" s="23" t="n"/>
      <c r="Q843" s="23" t="n"/>
      <c r="R843" s="25" t="n"/>
      <c r="S843" s="26">
        <f>HYPERLINK("http://www.cnpol.ru/covers/18970.jpg","фото на сайте")</f>
        <v/>
      </c>
    </row>
    <row r="844" ht="50.1" customHeight="1" s="3">
      <c r="A844" s="23" t="n"/>
      <c r="B844" s="24" t="inlineStr">
        <is>
          <t>18953</t>
        </is>
      </c>
      <c r="C844" s="23" t="inlineStr">
        <is>
          <t>ИСТ Д</t>
        </is>
      </c>
      <c r="D844" s="23" t="inlineStr">
        <is>
          <t>Лавров В.В</t>
        </is>
      </c>
      <c r="E844" s="23" t="inlineStr">
        <is>
          <t>Секретный агент S-25, или Обреченная любовь</t>
        </is>
      </c>
      <c r="F844" s="23" t="inlineStr">
        <is>
          <t>        </t>
        </is>
      </c>
      <c r="G844" s="27" t="n">
        <v>1057</v>
      </c>
      <c r="H844" s="23" t="n">
        <v>10</v>
      </c>
      <c r="I844" s="23" t="n">
        <v>10</v>
      </c>
      <c r="J844" s="23" t="inlineStr">
        <is>
          <t>978-5-227-07910-7</t>
        </is>
      </c>
      <c r="K844" s="23" t="inlineStr">
        <is>
          <t>84x108 1/32</t>
        </is>
      </c>
      <c r="L844" s="23" t="inlineStr">
        <is>
          <t>тв</t>
        </is>
      </c>
      <c r="M844" s="23" t="n">
        <v>512</v>
      </c>
      <c r="N844" s="23" t="n">
        <v>2019</v>
      </c>
      <c r="O844" s="23" t="n">
        <v>510</v>
      </c>
      <c r="P844" s="23" t="n"/>
      <c r="Q844" s="23" t="n"/>
      <c r="R844" s="25" t="n"/>
      <c r="S844" s="26">
        <f>HYPERLINK("http://www.cnpol.ru/covers/18953.jpg","фото на сайте")</f>
        <v/>
      </c>
    </row>
    <row r="845" ht="50.1" customHeight="1" s="3">
      <c r="A845" s="23" t="n"/>
      <c r="B845" s="24" t="inlineStr">
        <is>
          <t>18922</t>
        </is>
      </c>
      <c r="C845" s="23" t="inlineStr">
        <is>
          <t>ИСТ Д</t>
        </is>
      </c>
      <c r="D845" s="23" t="inlineStr">
        <is>
          <t>Лавров В.В</t>
        </is>
      </c>
      <c r="E845" s="23" t="inlineStr">
        <is>
          <t>Страсти роковые, или Новые приключения графа Соколова</t>
        </is>
      </c>
      <c r="F845" s="23" t="inlineStr">
        <is>
          <t>        </t>
        </is>
      </c>
      <c r="G845" s="23" t="n">
        <v>888</v>
      </c>
      <c r="H845" s="23" t="n">
        <v>10</v>
      </c>
      <c r="I845" s="23" t="n">
        <v>10</v>
      </c>
      <c r="J845" s="23" t="inlineStr">
        <is>
          <t>978-5-227-07906-0</t>
        </is>
      </c>
      <c r="K845" s="23" t="inlineStr">
        <is>
          <t>84x108 1/32</t>
        </is>
      </c>
      <c r="L845" s="23" t="inlineStr">
        <is>
          <t>тв</t>
        </is>
      </c>
      <c r="M845" s="23" t="n">
        <v>480</v>
      </c>
      <c r="N845" s="23" t="n">
        <v>2019</v>
      </c>
      <c r="O845" s="23" t="n">
        <v>478</v>
      </c>
      <c r="P845" s="23" t="n"/>
      <c r="Q845" s="23" t="n"/>
      <c r="R845" s="25" t="n"/>
      <c r="S845" s="26">
        <f>HYPERLINK("http://www.cnpol.ru/covers/18922.jpg","фото на сайте")</f>
        <v/>
      </c>
    </row>
    <row r="846" ht="50.1" customHeight="1" s="3">
      <c r="A846" s="23" t="n"/>
      <c r="B846" s="24" t="inlineStr">
        <is>
          <t>19237</t>
        </is>
      </c>
      <c r="C846" s="23" t="inlineStr">
        <is>
          <t>ИСТ Д</t>
        </is>
      </c>
      <c r="D846" s="23" t="inlineStr">
        <is>
          <t>Лавров В.В</t>
        </is>
      </c>
      <c r="E846" s="23" t="inlineStr">
        <is>
          <t>Тайны двора государева</t>
        </is>
      </c>
      <c r="F846" s="23" t="inlineStr">
        <is>
          <t>        </t>
        </is>
      </c>
      <c r="G846" s="23" t="n">
        <v>888</v>
      </c>
      <c r="H846" s="23" t="n">
        <v>10</v>
      </c>
      <c r="I846" s="23" t="n">
        <v>12</v>
      </c>
      <c r="J846" s="23" t="inlineStr">
        <is>
          <t>978-5-227-07907-7</t>
        </is>
      </c>
      <c r="K846" s="23" t="inlineStr">
        <is>
          <t>84x108 1/32</t>
        </is>
      </c>
      <c r="L846" s="23" t="inlineStr">
        <is>
          <t>тв</t>
        </is>
      </c>
      <c r="M846" s="23" t="n">
        <v>384</v>
      </c>
      <c r="N846" s="23" t="n">
        <v>2020</v>
      </c>
      <c r="O846" s="23" t="n">
        <v>478</v>
      </c>
      <c r="P846" s="23" t="n"/>
      <c r="Q846" s="23" t="n"/>
      <c r="R846" s="25" t="n"/>
      <c r="S846" s="26">
        <f>HYPERLINK("http://www.cnpol.ru/covers/19237.jpg","фото на сайте")</f>
        <v/>
      </c>
    </row>
    <row r="847" ht="50.1" customHeight="1" s="3">
      <c r="A847" s="23" t="n"/>
      <c r="B847" s="24" t="inlineStr">
        <is>
          <t>18904</t>
        </is>
      </c>
      <c r="C847" s="23" t="inlineStr">
        <is>
          <t>ИСТ Д</t>
        </is>
      </c>
      <c r="D847" s="23" t="inlineStr">
        <is>
          <t>Лавров В.В</t>
        </is>
      </c>
      <c r="E847" s="23" t="inlineStr">
        <is>
          <t>Триумф графа Соколова</t>
        </is>
      </c>
      <c r="F847" s="23" t="inlineStr">
        <is>
          <t>        </t>
        </is>
      </c>
      <c r="G847" s="23" t="n">
        <v>888</v>
      </c>
      <c r="H847" s="23" t="n">
        <v>10</v>
      </c>
      <c r="I847" s="23" t="n">
        <v>12</v>
      </c>
      <c r="J847" s="23" t="inlineStr">
        <is>
          <t>978-5-227-07909-1</t>
        </is>
      </c>
      <c r="K847" s="23" t="inlineStr">
        <is>
          <t>84x108 1/32</t>
        </is>
      </c>
      <c r="L847" s="23" t="inlineStr">
        <is>
          <t>тв</t>
        </is>
      </c>
      <c r="M847" s="23" t="n">
        <v>416</v>
      </c>
      <c r="N847" s="23" t="n">
        <v>2019</v>
      </c>
      <c r="O847" s="23" t="n">
        <v>508</v>
      </c>
      <c r="P847" s="23" t="n"/>
      <c r="Q847" s="23" t="n"/>
      <c r="R847" s="25" t="n"/>
      <c r="S847" s="26">
        <f>HYPERLINK("http://www.cnpol.ru/covers/18904.jpg","фото на сайте")</f>
        <v/>
      </c>
    </row>
    <row r="848" ht="50.1" customHeight="1" s="3">
      <c r="A848" s="23" t="n"/>
      <c r="B848" s="24" t="inlineStr">
        <is>
          <t>19012</t>
        </is>
      </c>
      <c r="C848" s="23" t="inlineStr">
        <is>
          <t>ИСТ Д</t>
        </is>
      </c>
      <c r="D848" s="23" t="inlineStr">
        <is>
          <t>Лавров В.В</t>
        </is>
      </c>
      <c r="E848" s="23" t="inlineStr">
        <is>
          <t>Царские сокровища, или Любовь безумная</t>
        </is>
      </c>
      <c r="F848" s="23" t="inlineStr">
        <is>
          <t>        </t>
        </is>
      </c>
      <c r="G848" s="23" t="n">
        <v>888</v>
      </c>
      <c r="H848" s="23" t="n">
        <v>10</v>
      </c>
      <c r="I848" s="23" t="n">
        <v>12</v>
      </c>
      <c r="J848" s="23" t="inlineStr">
        <is>
          <t>978-5-227-07911-4</t>
        </is>
      </c>
      <c r="K848" s="23" t="inlineStr">
        <is>
          <t>84x108 1/32</t>
        </is>
      </c>
      <c r="L848" s="23" t="inlineStr">
        <is>
          <t>тв</t>
        </is>
      </c>
      <c r="M848" s="23" t="n">
        <v>416</v>
      </c>
      <c r="N848" s="23" t="n">
        <v>2020</v>
      </c>
      <c r="O848" s="23" t="n">
        <v>506</v>
      </c>
      <c r="P848" s="23" t="n"/>
      <c r="Q848" s="23" t="n"/>
      <c r="R848" s="25" t="n"/>
      <c r="S848" s="26">
        <f>HYPERLINK("http://www.cnpol.ru/covers/19012.jpg","фото на сайте")</f>
        <v/>
      </c>
    </row>
    <row r="849" ht="50.1" customHeight="1" s="3">
      <c r="A849" s="23" t="n"/>
      <c r="B849" s="24" t="inlineStr">
        <is>
          <t>19134</t>
        </is>
      </c>
      <c r="C849" s="23" t="inlineStr">
        <is>
          <t>ИСТ Д</t>
        </is>
      </c>
      <c r="D849" s="23" t="inlineStr">
        <is>
          <t>Лавров В.В</t>
        </is>
      </c>
      <c r="E849" s="23" t="inlineStr">
        <is>
          <t>Эшафот и деньги, или Ошибка Азефа</t>
        </is>
      </c>
      <c r="F849" s="23" t="inlineStr">
        <is>
          <t>        </t>
        </is>
      </c>
      <c r="G849" s="27" t="n">
        <v>1057</v>
      </c>
      <c r="H849" s="23" t="n">
        <v>10</v>
      </c>
      <c r="I849" s="23" t="n">
        <v>8</v>
      </c>
      <c r="J849" s="23" t="inlineStr">
        <is>
          <t>978-5-227-07914-5</t>
        </is>
      </c>
      <c r="K849" s="23" t="inlineStr">
        <is>
          <t>84x108 1/32</t>
        </is>
      </c>
      <c r="L849" s="23" t="inlineStr">
        <is>
          <t>тв</t>
        </is>
      </c>
      <c r="M849" s="23" t="n">
        <v>576</v>
      </c>
      <c r="N849" s="23" t="n">
        <v>2020</v>
      </c>
      <c r="O849" s="23" t="n">
        <v>564</v>
      </c>
      <c r="P849" s="23" t="n"/>
      <c r="Q849" s="23" t="n"/>
      <c r="R849" s="25" t="n"/>
      <c r="S849" s="26">
        <f>HYPERLINK("http://www.cnpol.ru/covers/19134.jpg","фото на сайте")</f>
        <v/>
      </c>
    </row>
    <row r="850" ht="50.1" customHeight="1" s="3">
      <c r="A850" s="23" t="n"/>
      <c r="B850" s="24" t="inlineStr">
        <is>
          <t>4649</t>
        </is>
      </c>
      <c r="C850" s="23" t="inlineStr">
        <is>
          <t>ИСТОРИЯ</t>
        </is>
      </c>
      <c r="D850" s="23" t="inlineStr">
        <is>
          <t>Дженкинс М</t>
        </is>
      </c>
      <c r="E850" s="23" t="inlineStr">
        <is>
          <t>Аракчеев Реформатор реакционер</t>
        </is>
      </c>
      <c r="F850" s="23" t="inlineStr">
        <is>
          <t>        </t>
        </is>
      </c>
      <c r="G850" s="23" t="n">
        <v>358</v>
      </c>
      <c r="H850" s="23" t="n">
        <v>10</v>
      </c>
      <c r="I850" s="23" t="n">
        <v>14</v>
      </c>
      <c r="J850" s="23" t="inlineStr">
        <is>
          <t>5-9524-0889-3</t>
        </is>
      </c>
      <c r="K850" s="23" t="inlineStr">
        <is>
          <t>70x90 1/12</t>
        </is>
      </c>
      <c r="L850" s="23" t="inlineStr">
        <is>
          <t>тв</t>
        </is>
      </c>
      <c r="M850" s="23" t="n">
        <v>272</v>
      </c>
      <c r="N850" s="23" t="n">
        <v>2004</v>
      </c>
      <c r="O850" s="23" t="n">
        <v>264</v>
      </c>
      <c r="P850" s="23" t="n"/>
      <c r="Q850" s="23" t="n"/>
      <c r="R850" s="25" t="inlineStr">
        <is>
          <t>В книге рассказывается о жизни и деятельности А.А.Аракчеева, государственного и военного деятеля, о котором еще при жизни ходили легенды. Имя этого сановника вошло в историю как символ самой мрачной реакции и жесточайшего гнета. Истинный поборник самодержавия, ревностный проводник политики Александра I, он всегда стоял особняком, вызывал неприязнь и страх у придворных министров, откровенно презирал условности светского общества. Расположение царя к Аракчееву и вера в него озадачивали современников и ставили в тупик историков._x000D_
Автор использует богатый архивный материал, исторические документы, переписку и воспоминания современников.</t>
        </is>
      </c>
      <c r="S850" s="26">
        <f>HYPERLINK("http://www.cnpol.ru/covers/4649.jpg","фото на сайте")</f>
        <v/>
      </c>
    </row>
    <row r="851" ht="50.1" customHeight="1" s="3">
      <c r="A851" s="23" t="n"/>
      <c r="B851" s="24" t="inlineStr">
        <is>
          <t>8652</t>
        </is>
      </c>
      <c r="C851" s="23" t="inlineStr">
        <is>
          <t>ИСТОРИЯ</t>
        </is>
      </c>
      <c r="D851" s="23" t="inlineStr">
        <is>
          <t>Земан</t>
        </is>
      </c>
      <c r="E851" s="23" t="inlineStr">
        <is>
          <t>Кредит на революцию План Парвуса</t>
        </is>
      </c>
      <c r="F851" s="23" t="inlineStr">
        <is>
          <t>        </t>
        </is>
      </c>
      <c r="G851" s="23" t="n">
        <v>468</v>
      </c>
      <c r="H851" s="23" t="n">
        <v>10</v>
      </c>
      <c r="I851" s="23" t="n">
        <v>14</v>
      </c>
      <c r="J851" s="23" t="inlineStr">
        <is>
          <t>978-5-9524-2941-3</t>
        </is>
      </c>
      <c r="K851" s="23" t="inlineStr">
        <is>
          <t>84x108 1/32</t>
        </is>
      </c>
      <c r="L851" s="23" t="inlineStr">
        <is>
          <t>тв</t>
        </is>
      </c>
      <c r="M851" s="23" t="n">
        <v>319</v>
      </c>
      <c r="N851" s="23" t="n">
        <v>2008</v>
      </c>
      <c r="O851" s="23" t="n">
        <v>324</v>
      </c>
      <c r="P851" s="23" t="n"/>
      <c r="Q851" s="23" t="n"/>
      <c r="R851" s="25" t="inlineStr">
        <is>
          <t>Авторы в своем исследовании, основываясь на множестве документов, газетных и журнальных публикациях, архивных данных и авторитетных свидетельствах очевидцев событий, восстанавливают истинную картину жизни Гельфанда.</t>
        </is>
      </c>
      <c r="S851" s="26">
        <f>HYPERLINK("http://www.cnpol.ru/covers/8652.jpg","фото на сайте")</f>
        <v/>
      </c>
    </row>
    <row r="852" ht="50.1" customHeight="1" s="3">
      <c r="A852" s="23" t="n"/>
      <c r="B852" s="24" t="inlineStr">
        <is>
          <t>10996</t>
        </is>
      </c>
      <c r="C852" s="23" t="inlineStr">
        <is>
          <t>ИТ</t>
        </is>
      </c>
      <c r="D852" s="23" t="inlineStr">
        <is>
          <t>Парей И.</t>
        </is>
      </c>
      <c r="E852" s="23" t="inlineStr">
        <is>
          <t>Бой с тенью</t>
        </is>
      </c>
      <c r="F852" s="23" t="inlineStr">
        <is>
          <t>        </t>
        </is>
      </c>
      <c r="G852" s="23" t="n">
        <v>534</v>
      </c>
      <c r="H852" s="23" t="n">
        <v>10</v>
      </c>
      <c r="I852" s="23" t="n">
        <v>20</v>
      </c>
      <c r="J852" s="23" t="inlineStr">
        <is>
          <t>978-5-9524-4118-7</t>
        </is>
      </c>
      <c r="K852" s="23" t="inlineStr">
        <is>
          <t>84x108 1/32</t>
        </is>
      </c>
      <c r="L852" s="23" t="inlineStr">
        <is>
          <t>тв</t>
        </is>
      </c>
      <c r="M852" s="23" t="n">
        <v>157</v>
      </c>
      <c r="N852" s="23" t="n">
        <v>2009</v>
      </c>
      <c r="O852" s="23" t="n">
        <v>186</v>
      </c>
      <c r="P852" s="23" t="n"/>
      <c r="Q852" s="23" t="n"/>
      <c r="R852" s="25" t="n"/>
      <c r="S852" s="26">
        <f>HYPERLINK("http://www.cnpol.ru/covers/10996.jpg","фото на сайте")</f>
        <v/>
      </c>
    </row>
    <row r="853" ht="50.1" customHeight="1" s="3">
      <c r="A853" s="23" t="n"/>
      <c r="B853" s="24" t="inlineStr">
        <is>
          <t>10684</t>
        </is>
      </c>
      <c r="C853" s="23" t="inlineStr">
        <is>
          <t>ИТ</t>
        </is>
      </c>
      <c r="D853" s="23" t="inlineStr">
        <is>
          <t>Холдефер Ч.</t>
        </is>
      </c>
      <c r="E853" s="23" t="inlineStr">
        <is>
          <t>Наемник</t>
        </is>
      </c>
      <c r="F853" s="23" t="inlineStr">
        <is>
          <t>        </t>
        </is>
      </c>
      <c r="G853" s="23" t="n">
        <v>534</v>
      </c>
      <c r="H853" s="23" t="n">
        <v>10</v>
      </c>
      <c r="I853" s="23" t="n">
        <v>16</v>
      </c>
      <c r="J853" s="23" t="inlineStr">
        <is>
          <t>978-5-9524-3856-9</t>
        </is>
      </c>
      <c r="K853" s="23" t="inlineStr">
        <is>
          <t>84x108 1/32</t>
        </is>
      </c>
      <c r="L853" s="23" t="inlineStr">
        <is>
          <t>тв</t>
        </is>
      </c>
      <c r="M853" s="23" t="n">
        <v>255</v>
      </c>
      <c r="N853" s="23" t="n">
        <v>2008</v>
      </c>
      <c r="O853" s="23" t="n">
        <v>250</v>
      </c>
      <c r="P853" s="23" t="n"/>
      <c r="Q853" s="23" t="n"/>
      <c r="R853" s="25" t="n"/>
      <c r="S853" s="26">
        <f>HYPERLINK("http://www.cnpol.ru/covers/10684.jpg","фото на сайте")</f>
        <v/>
      </c>
    </row>
    <row r="854" ht="50.1" customHeight="1" s="3">
      <c r="A854" s="23" t="n"/>
      <c r="B854" s="24" t="inlineStr">
        <is>
          <t>6323</t>
        </is>
      </c>
      <c r="C854" s="23" t="inlineStr">
        <is>
          <t>ИУ</t>
        </is>
      </c>
      <c r="D854" s="23" t="inlineStr">
        <is>
          <t>Выпуск 4</t>
        </is>
      </c>
      <c r="E854" s="23" t="inlineStr">
        <is>
          <t>Играя учимся</t>
        </is>
      </c>
      <c r="F854" s="23" t="inlineStr">
        <is>
          <t>        </t>
        </is>
      </c>
      <c r="G854" s="23" t="n">
        <v>115</v>
      </c>
      <c r="H854" s="23" t="n">
        <v>10</v>
      </c>
      <c r="I854" s="23" t="n">
        <v>80</v>
      </c>
      <c r="J854" s="23" t="inlineStr">
        <is>
          <t>5-9524-2090-7</t>
        </is>
      </c>
      <c r="K854" s="23" t="inlineStr">
        <is>
          <t>84x100 1/32</t>
        </is>
      </c>
      <c r="L854" s="23" t="inlineStr">
        <is>
          <t>мяг</t>
        </is>
      </c>
      <c r="M854" s="23" t="n">
        <v>48</v>
      </c>
      <c r="N854" s="23" t="n">
        <v>2007</v>
      </c>
      <c r="O854" s="23" t="n">
        <v>44</v>
      </c>
      <c r="P854" s="23" t="n"/>
      <c r="Q854" s="23" t="n"/>
      <c r="R854" s="25" t="inlineStr">
        <is>
          <t>Это веселая книжка совершенно незаметно в игровой форме будет тренировать у ваших малышей память, научит их сохранять внимание, разовьет смекалку и мелкую моторику. Герои любимых мультфильмов, сказок и рассказов старинных и современных писателей помогут вашим детям разгадать кроссворд, запомнить считалки и скороговорки, познакомят с новыми словами.</t>
        </is>
      </c>
      <c r="S854" s="26">
        <f>HYPERLINK("http://www.cnpol.ru/covers/6323.jpg","фото на сайте")</f>
        <v/>
      </c>
    </row>
    <row r="855" ht="50.1" customHeight="1" s="3">
      <c r="A855" s="23" t="n"/>
      <c r="B855" s="24" t="inlineStr">
        <is>
          <t>6321</t>
        </is>
      </c>
      <c r="C855" s="23" t="inlineStr">
        <is>
          <t>ИУ</t>
        </is>
      </c>
      <c r="D855" s="23" t="inlineStr">
        <is>
          <t>Выпуск 6</t>
        </is>
      </c>
      <c r="E855" s="23" t="inlineStr">
        <is>
          <t>Играя учимся</t>
        </is>
      </c>
      <c r="F855" s="23" t="inlineStr">
        <is>
          <t>        </t>
        </is>
      </c>
      <c r="G855" s="23" t="n">
        <v>115</v>
      </c>
      <c r="H855" s="23" t="n">
        <v>10</v>
      </c>
      <c r="I855" s="23" t="n">
        <v>80</v>
      </c>
      <c r="J855" s="23" t="inlineStr">
        <is>
          <t>5-9524-2092-3</t>
        </is>
      </c>
      <c r="K855" s="23" t="inlineStr">
        <is>
          <t>84x108 1/32 (обл)</t>
        </is>
      </c>
      <c r="L855" s="23" t="inlineStr">
        <is>
          <t>мяг</t>
        </is>
      </c>
      <c r="M855" s="23" t="n">
        <v>48</v>
      </c>
      <c r="N855" s="23" t="n">
        <v>2007</v>
      </c>
      <c r="O855" s="23" t="n">
        <v>44</v>
      </c>
      <c r="P855" s="23" t="n"/>
      <c r="Q855" s="23" t="n"/>
      <c r="R855" s="25" t="inlineStr">
        <is>
          <t>Это веселая книжка совершенно незаметно в игровой форме будет тренировать у ваших малышей память, научит их сохранять внимание, разовьет смекалку и мелкую моторику. Герои любимых мультфильмов, сказок и рассказов старинных и современных писателей помогут вашим детям разгадать кроссворд, запомнить считалки и скороговорки, познакомят с новыми словами.</t>
        </is>
      </c>
      <c r="S855" s="26">
        <f>HYPERLINK("http://www.cnpol.ru/covers/6321.jpg","фото на сайте")</f>
        <v/>
      </c>
    </row>
    <row r="856" ht="50.1" customHeight="1" s="3">
      <c r="A856" s="23" t="n"/>
      <c r="B856" s="24" t="inlineStr">
        <is>
          <t>6405</t>
        </is>
      </c>
      <c r="C856" s="23" t="inlineStr">
        <is>
          <t>ИУ</t>
        </is>
      </c>
      <c r="D856" s="23" t="inlineStr">
        <is>
          <t>Выпуск 7</t>
        </is>
      </c>
      <c r="E856" s="23" t="inlineStr">
        <is>
          <t>Играя учимся</t>
        </is>
      </c>
      <c r="F856" s="23" t="inlineStr">
        <is>
          <t>        </t>
        </is>
      </c>
      <c r="G856" s="23" t="n">
        <v>115</v>
      </c>
      <c r="H856" s="23" t="n">
        <v>10</v>
      </c>
      <c r="I856" s="23" t="n">
        <v>80</v>
      </c>
      <c r="J856" s="23" t="inlineStr">
        <is>
          <t>5-9524-2130-X</t>
        </is>
      </c>
      <c r="K856" s="23" t="inlineStr">
        <is>
          <t>84x108 1/32 (обл)</t>
        </is>
      </c>
      <c r="L856" s="23" t="inlineStr">
        <is>
          <t>мяг</t>
        </is>
      </c>
      <c r="M856" s="23" t="n">
        <v>48</v>
      </c>
      <c r="N856" s="23" t="n">
        <v>2007</v>
      </c>
      <c r="O856" s="23" t="n">
        <v>42</v>
      </c>
      <c r="P856" s="23" t="n"/>
      <c r="Q856" s="23" t="n"/>
      <c r="R856" s="25" t="inlineStr">
        <is>
          <t>Это веселая книжка совершенно незаметно в игровой форме будет тренировать у ваших малышей память, научит их сохранять внимание, разовьет смекалку и мелкую моторику. Герои любимых мультфильмов, сказок и рассказов старинных и современных писателей помогут вашим детям разгадать кроссворд, запомнить считалки и скороговорки, познакомят с новыми словами.</t>
        </is>
      </c>
      <c r="S856" s="26">
        <f>HYPERLINK("http://www.cnpol.ru/covers/6405.jpg","фото на сайте")</f>
        <v/>
      </c>
    </row>
    <row r="857" ht="50.1" customHeight="1" s="3">
      <c r="A857" s="23" t="n"/>
      <c r="B857" s="24" t="inlineStr">
        <is>
          <t>6406</t>
        </is>
      </c>
      <c r="C857" s="23" t="inlineStr">
        <is>
          <t>ИУ</t>
        </is>
      </c>
      <c r="D857" s="23" t="inlineStr">
        <is>
          <t>Выпуск 8</t>
        </is>
      </c>
      <c r="E857" s="23" t="inlineStr">
        <is>
          <t>Играя учимся</t>
        </is>
      </c>
      <c r="F857" s="23" t="inlineStr">
        <is>
          <t>        </t>
        </is>
      </c>
      <c r="G857" s="23" t="n">
        <v>115</v>
      </c>
      <c r="H857" s="23" t="n">
        <v>10</v>
      </c>
      <c r="I857" s="23" t="n">
        <v>80</v>
      </c>
      <c r="J857" s="23" t="inlineStr">
        <is>
          <t>5-9524-2132-6</t>
        </is>
      </c>
      <c r="K857" s="23" t="inlineStr">
        <is>
          <t>84x108 1/32 (обл)</t>
        </is>
      </c>
      <c r="L857" s="23" t="inlineStr">
        <is>
          <t>мяг</t>
        </is>
      </c>
      <c r="M857" s="23" t="n">
        <v>48</v>
      </c>
      <c r="N857" s="23" t="n">
        <v>2007</v>
      </c>
      <c r="O857" s="23" t="n">
        <v>42</v>
      </c>
      <c r="P857" s="23" t="n"/>
      <c r="Q857" s="23" t="n"/>
      <c r="R857" s="25" t="inlineStr">
        <is>
          <t>Это веселая книжка совершенно незаметно в игровой форме будет тренировать у ваших малышей память, научит их сохранять внимание, разовьет смекалку и мелкую моторику. Герои любимых мультфильмов, сказок и рассказов старинных и современных писателей помогут вашим детям разгадать кроссворд, запомнить считалки и скороговорки, познакомят с новыми словами.</t>
        </is>
      </c>
      <c r="S857" s="26">
        <f>HYPERLINK("http://www.cnpol.ru/covers/6406.jpg","фото на сайте")</f>
        <v/>
      </c>
    </row>
    <row r="858" ht="50.1" customHeight="1" s="3">
      <c r="A858" s="23" t="n"/>
      <c r="B858" s="24" t="inlineStr">
        <is>
          <t>6424</t>
        </is>
      </c>
      <c r="C858" s="23" t="inlineStr">
        <is>
          <t>ИУ</t>
        </is>
      </c>
      <c r="D858" s="23" t="inlineStr">
        <is>
          <t>Выпуск 9</t>
        </is>
      </c>
      <c r="E858" s="23" t="inlineStr">
        <is>
          <t>Играя учимся</t>
        </is>
      </c>
      <c r="F858" s="23" t="inlineStr">
        <is>
          <t>        </t>
        </is>
      </c>
      <c r="G858" s="23" t="n">
        <v>115</v>
      </c>
      <c r="H858" s="23" t="n">
        <v>10</v>
      </c>
      <c r="I858" s="23" t="n">
        <v>80</v>
      </c>
      <c r="J858" s="23" t="inlineStr">
        <is>
          <t>5-9524-2134-2</t>
        </is>
      </c>
      <c r="K858" s="23" t="inlineStr">
        <is>
          <t>84x108 1/32 (обл)</t>
        </is>
      </c>
      <c r="L858" s="23" t="inlineStr">
        <is>
          <t>мяг</t>
        </is>
      </c>
      <c r="M858" s="23" t="n">
        <v>48</v>
      </c>
      <c r="N858" s="23" t="n">
        <v>2007</v>
      </c>
      <c r="O858" s="23" t="n">
        <v>42</v>
      </c>
      <c r="P858" s="23" t="n"/>
      <c r="Q858" s="23" t="n"/>
      <c r="R858" s="25" t="inlineStr">
        <is>
          <t>Это веселая книжка совершенно незаметно в игровой форме будет тренировать у ваших малышей память, научит их сохранять внимание, разовьет смекалку и мелкую моторику. Герои любимых мультфильмов, сказок и рассказов старинных и современных писателей помогут вашим детям разгадать кроссворд, запомнить считалки и скороговорки, познакомят с новыми словами.</t>
        </is>
      </c>
      <c r="S858" s="26">
        <f>HYPERLINK("http://www.cnpol.ru/covers/6424.jpg","фото на сайте")</f>
        <v/>
      </c>
    </row>
    <row r="859" ht="50.1" customHeight="1" s="3">
      <c r="A859" s="23" t="n"/>
      <c r="B859" s="24" t="inlineStr">
        <is>
          <t>18492</t>
        </is>
      </c>
      <c r="C859" s="23" t="inlineStr">
        <is>
          <t>КАВКАЗ</t>
        </is>
      </c>
      <c r="D859" s="23" t="inlineStr">
        <is>
          <t>Дубровин Н.Ф</t>
        </is>
      </c>
      <c r="E859" s="23" t="inlineStr">
        <is>
          <t>Т.1 Народы, населяющие Кавказ</t>
        </is>
      </c>
      <c r="F859" s="23" t="n">
        <v>1</v>
      </c>
      <c r="G859" s="23" t="n">
        <v>948</v>
      </c>
      <c r="H859" s="23" t="n">
        <v>10</v>
      </c>
      <c r="I859" s="23" t="n">
        <v>8</v>
      </c>
      <c r="J859" s="23" t="inlineStr">
        <is>
          <t>978-5-227-06562-9</t>
        </is>
      </c>
      <c r="K859" s="23" t="inlineStr">
        <is>
          <t>60x90 1/16</t>
        </is>
      </c>
      <c r="L859" s="23" t="inlineStr">
        <is>
          <t>тв</t>
        </is>
      </c>
      <c r="M859" s="23" t="n">
        <v>656</v>
      </c>
      <c r="N859" s="23" t="n">
        <v>2019</v>
      </c>
      <c r="O859" s="23" t="n">
        <v>688</v>
      </c>
      <c r="P859" s="23" t="n"/>
      <c r="Q859" s="23" t="n"/>
      <c r="R859" s="25" t="n"/>
      <c r="S859" s="26">
        <f>HYPERLINK("http://www.cnpol.ru/covers/18492.jpg","фото на сайте")</f>
        <v/>
      </c>
    </row>
    <row r="860" ht="50.1" customHeight="1" s="3">
      <c r="A860" s="23" t="n"/>
      <c r="B860" s="24" t="inlineStr">
        <is>
          <t>18493</t>
        </is>
      </c>
      <c r="C860" s="23" t="inlineStr">
        <is>
          <t>КАВКАЗ</t>
        </is>
      </c>
      <c r="D860" s="23" t="inlineStr">
        <is>
          <t>Дубровин Н.Ф</t>
        </is>
      </c>
      <c r="E860" s="23" t="inlineStr">
        <is>
          <t>Т.2 Народы, населяющие Закавказье</t>
        </is>
      </c>
      <c r="F860" s="23" t="n">
        <v>2</v>
      </c>
      <c r="G860" s="23" t="n">
        <v>948</v>
      </c>
      <c r="H860" s="23" t="n">
        <v>10</v>
      </c>
      <c r="I860" s="23" t="n">
        <v>12</v>
      </c>
      <c r="J860" s="23" t="inlineStr">
        <is>
          <t>978-5-227-06587-2</t>
        </is>
      </c>
      <c r="K860" s="23" t="inlineStr">
        <is>
          <t>60x90 1/16</t>
        </is>
      </c>
      <c r="L860" s="23" t="inlineStr">
        <is>
          <t>тв</t>
        </is>
      </c>
      <c r="M860" s="23" t="n">
        <v>480</v>
      </c>
      <c r="N860" s="23" t="n">
        <v>2019</v>
      </c>
      <c r="O860" s="23" t="n">
        <v>528</v>
      </c>
      <c r="P860" s="23" t="n"/>
      <c r="Q860" s="23" t="n"/>
      <c r="R860" s="25" t="n"/>
      <c r="S860" s="26">
        <f>HYPERLINK("http://www.cnpol.ru/covers/18493.jpg","фото на сайте")</f>
        <v/>
      </c>
    </row>
    <row r="861" ht="50.1" customHeight="1" s="3">
      <c r="A861" s="23" t="n"/>
      <c r="B861" s="24" t="inlineStr">
        <is>
          <t>18494</t>
        </is>
      </c>
      <c r="C861" s="23" t="inlineStr">
        <is>
          <t>КАВКАЗ</t>
        </is>
      </c>
      <c r="D861" s="23" t="inlineStr">
        <is>
          <t>Дубровин Н.Ф</t>
        </is>
      </c>
      <c r="E861" s="23" t="inlineStr">
        <is>
          <t>Т.3 Георгиевский трактат и последующее присоединение Грузии</t>
        </is>
      </c>
      <c r="F861" s="23" t="n">
        <v>3</v>
      </c>
      <c r="G861" s="23" t="n">
        <v>948</v>
      </c>
      <c r="H861" s="23" t="n">
        <v>10</v>
      </c>
      <c r="I861" s="23" t="n">
        <v>8</v>
      </c>
      <c r="J861" s="23" t="inlineStr">
        <is>
          <t>978-5-227-06593-3</t>
        </is>
      </c>
      <c r="K861" s="23" t="inlineStr">
        <is>
          <t>60x90 1/16</t>
        </is>
      </c>
      <c r="L861" s="23" t="inlineStr">
        <is>
          <t>тв</t>
        </is>
      </c>
      <c r="M861" s="23" t="n">
        <v>688</v>
      </c>
      <c r="N861" s="23" t="n">
        <v>2019</v>
      </c>
      <c r="O861" s="23" t="n">
        <v>714</v>
      </c>
      <c r="P861" s="23" t="n"/>
      <c r="Q861" s="23" t="n"/>
      <c r="R861" s="25" t="n"/>
      <c r="S861" s="26">
        <f>HYPERLINK("http://www.cnpol.ru/covers/18494.jpg","фото на сайте")</f>
        <v/>
      </c>
    </row>
    <row r="862" ht="50.1" customHeight="1" s="3">
      <c r="A862" s="23" t="n"/>
      <c r="B862" s="24" t="inlineStr">
        <is>
          <t>18495</t>
        </is>
      </c>
      <c r="C862" s="23" t="inlineStr">
        <is>
          <t>КАВКАЗ</t>
        </is>
      </c>
      <c r="D862" s="23" t="inlineStr">
        <is>
          <t>Дубровин Н.Ф</t>
        </is>
      </c>
      <c r="E862" s="23" t="inlineStr">
        <is>
          <t>Т.4 Деятельность главнокомандующего войсками на Кавказе П.Д. Цицианова. Принятие новых земель в подданство России</t>
        </is>
      </c>
      <c r="F862" s="23" t="n">
        <v>4</v>
      </c>
      <c r="G862" s="23" t="n">
        <v>948</v>
      </c>
      <c r="H862" s="23" t="n">
        <v>10</v>
      </c>
      <c r="I862" s="23" t="n">
        <v>12</v>
      </c>
      <c r="J862" s="23" t="inlineStr">
        <is>
          <t>978-5-227-06606-0</t>
        </is>
      </c>
      <c r="K862" s="23" t="inlineStr">
        <is>
          <t>60x90 1/16</t>
        </is>
      </c>
      <c r="L862" s="23" t="inlineStr">
        <is>
          <t>тв</t>
        </is>
      </c>
      <c r="M862" s="23" t="n">
        <v>480</v>
      </c>
      <c r="N862" s="23" t="n">
        <v>2019</v>
      </c>
      <c r="O862" s="23" t="n">
        <v>528</v>
      </c>
      <c r="P862" s="23" t="n"/>
      <c r="Q862" s="23" t="n"/>
      <c r="R862" s="25" t="n"/>
      <c r="S862" s="26">
        <f>HYPERLINK("http://www.cnpol.ru/covers/18495.jpg","фото на сайте")</f>
        <v/>
      </c>
    </row>
    <row r="863" ht="50.1" customHeight="1" s="3">
      <c r="A863" s="23" t="n"/>
      <c r="B863" s="24" t="inlineStr">
        <is>
          <t>18496</t>
        </is>
      </c>
      <c r="C863" s="23" t="inlineStr">
        <is>
          <t>КАВКАЗ</t>
        </is>
      </c>
      <c r="D863" s="23" t="inlineStr">
        <is>
          <t>Дубровин Н.Ф</t>
        </is>
      </c>
      <c r="E863" s="23" t="inlineStr">
        <is>
          <t>Т.5 Новые главнокомандующие на Кавказе после смерти князя Цицианова. Приготовления Персии и Турции к открытым военным действиям</t>
        </is>
      </c>
      <c r="F863" s="23" t="n">
        <v>5</v>
      </c>
      <c r="G863" s="23" t="n">
        <v>948</v>
      </c>
      <c r="H863" s="23" t="n">
        <v>10</v>
      </c>
      <c r="I863" s="23" t="n">
        <v>10</v>
      </c>
      <c r="J863" s="23" t="inlineStr">
        <is>
          <t>978-5-227-06611-4</t>
        </is>
      </c>
      <c r="K863" s="23" t="inlineStr">
        <is>
          <t>60x90 1/16</t>
        </is>
      </c>
      <c r="L863" s="23" t="inlineStr">
        <is>
          <t>тв</t>
        </is>
      </c>
      <c r="M863" s="23" t="n">
        <v>448</v>
      </c>
      <c r="N863" s="23" t="n">
        <v>2019</v>
      </c>
      <c r="O863" s="23" t="n">
        <v>502</v>
      </c>
      <c r="P863" s="23" t="n"/>
      <c r="Q863" s="23" t="n"/>
      <c r="R863" s="25" t="n"/>
      <c r="S863" s="26">
        <f>HYPERLINK("http://www.cnpol.ru/covers/18496.jpg","фото на сайте")</f>
        <v/>
      </c>
    </row>
    <row r="864" ht="50.1" customHeight="1" s="3">
      <c r="A864" s="23" t="n"/>
      <c r="B864" s="24" t="inlineStr">
        <is>
          <t>18497</t>
        </is>
      </c>
      <c r="C864" s="23" t="inlineStr">
        <is>
          <t>КАВКАЗ</t>
        </is>
      </c>
      <c r="D864" s="23" t="inlineStr">
        <is>
          <t>Дубровин Н.Ф</t>
        </is>
      </c>
      <c r="E864" s="23" t="inlineStr">
        <is>
          <t>Т.6 Назначение А.П. Ермолова наместником на Кавказе</t>
        </is>
      </c>
      <c r="F864" s="23" t="n">
        <v>6</v>
      </c>
      <c r="G864" s="23" t="n">
        <v>948</v>
      </c>
      <c r="H864" s="23" t="n">
        <v>10</v>
      </c>
      <c r="I864" s="23" t="n">
        <v>8</v>
      </c>
      <c r="J864" s="23" t="inlineStr">
        <is>
          <t>978-5-227-06619-0</t>
        </is>
      </c>
      <c r="K864" s="23" t="inlineStr">
        <is>
          <t>60x90 1/16</t>
        </is>
      </c>
      <c r="L864" s="23" t="inlineStr">
        <is>
          <t>тв</t>
        </is>
      </c>
      <c r="M864" s="23" t="n">
        <v>656</v>
      </c>
      <c r="N864" s="23" t="n">
        <v>2019</v>
      </c>
      <c r="O864" s="23" t="n">
        <v>690</v>
      </c>
      <c r="P864" s="23" t="n"/>
      <c r="Q864" s="23" t="n"/>
      <c r="R864" s="25" t="n"/>
      <c r="S864" s="26">
        <f>HYPERLINK("http://www.cnpol.ru/covers/18497.jpg","фото на сайте")</f>
        <v/>
      </c>
    </row>
    <row r="865" ht="50.1" customHeight="1" s="3">
      <c r="A865" s="23" t="inlineStr">
        <is>
          <t>Н</t>
        </is>
      </c>
      <c r="B865" s="24" t="inlineStr">
        <is>
          <t>22234</t>
        </is>
      </c>
      <c r="C865" s="23" t="inlineStr">
        <is>
          <t>КАРНЕГИ</t>
        </is>
      </c>
      <c r="D865" s="23" t="inlineStr">
        <is>
          <t>Карнеги Д.</t>
        </is>
      </c>
      <c r="E865" s="23" t="inlineStr">
        <is>
          <t>Живём без тревоги. Самые важные мысли из легендарных книг всемирно известного автора</t>
        </is>
      </c>
      <c r="F865" s="23" t="inlineStr">
        <is>
          <t>        </t>
        </is>
      </c>
      <c r="G865" s="23" t="n">
        <v>589</v>
      </c>
      <c r="H865" s="23" t="n">
        <v>10</v>
      </c>
      <c r="I865" s="23" t="n">
        <v>12</v>
      </c>
      <c r="J865" s="23" t="inlineStr">
        <is>
          <t>978-5-227-11303-0</t>
        </is>
      </c>
      <c r="K865" s="23" t="inlineStr">
        <is>
          <t>84x108 1/32</t>
        </is>
      </c>
      <c r="L865" s="23" t="inlineStr">
        <is>
          <t>тв</t>
        </is>
      </c>
      <c r="M865" s="23" t="n">
        <v>223</v>
      </c>
      <c r="N865" s="23" t="n">
        <v>2026</v>
      </c>
      <c r="O865" s="23" t="n">
        <v>275</v>
      </c>
      <c r="P865" s="23" t="n"/>
      <c r="Q865" s="23" t="n"/>
      <c r="R865" s="25" t="inlineStr">
        <is>
          <t>Знаменитый писатель, психолог и выдающийся оратор Дейл Карнеги известен по всему миру. Его легендарные книги «Как перестать беспокоиться и начать жить», «Как приобретать друзей и оказывать влияние на людей», «Как произвести впечатление и быть убедительным» разошлись миллионными тиражами и помогают огромному количеству людей справиться с негативными мыслями, налаживать отношения в коллективе, получать доверие, обретать друзей, влиять на мнение окружающих и быть уверенными в себе. Эта уникальная книга — сборник самых интересных и важных мыслей автора, с помощью которых вы легко сделаете шаг к счастливой и гармоничной жизни, добьётесь успеха на любом поприще и, конечно же, научитесь управлять своим беспокойством и перестанете тревожиться.</t>
        </is>
      </c>
      <c r="S865" s="26">
        <f>HYPERLINK("http://www.cnpol.ru/covers/22234.jpg","фото на сайте")</f>
        <v/>
      </c>
    </row>
    <row r="866" ht="50.1" customHeight="1" s="3">
      <c r="A866" s="23" t="inlineStr">
        <is>
          <t>Н</t>
        </is>
      </c>
      <c r="B866" s="24" t="inlineStr">
        <is>
          <t>21992</t>
        </is>
      </c>
      <c r="C866" s="23" t="inlineStr">
        <is>
          <t>КАРНЕГИ</t>
        </is>
      </c>
      <c r="D866" s="23" t="inlineStr">
        <is>
          <t>Карнеги Д.</t>
        </is>
      </c>
      <c r="E866" s="23" t="inlineStr">
        <is>
          <t>Как перестать беспокоиться и начать жить. Полное руководство к счастливой жизни без тревоги и стресса</t>
        </is>
      </c>
      <c r="F866" s="23" t="inlineStr">
        <is>
          <t>        </t>
        </is>
      </c>
      <c r="G866" s="23" t="n">
        <v>544</v>
      </c>
      <c r="H866" s="23" t="n">
        <v>10</v>
      </c>
      <c r="I866" s="23" t="n">
        <v>6</v>
      </c>
      <c r="J866" s="23" t="inlineStr">
        <is>
          <t>978-5-227-11182-1</t>
        </is>
      </c>
      <c r="K866" s="23" t="inlineStr">
        <is>
          <t>84x108 1/32</t>
        </is>
      </c>
      <c r="L866" s="23" t="inlineStr">
        <is>
          <t>тв</t>
        </is>
      </c>
      <c r="M866" s="23" t="n">
        <v>319</v>
      </c>
      <c r="N866" s="23" t="n">
        <v>2026</v>
      </c>
      <c r="O866" s="23" t="n">
        <v>336</v>
      </c>
      <c r="P866" s="23" t="n"/>
      <c r="Q866" s="23" t="n"/>
      <c r="R866" s="25" t="inlineStr">
        <is>
          <t>Новый перевод знаменитой книги Дейла Карнеги «Как перестать беспокоиться и начать жить» откроет для вас мир без волнений и тревоги. Эта уникальная книга поможет справиться с негативными мыслями и вернуть радость каждому мгновению жизни. Вы узнаете эффективные методы изменения мышления и поведения, научитесь управлять эмоциями. Следуя всем рекомендациям, вы на практике поймете, что беспричинное беспокойство не вправе вами управлять. Вы освободитесь от переживаний за считаные мгновения. Сделайте шаг к счастливой и гармоничной жизни уже сегодня!</t>
        </is>
      </c>
      <c r="S866" s="26">
        <f>HYPERLINK("http://www.cnpol.ru/covers/21992.jpg","фото на сайте")</f>
        <v/>
      </c>
    </row>
    <row r="867" ht="50.1" customHeight="1" s="3">
      <c r="A867" s="23" t="inlineStr">
        <is>
          <t>Н</t>
        </is>
      </c>
      <c r="B867" s="24" t="inlineStr">
        <is>
          <t>21989</t>
        </is>
      </c>
      <c r="C867" s="23" t="inlineStr">
        <is>
          <t>КАРНЕГИ</t>
        </is>
      </c>
      <c r="D867" s="23" t="inlineStr">
        <is>
          <t>Карнеги Д.</t>
        </is>
      </c>
      <c r="E867" s="23" t="inlineStr">
        <is>
          <t>Как приобретать друзей и оказывать влияние на людей. Подчини себе весь мир за пару дней</t>
        </is>
      </c>
      <c r="F867" s="23" t="inlineStr">
        <is>
          <t>        </t>
        </is>
      </c>
      <c r="G867" s="23" t="n">
        <v>467</v>
      </c>
      <c r="H867" s="23" t="n">
        <v>10</v>
      </c>
      <c r="I867" s="23" t="n">
        <v>10</v>
      </c>
      <c r="J867" s="23" t="inlineStr">
        <is>
          <t>978-5-227-11194-4</t>
        </is>
      </c>
      <c r="K867" s="23" t="inlineStr">
        <is>
          <t>84x108 1/32</t>
        </is>
      </c>
      <c r="L867" s="23" t="inlineStr">
        <is>
          <t>тв</t>
        </is>
      </c>
      <c r="M867" s="23" t="n">
        <v>223</v>
      </c>
      <c r="N867" s="23" t="n">
        <v>2026</v>
      </c>
      <c r="O867" s="23" t="n">
        <v>260</v>
      </c>
      <c r="P867" s="23" t="n"/>
      <c r="Q867" s="23" t="n"/>
      <c r="R867" s="25" t="inlineStr">
        <is>
          <t>В знаменитой книге, впервые опубликованной в 1936 году, вы найдете практические рекомендации, которые улучшат отношения в любом коллективе. Вы получите советы, которые помогут вам добиться доверия окружающих, вызвать у них симпатии, а также легко влиять на их мнение. Простые принципы автора сделают вас мастером общения. Без споров и скандалов вы научитесь быстро находить общий язык с людьми, проводить сложные переговоры без усилий, при этом оставаясь лидером. Начните строить крепкие продуктивные отношения уже сегодня!</t>
        </is>
      </c>
      <c r="S867" s="26">
        <f>HYPERLINK("http://www.cnpol.ru/covers/21989.jpg","фото на сайте")</f>
        <v/>
      </c>
    </row>
    <row r="868" ht="50.1" customHeight="1" s="3">
      <c r="A868" s="23" t="inlineStr">
        <is>
          <t>Н</t>
        </is>
      </c>
      <c r="B868" s="24" t="inlineStr">
        <is>
          <t>21988</t>
        </is>
      </c>
      <c r="C868" s="23" t="inlineStr">
        <is>
          <t>КАРНЕГИ</t>
        </is>
      </c>
      <c r="D868" s="23" t="inlineStr">
        <is>
          <t>Карнеги Д.</t>
        </is>
      </c>
      <c r="E868" s="23" t="inlineStr">
        <is>
          <t>Как произвести впечатление и быть убедительным. Ораторское искусство для деловых людей</t>
        </is>
      </c>
      <c r="F868" s="23" t="inlineStr">
        <is>
          <t>        </t>
        </is>
      </c>
      <c r="G868" s="23" t="n">
        <v>589</v>
      </c>
      <c r="H868" s="23" t="n">
        <v>10</v>
      </c>
      <c r="I868" s="23" t="n">
        <v>6</v>
      </c>
      <c r="J868" s="23" t="inlineStr">
        <is>
          <t>978-5-227-11227-9</t>
        </is>
      </c>
      <c r="K868" s="23" t="inlineStr">
        <is>
          <t>84x108 1/32</t>
        </is>
      </c>
      <c r="L868" s="23" t="inlineStr">
        <is>
          <t>тв</t>
        </is>
      </c>
      <c r="M868" s="23" t="n">
        <v>383</v>
      </c>
      <c r="N868" s="23" t="n">
        <v>2026</v>
      </c>
      <c r="O868" s="23" t="n">
        <v>380</v>
      </c>
      <c r="P868" s="23" t="n"/>
      <c r="Q868" s="23" t="n"/>
      <c r="R868" s="25" t="inlineStr">
        <is>
          <t>В книге представлены принципы, по которым знаменитый оратор и писатель Дейл Карнеги строил свои успешные публичные выступления. Перед вами практическое руководство по завоеванию любой аудитории. Автор знакомит с ценными тратегиями и техниками эффективного общения, делая акцент на взаимодействии в сфере бизнеса. Что поможет побороть страхи и сомнения перед важными переговорами или выступлением на публике? Как подобрать аргументы, которые не захочется оспаривать даже самому злостному критику? Какие невербальные средства общения лучше всего использовать, чтобы публика рукоплескала оратору? Ответы на волнующие вопросы, а также множество примеров и упражнений для развития уверенности вы найдете в этой книге. Начните улучшать свои коммуникативные навыки и добейтесь успеха в любой сфере бизнеса уже сейчас!</t>
        </is>
      </c>
      <c r="S868" s="26">
        <f>HYPERLINK("http://www.cnpol.ru/covers/21988.jpg","фото на сайте")</f>
        <v/>
      </c>
    </row>
    <row r="869" ht="50.1" customHeight="1" s="3">
      <c r="A869" s="23" t="inlineStr">
        <is>
          <t>Н</t>
        </is>
      </c>
      <c r="B869" s="24" t="inlineStr">
        <is>
          <t>22125</t>
        </is>
      </c>
      <c r="C869" s="23" t="inlineStr">
        <is>
          <t>КАРНЕГИ</t>
        </is>
      </c>
      <c r="D869" s="23" t="inlineStr">
        <is>
          <t>Карнеги Д.</t>
        </is>
      </c>
      <c r="E869" s="23" t="inlineStr">
        <is>
          <t>Линкольн. Самые яркие эпизоды жизни выдающегося президента США</t>
        </is>
      </c>
      <c r="F869" s="23" t="inlineStr">
        <is>
          <t>        </t>
        </is>
      </c>
      <c r="G869" s="23" t="n">
        <v>888</v>
      </c>
      <c r="H869" s="23" t="n">
        <v>10</v>
      </c>
      <c r="I869" s="23" t="n">
        <v>10</v>
      </c>
      <c r="J869" s="23" t="inlineStr">
        <is>
          <t>978-5-227-11247-7</t>
        </is>
      </c>
      <c r="K869" s="23" t="inlineStr">
        <is>
          <t>84x108 1/32</t>
        </is>
      </c>
      <c r="L869" s="23" t="inlineStr">
        <is>
          <t>тв</t>
        </is>
      </c>
      <c r="M869" s="23" t="n">
        <v>255</v>
      </c>
      <c r="N869" s="23" t="n">
        <v>2026</v>
      </c>
      <c r="O869" s="23" t="n">
        <v>318</v>
      </c>
      <c r="P869" s="23" t="n"/>
      <c r="Q869" s="23" t="n"/>
      <c r="R869" s="25" t="inlineStr">
        <is>
          <t>Дейл Карнеги, автор успешных методик и руководств по самосовершенствованию, создал информативную и увлекательную биографию шестнадцатого президента Соединенных Штатов Америки. Карнеги проследил жизненный путь и важнейшие этапы карьеры Авраама Линкольна, описал его деятельность на высшем государственном посту, борьбу за отмену рабства и драматичные обстоятельства гибели от рук убийцы. Работая над книгой, писатель побывал в местах, где жил и трудился будущий президент, общался с людьми, чьи отцы помнили Честного Эйба, изучил его письма и речи, — это помогло передать дух эпохи и глубже раскрыть личность человека, которого по праву считают самым выдающимся лидером нации в истории США.</t>
        </is>
      </c>
      <c r="S869" s="26">
        <f>HYPERLINK("http://www.cnpol.ru/covers/22125.jpg","фото на сайте")</f>
        <v/>
      </c>
    </row>
    <row r="870" ht="50.1" customHeight="1" s="3">
      <c r="A870" s="23" t="inlineStr">
        <is>
          <t>Н</t>
        </is>
      </c>
      <c r="B870" s="24" t="inlineStr">
        <is>
          <t>22206</t>
        </is>
      </c>
      <c r="C870" s="23" t="inlineStr">
        <is>
          <t>КАРР</t>
        </is>
      </c>
      <c r="D870" s="23" t="inlineStr">
        <is>
          <t>Карр Р.</t>
        </is>
      </c>
      <c r="E870" s="23" t="inlineStr">
        <is>
          <t>Нечаянная радость</t>
        </is>
      </c>
      <c r="F870" s="23" t="inlineStr">
        <is>
          <t>        </t>
        </is>
      </c>
      <c r="G870" s="27" t="n">
        <v>1110</v>
      </c>
      <c r="H870" s="23" t="n">
        <v>10</v>
      </c>
      <c r="I870" s="23" t="n">
        <v>8</v>
      </c>
      <c r="J870" s="23" t="inlineStr">
        <is>
          <t>978-5-227-11344-3</t>
        </is>
      </c>
      <c r="K870" s="23" t="inlineStr">
        <is>
          <t>84x108 1/32</t>
        </is>
      </c>
      <c r="L870" s="23" t="inlineStr">
        <is>
          <t>тв</t>
        </is>
      </c>
      <c r="M870" s="23" t="n">
        <v>379</v>
      </c>
      <c r="N870" s="23" t="n">
        <v>2024</v>
      </c>
      <c r="O870" s="23" t="n">
        <v>429</v>
      </c>
      <c r="P870" s="23" t="n"/>
      <c r="Q870" s="23" t="n"/>
      <c r="R870" s="25" t="inlineStr">
        <is>
          <t>Касси — молодая и очень привлекательная медицинская сестра экстренной помощи — давно мечтает о семье, но ни один из ее кратковременных романов не стал счастливым. Вот и на этот раз свидание едва не закончилось драматично: от изнасилования ее спас Уолт Арнесон — лохматый байкер, настоящий великан с наколкой на руке. Уолт оказался на редкость милым человеком: щедрым, умным, добрым, умеющим понимать и слушать. Касси и дня не может провести без него. Одна беда: он совершенно не похож на мужчину ее мечты — надежного обеспеченного парня в элегантном костюме, который будет достойно выглядеть в компании ее добропорядочных друзей.</t>
        </is>
      </c>
      <c r="S870" s="26">
        <f>HYPERLINK("http://www.cnpol.ru/covers/22206.jpg","фото на сайте")</f>
        <v/>
      </c>
    </row>
    <row r="871" ht="50.1" customHeight="1" s="3">
      <c r="A871" s="23" t="inlineStr">
        <is>
          <t>Н</t>
        </is>
      </c>
      <c r="B871" s="24" t="inlineStr">
        <is>
          <t>22244</t>
        </is>
      </c>
      <c r="C871" s="23" t="inlineStr">
        <is>
          <t>КАРР</t>
        </is>
      </c>
      <c r="D871" s="23" t="inlineStr">
        <is>
          <t>Карр Р.</t>
        </is>
      </c>
      <c r="E871" s="23" t="inlineStr">
        <is>
          <t>Осознанный риск</t>
        </is>
      </c>
      <c r="F871" s="23" t="inlineStr">
        <is>
          <t>        </t>
        </is>
      </c>
      <c r="G871" s="23" t="n">
        <v>936</v>
      </c>
      <c r="H871" s="23" t="n">
        <v>10</v>
      </c>
      <c r="I871" s="23" t="n">
        <v>10</v>
      </c>
      <c r="J871" s="23" t="inlineStr">
        <is>
          <t>978-5-227-11342-9</t>
        </is>
      </c>
      <c r="K871" s="23" t="inlineStr">
        <is>
          <t>84x108 1/32</t>
        </is>
      </c>
      <c r="L871" s="23" t="inlineStr">
        <is>
          <t>тв</t>
        </is>
      </c>
      <c r="M871" s="23" t="n">
        <v>287</v>
      </c>
      <c r="N871" s="23" t="n">
        <v>2024</v>
      </c>
      <c r="O871" s="23" t="n">
        <v>343</v>
      </c>
      <c r="P871" s="23" t="n"/>
      <c r="Q871" s="23" t="n"/>
      <c r="R871" s="25" t="inlineStr">
        <is>
          <t>Неисправный камин в съемном доме становится причиной пожара… Все, что остается у Крис и ее маленьких детей, — незаконченная книга и… Майк — пожарный, который вынес ее из огня… Когда-то он сам потерял в автокатастрофе жену и дочь. Возможно, Крис послана ему, чтобы он смог снова стать счастливым? Несмотря на тайны, которые скрывает Крис о своей прошлой жизни, он не хочет потерять эту женщину…</t>
        </is>
      </c>
      <c r="S871" s="26">
        <f>HYPERLINK("http://www.cnpol.ru/covers/22244.jpg","фото на сайте")</f>
        <v/>
      </c>
    </row>
    <row r="872" ht="50.1" customHeight="1" s="3">
      <c r="A872" s="23" t="inlineStr">
        <is>
          <t>Н</t>
        </is>
      </c>
      <c r="B872" s="24" t="inlineStr">
        <is>
          <t>22175</t>
        </is>
      </c>
      <c r="C872" s="23" t="inlineStr">
        <is>
          <t>КАРР</t>
        </is>
      </c>
      <c r="D872" s="23" t="inlineStr">
        <is>
          <t>Карр Р.</t>
        </is>
      </c>
      <c r="E872" s="23" t="inlineStr">
        <is>
          <t>Сбежавшая невеста</t>
        </is>
      </c>
      <c r="F872" s="23" t="inlineStr">
        <is>
          <t>        </t>
        </is>
      </c>
      <c r="G872" s="27" t="n">
        <v>1110</v>
      </c>
      <c r="H872" s="23" t="n">
        <v>10</v>
      </c>
      <c r="I872" s="23" t="n">
        <v>10</v>
      </c>
      <c r="J872" s="23" t="inlineStr">
        <is>
          <t>978-5-227-11343-6</t>
        </is>
      </c>
      <c r="K872" s="23" t="inlineStr">
        <is>
          <t>84x108 1/32</t>
        </is>
      </c>
      <c r="L872" s="23" t="inlineStr">
        <is>
          <t>тв</t>
        </is>
      </c>
      <c r="M872" s="23" t="n">
        <v>379</v>
      </c>
      <c r="N872" s="23" t="n">
        <v>2024</v>
      </c>
      <c r="O872" s="23" t="n">
        <v>425</v>
      </c>
      <c r="P872" s="23" t="n"/>
      <c r="Q872" s="23" t="n"/>
      <c r="R872" s="25" t="inlineStr">
        <is>
          <t>Дженифер была профессиональной любовницей. Большого труда ей стоило вырваться из нищеты, но уж теперь она имела все: драгоценности, роскошные автомобили, чудесный домик на берегу океана. Однажды Дженифер стала свидетельницей преступления: ее благодетель Ник Ноубл в порыве гнева убил жену. В страхе за свою жизнь девушка убежала в захолустный городок. Рассталась с внешностью холеной красавицы, устроилась работать в закусочную. Дженифер нашла свою любовь, настоящих друзей и стала наслаждаться простой жизнью. Пока ее не нашел Ник.</t>
        </is>
      </c>
      <c r="S872" s="26">
        <f>HYPERLINK("http://www.cnpol.ru/covers/22175.jpg","фото на сайте")</f>
        <v/>
      </c>
    </row>
    <row r="873" ht="50.1" customHeight="1" s="3">
      <c r="A873" s="23" t="inlineStr">
        <is>
          <t>Н</t>
        </is>
      </c>
      <c r="B873" s="24" t="inlineStr">
        <is>
          <t>22193</t>
        </is>
      </c>
      <c r="C873" s="23" t="inlineStr">
        <is>
          <t>КАРР</t>
        </is>
      </c>
      <c r="D873" s="23" t="inlineStr">
        <is>
          <t>Карр Р.</t>
        </is>
      </c>
      <c r="E873" s="23" t="inlineStr">
        <is>
          <t>Спасение в любви</t>
        </is>
      </c>
      <c r="F873" s="23" t="inlineStr">
        <is>
          <t>        </t>
        </is>
      </c>
      <c r="G873" s="27" t="n">
        <v>1278</v>
      </c>
      <c r="H873" s="23" t="n">
        <v>10</v>
      </c>
      <c r="I873" s="23" t="n">
        <v>10</v>
      </c>
      <c r="J873" s="23" t="inlineStr">
        <is>
          <t>978-5-227-11341-2</t>
        </is>
      </c>
      <c r="K873" s="23" t="inlineStr">
        <is>
          <t>84x100 1/32</t>
        </is>
      </c>
      <c r="L873" s="23" t="inlineStr">
        <is>
          <t>тв</t>
        </is>
      </c>
      <c r="M873" s="23" t="n">
        <v>443</v>
      </c>
      <c r="N873" s="23" t="n">
        <v>2024</v>
      </c>
      <c r="O873" s="23" t="n">
        <v>480</v>
      </c>
      <c r="P873" s="23" t="n"/>
      <c r="Q873" s="23" t="n"/>
      <c r="R873" s="25" t="inlineStr">
        <is>
          <t>В дождливый вечер, когда единственный в Вирджин-Ривер бар уже опустел, на его пороге появилась молодая женщина с трехлетним мальчиком на руках. Под глазом у нее был огромный синяк, а губа разбита. Повар Джон Мидлтон по прозвищу Причер приютил ее в комнатке над кухней и узнал, что Пейдж сбежала от мужа, состоятельного бизнесмена Уэса Лэсситера, который жестоко избивал ее. Причер, устрашающе большой и сильный человек, обладал необыкновенно добрым сердцем, шаг за шагом он пытался помочь Пейдж вернуться к нормальной жизни. Джону нравилась эта красивая искренняя женщина, к тому же он привязался к ее сынишке. Но Пейдж было нелегко снова довериться мужчине. Да и Уэс не собирался так просто ее отпустить...</t>
        </is>
      </c>
      <c r="S873" s="26">
        <f>HYPERLINK("http://www.cnpol.ru/covers/22193.jpg","фото на сайте")</f>
        <v/>
      </c>
    </row>
    <row r="874" ht="50.1" customHeight="1" s="3">
      <c r="A874" s="23" t="n"/>
      <c r="B874" s="24" t="inlineStr">
        <is>
          <t>17809</t>
        </is>
      </c>
      <c r="C874" s="23" t="inlineStr">
        <is>
          <t>КАРТИНЫ-ПАЗЛЫ</t>
        </is>
      </c>
      <c r="D874" s="23" t="inlineStr">
        <is>
          <t>Павитт Т</t>
        </is>
      </c>
      <c r="E874" s="23" t="inlineStr">
        <is>
          <t>Загадочные кошки. Картины-пазлы</t>
        </is>
      </c>
      <c r="F874" s="23" t="inlineStr">
        <is>
          <t>        </t>
        </is>
      </c>
      <c r="G874" s="23" t="n">
        <v>901</v>
      </c>
      <c r="H874" s="23" t="n">
        <v>10</v>
      </c>
      <c r="I874" s="23" t="n">
        <v>20</v>
      </c>
      <c r="J874" s="23" t="inlineStr">
        <is>
          <t>978-5-227-07765-3</t>
        </is>
      </c>
      <c r="K874" s="23" t="inlineStr">
        <is>
          <t>280х400</t>
        </is>
      </c>
      <c r="L874" s="23" t="inlineStr">
        <is>
          <t>мяг</t>
        </is>
      </c>
      <c r="M874" s="23" t="n">
        <v>48</v>
      </c>
      <c r="N874" s="23" t="n">
        <v>2017</v>
      </c>
      <c r="O874" s="23" t="n">
        <v>490</v>
      </c>
      <c r="P874" s="23" t="n"/>
      <c r="Q874" s="23" t="n"/>
      <c r="R874" s="25" t="inlineStr">
        <is>
          <t>Изучайте чудеса царства кошачьих вместе с этой увлекательной книгой. Сначала вы увидите паутину кругов, но внутри каждого пазла спрятана симпатичная усатая мордочка, ждущая, чтобы ее нашли! Многие часы радости гарантированы творческим умам всех возрастов. Выберите цвета и наслаждайтесь неожиданными эффектами, наблюдая, как оживает ваша уникальная картина.</t>
        </is>
      </c>
      <c r="S874" s="26">
        <f>HYPERLINK("http://www.cnpol.ru/covers/17809.jpg","фото на сайте")</f>
        <v/>
      </c>
    </row>
    <row r="875" ht="50.1" customHeight="1" s="3">
      <c r="A875" s="23" t="n"/>
      <c r="B875" s="24" t="inlineStr">
        <is>
          <t>20335</t>
        </is>
      </c>
      <c r="C875" s="23" t="inlineStr">
        <is>
          <t>КАРТОГРАФИЯ</t>
        </is>
      </c>
      <c r="D875" s="23" t="inlineStr">
        <is>
          <t>Браун Л.А.</t>
        </is>
      </c>
      <c r="E875" s="23" t="inlineStr">
        <is>
          <t>История географических карт</t>
        </is>
      </c>
      <c r="F875" s="23" t="inlineStr">
        <is>
          <t>        </t>
        </is>
      </c>
      <c r="G875" s="27" t="n">
        <v>1452</v>
      </c>
      <c r="H875" s="23" t="n">
        <v>10</v>
      </c>
      <c r="I875" s="23" t="n">
        <v>10</v>
      </c>
      <c r="J875" s="23" t="inlineStr">
        <is>
          <t>978-5-9524-5841-3</t>
        </is>
      </c>
      <c r="K875" s="23" t="inlineStr">
        <is>
          <t>60x90 1/16</t>
        </is>
      </c>
      <c r="L875" s="23" t="inlineStr">
        <is>
          <t>тв</t>
        </is>
      </c>
      <c r="M875" s="23" t="n">
        <v>480</v>
      </c>
      <c r="N875" s="23" t="n">
        <v>2022</v>
      </c>
      <c r="O875" s="23" t="n">
        <v>348</v>
      </c>
      <c r="P875" s="23" t="n"/>
      <c r="Q875" s="23" t="n"/>
      <c r="R875" s="25" t="inlineStr">
        <is>
          <t>Исследование Ллойда Арнольда Брауна охватывает период с середины II тысячелетия до н. э., когда вавилоняне ввели в обиход кадастровую съемку — составление планов земельных владений для расчетов налогов, — до XX века, увенчавшего историю картографии созданием подробной карты Земли. Автор рассказывает о том, как люди осознали необходимость изображения мира, какими инструментами и методами пользовались путешественники и ученые для составления сначала примитивных, а затем все более точных и всеобъемлющих карт.</t>
        </is>
      </c>
      <c r="S875" s="26">
        <f>HYPERLINK("http://www.cnpol.ru/covers/20335.jpg","фото на сайте")</f>
        <v/>
      </c>
    </row>
    <row r="876" ht="50.1" customHeight="1" s="3">
      <c r="A876" s="23" t="n"/>
      <c r="B876" s="24" t="inlineStr">
        <is>
          <t>20590</t>
        </is>
      </c>
      <c r="C876" s="23" t="inlineStr">
        <is>
          <t>КАРТОГРАФИЯ</t>
        </is>
      </c>
      <c r="D876" s="23" t="inlineStr">
        <is>
          <t>Багров Л.</t>
        </is>
      </c>
      <c r="E876" s="23" t="inlineStr">
        <is>
          <t>История картографии</t>
        </is>
      </c>
      <c r="F876" s="23" t="inlineStr">
        <is>
          <t>        </t>
        </is>
      </c>
      <c r="G876" s="27" t="n">
        <v>1755</v>
      </c>
      <c r="H876" s="23" t="n">
        <v>10</v>
      </c>
      <c r="I876" s="23" t="n">
        <v>10</v>
      </c>
      <c r="J876" s="23" t="inlineStr">
        <is>
          <t>978-5-227-10314-7</t>
        </is>
      </c>
      <c r="K876" s="23" t="inlineStr">
        <is>
          <t>84x108 1/32</t>
        </is>
      </c>
      <c r="L876" s="23" t="inlineStr">
        <is>
          <t>тв</t>
        </is>
      </c>
      <c r="M876" s="23" t="n">
        <v>319</v>
      </c>
      <c r="N876" s="23" t="n">
        <v>2023</v>
      </c>
      <c r="O876" s="23" t="n">
        <v>270</v>
      </c>
      <c r="P876" s="23" t="n"/>
      <c r="Q876" s="23" t="n"/>
      <c r="R876" s="25" t="inlineStr">
        <is>
          <t>Лео (Лев Семенович) Багров — основатель международного картографического журнала «Imago Mundi», ученый, путешественник, опубликовал более 70 работ, послуживших основой для этой книги, собрал богатейшую коллекцию карт, в том числе уникальных. В книге отражены важнейшие этапы возникновения и развития картографии с древних времен вплоть до XVIII в. Рассматриваются рукописные и печатные карты Европы, России, Америки, Китая, Японии, Индии, Персии и Турции. Издание богато иллюстрировано и снабжено обширным списком известных картографов мира.</t>
        </is>
      </c>
      <c r="S876" s="26">
        <f>HYPERLINK("http://www.cnpol.ru/covers/20590.jpg","фото на сайте")</f>
        <v/>
      </c>
    </row>
    <row r="877" ht="50.1" customHeight="1" s="3">
      <c r="A877" s="23" t="inlineStr">
        <is>
          <t>Д</t>
        </is>
      </c>
      <c r="B877" s="24" t="inlineStr">
        <is>
          <t>21814</t>
        </is>
      </c>
      <c r="C877" s="23" t="inlineStr">
        <is>
          <t>КАРТОГРАФИЯ</t>
        </is>
      </c>
      <c r="D877" s="23" t="inlineStr">
        <is>
          <t>Багров Л.</t>
        </is>
      </c>
      <c r="E877" s="23" t="inlineStr">
        <is>
          <t>История русской картографии</t>
        </is>
      </c>
      <c r="F877" s="23" t="inlineStr">
        <is>
          <t>        </t>
        </is>
      </c>
      <c r="G877" s="27" t="n">
        <v>1441</v>
      </c>
      <c r="H877" s="23" t="n">
        <v>10</v>
      </c>
      <c r="I877" s="23" t="n">
        <v>4</v>
      </c>
      <c r="J877" s="23" t="inlineStr">
        <is>
          <t>978-5-227-11136-4</t>
        </is>
      </c>
      <c r="K877" s="23" t="inlineStr">
        <is>
          <t>60x90 1/16</t>
        </is>
      </c>
      <c r="L877" s="23" t="inlineStr">
        <is>
          <t>тв</t>
        </is>
      </c>
      <c r="M877" s="23" t="n">
        <v>523</v>
      </c>
      <c r="N877" s="23" t="n">
        <v>2025</v>
      </c>
      <c r="O877" s="23" t="n">
        <v>658</v>
      </c>
      <c r="P877" s="23" t="n"/>
      <c r="Q877" s="23" t="n"/>
      <c r="R877" s="25" t="inlineStr">
        <is>
          <t>История русской картографии охватывает период с начала появления первых сведений о русских землях вплоть до конца XVIII века. Подробно освещена эпоха рукописных карт, созданных картографами Европы и Азии до изобретения пе¬чатного станка, работы западноевропейских и русских картографов до конца XVIII века, когда в России был создан Департамент карт, где централизованно создавались все карты страны.</t>
        </is>
      </c>
      <c r="S877" s="26">
        <f>HYPERLINK("http://www.cnpol.ru/covers/21814.jpg","фото на сайте")</f>
        <v/>
      </c>
    </row>
    <row r="878" ht="50.1" customHeight="1" s="3">
      <c r="A878" s="23" t="inlineStr">
        <is>
          <t>Н</t>
        </is>
      </c>
      <c r="B878" s="24" t="inlineStr">
        <is>
          <t>21932</t>
        </is>
      </c>
      <c r="C878" s="23" t="inlineStr">
        <is>
          <t>КАРТЫ</t>
        </is>
      </c>
      <c r="D878" s="23" t="inlineStr">
        <is>
          <t>Арнольд П.</t>
        </is>
      </c>
      <c r="E878" s="23" t="inlineStr">
        <is>
          <t>50 отборных карточных фокусов</t>
        </is>
      </c>
      <c r="F878" s="23" t="inlineStr">
        <is>
          <t>        </t>
        </is>
      </c>
      <c r="G878" s="23" t="n">
        <v>714</v>
      </c>
      <c r="H878" s="23" t="n">
        <v>10</v>
      </c>
      <c r="I878" s="23" t="n">
        <v>10</v>
      </c>
      <c r="J878" s="23" t="inlineStr">
        <is>
          <t>978-5-9524-6489-6</t>
        </is>
      </c>
      <c r="K878" s="23" t="inlineStr">
        <is>
          <t>60x90 1/16</t>
        </is>
      </c>
      <c r="L878" s="23" t="inlineStr">
        <is>
          <t>тв</t>
        </is>
      </c>
      <c r="M878" s="23" t="n">
        <v>158</v>
      </c>
      <c r="N878" s="23" t="n">
        <v>2012</v>
      </c>
      <c r="O878" s="23" t="n">
        <v>275</v>
      </c>
      <c r="P878" s="23" t="n"/>
      <c r="Q878" s="23" t="n"/>
      <c r="R878" s="25" t="inlineStr">
        <is>
          <t>"Автор книги открывает людям, не знакомым с карточными фокусами, те навыки и приемы, которые позволят им самостоятельно развлекать публику на дружеской вечеринке. Здесь вы найдете фокусы, которые не требуют никаких специальных навыков; фокусы, для которых нужен несложный реквизит, например носовой платок или ручка с бумагой; а также фокусы более сложные, подразумевающие такие приемы, как ложная тасовка, сдвиг, двойной подъем или карта, спрятанная в ладони. 
Книга предназначена для широкого круга читателей."</t>
        </is>
      </c>
      <c r="S878" s="26">
        <f>HYPERLINK("http://www.cnpol.ru/covers/21932.jpg","фото на сайте")</f>
        <v/>
      </c>
    </row>
    <row r="879" ht="50.1" customHeight="1" s="3">
      <c r="A879" s="23" t="inlineStr">
        <is>
          <t>Д</t>
        </is>
      </c>
      <c r="B879" s="24" t="inlineStr">
        <is>
          <t>22214</t>
        </is>
      </c>
      <c r="C879" s="23" t="inlineStr">
        <is>
          <t>КАРТЫ</t>
        </is>
      </c>
      <c r="D879" s="23" t="inlineStr">
        <is>
          <t>Арнольд П.</t>
        </is>
      </c>
      <c r="E879" s="23" t="inlineStr">
        <is>
          <t>Карточные игры и пасьянсы для одного игрока. Лучшая коллекция</t>
        </is>
      </c>
      <c r="F879" s="23" t="inlineStr">
        <is>
          <t>        </t>
        </is>
      </c>
      <c r="G879" s="23" t="n">
        <v>733</v>
      </c>
      <c r="H879" s="23" t="n">
        <v>10</v>
      </c>
      <c r="I879" s="23" t="n">
        <v>10</v>
      </c>
      <c r="J879" s="23" t="inlineStr">
        <is>
          <t>978-5-227-02135-9</t>
        </is>
      </c>
      <c r="K879" s="23" t="inlineStr">
        <is>
          <t>60x90 1/16</t>
        </is>
      </c>
      <c r="L879" s="23" t="inlineStr">
        <is>
          <t>тв</t>
        </is>
      </c>
      <c r="M879" s="23" t="n">
        <v>175</v>
      </c>
      <c r="N879" s="23" t="n">
        <v>2010</v>
      </c>
      <c r="O879" s="23" t="n">
        <v>300</v>
      </c>
      <c r="P879" s="23" t="n"/>
      <c r="Q879" s="23" t="n"/>
      <c r="R879" s="25" t="inlineStr">
        <is>
          <t>В книгу включено свыше пятидесяти наиболее интригующих и популярных в мире пасьянсов и игр, рассчитанных на одного игрока. Описания игр следуют по мере возрастания сложности, что упрощает процесс освоения мастерством. Все описания снабжены четкими рекомендациями, объяснениями правил, тактики и терминологии каждой игры.</t>
        </is>
      </c>
      <c r="S879" s="26">
        <f>HYPERLINK("http://www.cnpol.ru/covers/22214.jpg","фото на сайте")</f>
        <v/>
      </c>
    </row>
    <row r="880" ht="50.1" customHeight="1" s="3">
      <c r="A880" s="23" t="inlineStr">
        <is>
          <t>Д</t>
        </is>
      </c>
      <c r="B880" s="24" t="inlineStr">
        <is>
          <t>22056</t>
        </is>
      </c>
      <c r="C880" s="23" t="inlineStr">
        <is>
          <t>КАРТЫ</t>
        </is>
      </c>
      <c r="D880" s="23" t="inlineStr">
        <is>
          <t>Арнольд П.</t>
        </is>
      </c>
      <c r="E880" s="23" t="inlineStr">
        <is>
          <t>Покер. Уроки беспроигрышной игры от профессионала</t>
        </is>
      </c>
      <c r="F880" s="23" t="inlineStr">
        <is>
          <t>        </t>
        </is>
      </c>
      <c r="G880" s="23" t="n">
        <v>733</v>
      </c>
      <c r="H880" s="23" t="n">
        <v>10</v>
      </c>
      <c r="I880" s="23" t="n">
        <v>10</v>
      </c>
      <c r="J880" s="23" t="inlineStr">
        <is>
          <t>978-5-227-02079-6</t>
        </is>
      </c>
      <c r="K880" s="23" t="inlineStr">
        <is>
          <t>60x90 1/16</t>
        </is>
      </c>
      <c r="L880" s="23" t="inlineStr">
        <is>
          <t>тв</t>
        </is>
      </c>
      <c r="M880" s="23" t="n">
        <v>176</v>
      </c>
      <c r="N880" s="23" t="n">
        <v>2010</v>
      </c>
      <c r="O880" s="23" t="n">
        <v>300</v>
      </c>
      <c r="P880" s="23" t="n"/>
      <c r="Q880" s="23" t="n"/>
      <c r="R880" s="25" t="inlineStr">
        <is>
          <t>Эта книга — руководство для начинающих, которое научит вас играть в покер и, что самое важное, выигрывать! Правила для каждой разновидности покера объясняются простым, доступным для всех языком и сопровождаются наглядными иллюстрациями._x000D_
Вы научитесь торговаться, делать ставки и блефовать, как настоящий карточный шулер._x000D_
Книга предназначена для широкого круга читателей.</t>
        </is>
      </c>
      <c r="S880" s="26">
        <f>HYPERLINK("http://www.cnpol.ru/covers/22056.jpg","фото на сайте")</f>
        <v/>
      </c>
    </row>
    <row r="881" ht="50.1" customHeight="1" s="3">
      <c r="A881" s="23" t="n"/>
      <c r="B881" s="24" t="inlineStr">
        <is>
          <t>13483</t>
        </is>
      </c>
      <c r="C881" s="23" t="inlineStr">
        <is>
          <t>КАРТЫ</t>
        </is>
      </c>
      <c r="D881" s="23" t="inlineStr">
        <is>
          <t>Арнольд П.</t>
        </is>
      </c>
      <c r="E881" s="23" t="inlineStr">
        <is>
          <t>Полное руководство по карточным играм</t>
        </is>
      </c>
      <c r="F881" s="23" t="inlineStr">
        <is>
          <t>        </t>
        </is>
      </c>
      <c r="G881" s="23" t="n">
        <v>223</v>
      </c>
      <c r="H881" s="23" t="n">
        <v>22</v>
      </c>
      <c r="I881" s="23" t="n">
        <v>12</v>
      </c>
      <c r="J881" s="23" t="inlineStr">
        <is>
          <t>978-5-227-03551-6</t>
        </is>
      </c>
      <c r="K881" s="23" t="inlineStr">
        <is>
          <t>60x90 1/16</t>
        </is>
      </c>
      <c r="L881" s="23" t="inlineStr">
        <is>
          <t>мяг</t>
        </is>
      </c>
      <c r="M881" s="23" t="n">
        <v>255</v>
      </c>
      <c r="N881" s="23" t="n">
        <v>2012</v>
      </c>
      <c r="O881" s="23" t="n">
        <v>186</v>
      </c>
      <c r="P881" s="23" t="n"/>
      <c r="Q881" s="23" t="n"/>
      <c r="R881" s="25" t="n"/>
      <c r="S881" s="26">
        <f>HYPERLINK("http://www.cnpol.ru/covers/13483.jpg","фото на сайте")</f>
        <v/>
      </c>
    </row>
    <row r="882" ht="50.1" customHeight="1" s="3">
      <c r="A882" s="23" t="inlineStr">
        <is>
          <t>Н</t>
        </is>
      </c>
      <c r="B882" s="24" t="inlineStr">
        <is>
          <t>21931</t>
        </is>
      </c>
      <c r="C882" s="23" t="inlineStr">
        <is>
          <t>КАРТЫ</t>
        </is>
      </c>
      <c r="D882" s="23" t="inlineStr">
        <is>
          <t>Арнольд П.</t>
        </is>
      </c>
      <c r="E882" s="23" t="inlineStr">
        <is>
          <t>Полное руководство по карточным играм</t>
        </is>
      </c>
      <c r="F882" s="23" t="inlineStr">
        <is>
          <t>        </t>
        </is>
      </c>
      <c r="G882" s="23" t="n">
        <v>935</v>
      </c>
      <c r="H882" s="23" t="n">
        <v>10</v>
      </c>
      <c r="I882" s="23" t="n">
        <v>10</v>
      </c>
      <c r="J882" s="23" t="inlineStr">
        <is>
          <t>978-5-9524-6484-1</t>
        </is>
      </c>
      <c r="K882" s="23" t="inlineStr">
        <is>
          <t>60x90 1/16</t>
        </is>
      </c>
      <c r="L882" s="23" t="inlineStr">
        <is>
          <t>тв</t>
        </is>
      </c>
      <c r="M882" s="23" t="n">
        <v>256</v>
      </c>
      <c r="N882" s="23" t="n">
        <v>2008</v>
      </c>
      <c r="O882" s="23" t="n">
        <v>378</v>
      </c>
      <c r="P882" s="23" t="n"/>
      <c r="Q882" s="23" t="n"/>
      <c r="R882" s="25" t="inlineStr">
        <is>
          <t>"В этой книге дано описание больше 90 карточных игр с простыми объяснениями правил, ясными иллюстрациями раскладов и систем подсчета очков. Вы найдете здесь игры на любой вкус: от азартного бриджа и рами до самых сложных пасьянсов — и в самые короткие сроки освоите навыки опытного  игрока, хорошо разбирающегося в стратегии и тактике карточных игр.
Книга предназначена для широкого круга читателей."</t>
        </is>
      </c>
      <c r="S882" s="26">
        <f>HYPERLINK("http://www.cnpol.ru/covers/21931.jpg","фото на сайте")</f>
        <v/>
      </c>
    </row>
    <row r="883" ht="50.1" customHeight="1" s="3">
      <c r="A883" s="23" t="inlineStr">
        <is>
          <t>Д</t>
        </is>
      </c>
      <c r="B883" s="24" t="inlineStr">
        <is>
          <t>22211</t>
        </is>
      </c>
      <c r="C883" s="23" t="inlineStr">
        <is>
          <t>КВ+</t>
        </is>
      </c>
      <c r="D883" s="23" t="inlineStr">
        <is>
          <t>Баддели Д.</t>
        </is>
      </c>
      <c r="E883" s="23" t="inlineStr">
        <is>
          <t>Завоевание Кавказа русскими. 1720-1860</t>
        </is>
      </c>
      <c r="F883" s="23" t="inlineStr">
        <is>
          <t>        </t>
        </is>
      </c>
      <c r="G883" s="27" t="n">
        <v>1117</v>
      </c>
      <c r="H883" s="23" t="n">
        <v>10</v>
      </c>
      <c r="I883" s="23" t="n">
        <v>10</v>
      </c>
      <c r="J883" s="23" t="inlineStr">
        <is>
          <t>978-5-227-11351-1</t>
        </is>
      </c>
      <c r="K883" s="23" t="inlineStr">
        <is>
          <t>60x90 1/16</t>
        </is>
      </c>
      <c r="L883" s="23" t="inlineStr">
        <is>
          <t>тв</t>
        </is>
      </c>
      <c r="M883" s="23" t="n">
        <v>351</v>
      </c>
      <c r="N883" s="23" t="n">
        <v>2026</v>
      </c>
      <c r="O883" s="23" t="n">
        <v>467</v>
      </c>
      <c r="P883" s="23" t="n"/>
      <c r="Q883" s="23" t="n"/>
      <c r="R883" s="25" t="inlineStr">
        <is>
          <t>Кавказ можно сравнить с мощной крепостью, защищенной самой природой, поэтому?борьба русских за овладение им растянулась на многие десятилетия. В этой книге представлена хроника завоевания Кавказа от появления первых экспедиций в конце XVII?века до развертывания полномасштабной войны. В отличие от многотомного труда генерала Потто, Баддели сумел в одном издании несколько расширить рамки повествования, охватив период кавказской войны и после 30-х годов XIX века, описав противостояние русской армии и мюридов имама Шамиля. Прекрасный знаток традиций и быта горцев, автор приводит множество интереснейших фактов, редких свидетельств и данных военной статистики.</t>
        </is>
      </c>
      <c r="S883" s="26">
        <f>HYPERLINK("http://www.cnpol.ru/covers/22211.jpg","фото на сайте")</f>
        <v/>
      </c>
    </row>
    <row r="884" ht="50.1" customHeight="1" s="3">
      <c r="A884" s="23" t="n"/>
      <c r="B884" s="24" t="inlineStr">
        <is>
          <t>17857</t>
        </is>
      </c>
      <c r="C884" s="23" t="inlineStr">
        <is>
          <t>Кваша Нов</t>
        </is>
      </c>
      <c r="D884" s="23" t="inlineStr">
        <is>
          <t>Кваша Г.</t>
        </is>
      </c>
      <c r="E884" s="23" t="inlineStr">
        <is>
          <t>Годовые знаки</t>
        </is>
      </c>
      <c r="F884" s="23" t="inlineStr">
        <is>
          <t>        </t>
        </is>
      </c>
      <c r="G884" s="23" t="n">
        <v>428</v>
      </c>
      <c r="H884" s="23" t="n">
        <v>10</v>
      </c>
      <c r="I884" s="23" t="n">
        <v>16</v>
      </c>
      <c r="J884" s="23" t="inlineStr">
        <is>
          <t>978-5-227-07811-7</t>
        </is>
      </c>
      <c r="K884" s="23" t="inlineStr">
        <is>
          <t>60х90 1/32</t>
        </is>
      </c>
      <c r="L884" s="23" t="inlineStr">
        <is>
          <t>тв</t>
        </is>
      </c>
      <c r="M884" s="23" t="n">
        <v>416</v>
      </c>
      <c r="N884" s="23" t="n">
        <v>2017</v>
      </c>
      <c r="O884" s="23" t="n">
        <v>185</v>
      </c>
      <c r="P884" s="23" t="n"/>
      <c r="Q884" s="23" t="n"/>
      <c r="R884" s="25" t="inlineStr">
        <is>
          <t>Григорий Кваша предлагает новую книгу, построенную на характеристике годовых (восточных) знаков. Несмотря на популярность характеристик личностей в зависимости от зодиакальных знаков, базовые, фундаментальные качества человека обуславливает годовой знак. В особенности это относится к людям активным, творческим, готовым раскрыть себя на все сто. Заповеди годовых знаков для желающих быть замеченными и оцененными. Следуйте рекомендациям автора, и вы будете счастливы в семье и на работе.</t>
        </is>
      </c>
      <c r="S884" s="26">
        <f>HYPERLINK("http://www.cnpol.ru/covers/17857.jpg","фото на сайте")</f>
        <v/>
      </c>
    </row>
    <row r="885" ht="50.1" customHeight="1" s="3">
      <c r="A885" s="23" t="n"/>
      <c r="B885" s="24" t="inlineStr">
        <is>
          <t>17856</t>
        </is>
      </c>
      <c r="C885" s="23" t="inlineStr">
        <is>
          <t>Кваша Нов</t>
        </is>
      </c>
      <c r="D885" s="23" t="inlineStr">
        <is>
          <t>Кваша Г.</t>
        </is>
      </c>
      <c r="E885" s="23" t="inlineStr">
        <is>
          <t>Гороскоп для всех возрастов человека</t>
        </is>
      </c>
      <c r="F885" s="23" t="inlineStr">
        <is>
          <t>        </t>
        </is>
      </c>
      <c r="G885" s="23" t="n">
        <v>428</v>
      </c>
      <c r="H885" s="23" t="n">
        <v>10</v>
      </c>
      <c r="I885" s="23" t="n">
        <v>18</v>
      </c>
      <c r="J885" s="23" t="inlineStr">
        <is>
          <t>978-5-227-07810-0</t>
        </is>
      </c>
      <c r="K885" s="23" t="inlineStr">
        <is>
          <t>60х90 1/32</t>
        </is>
      </c>
      <c r="L885" s="23" t="inlineStr">
        <is>
          <t>тв</t>
        </is>
      </c>
      <c r="M885" s="23" t="n">
        <v>384</v>
      </c>
      <c r="N885" s="23" t="n">
        <v>2017</v>
      </c>
      <c r="O885" s="23" t="n">
        <v>174</v>
      </c>
      <c r="P885" s="23" t="n"/>
      <c r="Q885" s="23" t="n"/>
      <c r="R885" s="25" t="inlineStr">
        <is>
          <t>Свою книгу Григорий Кваша адресует тем, кто хочет жить счастливо, любить, уметь правильно вести себя в деловой сфере и в личных отношениях. Следуя всем советам, которые предлагает автор, вы уверенно справитесь с тяжелыми жизненными неудачами и будете счастливы.</t>
        </is>
      </c>
      <c r="S885" s="26">
        <f>HYPERLINK("http://www.cnpol.ru/covers/17856.jpg","фото на сайте")</f>
        <v/>
      </c>
    </row>
    <row r="886" ht="50.1" customHeight="1" s="3">
      <c r="A886" s="23" t="n"/>
      <c r="B886" s="24" t="inlineStr">
        <is>
          <t>17873</t>
        </is>
      </c>
      <c r="C886" s="23" t="inlineStr">
        <is>
          <t>Кваша Нов</t>
        </is>
      </c>
      <c r="D886" s="23" t="inlineStr">
        <is>
          <t>Кваша Г.</t>
        </is>
      </c>
      <c r="E886" s="23" t="inlineStr">
        <is>
          <t>Гороскоп любви и отношений</t>
        </is>
      </c>
      <c r="F886" s="23" t="inlineStr">
        <is>
          <t>        </t>
        </is>
      </c>
      <c r="G886" s="23" t="n">
        <v>468</v>
      </c>
      <c r="H886" s="23" t="n">
        <v>10</v>
      </c>
      <c r="I886" s="23" t="n">
        <v>14</v>
      </c>
      <c r="J886" s="23" t="inlineStr">
        <is>
          <t>978-5-227-07817-9</t>
        </is>
      </c>
      <c r="K886" s="23" t="inlineStr">
        <is>
          <t>60х90 1/32</t>
        </is>
      </c>
      <c r="L886" s="23" t="inlineStr">
        <is>
          <t>тв</t>
        </is>
      </c>
      <c r="M886" s="23" t="n">
        <v>512</v>
      </c>
      <c r="N886" s="23" t="n">
        <v>2017</v>
      </c>
      <c r="O886" s="23" t="n">
        <v>218</v>
      </c>
      <c r="P886" s="23" t="n"/>
      <c r="Q886" s="23" t="n"/>
      <c r="R886" s="25" t="inlineStr">
        <is>
          <t>Что надо знать мужчинам и женщинам, чтобы не ошибиться в выборе партнера, а выбрав, сохранить любовь и добрые отношения на долгие годы? Как избежать скуки и однообразия в семейной жизни, научиться понимать и ценить все то, что составляет понятие «любовь»? Эта книга предостережет вас от возможных ошибок, позволит лучше понять близких людей и самого себя.</t>
        </is>
      </c>
      <c r="S886" s="26">
        <f>HYPERLINK("http://www.cnpol.ru/covers/17873.jpg","фото на сайте")</f>
        <v/>
      </c>
    </row>
    <row r="887" ht="50.1" customHeight="1" s="3">
      <c r="A887" s="23" t="n"/>
      <c r="B887" s="24" t="inlineStr">
        <is>
          <t>18208</t>
        </is>
      </c>
      <c r="C887" s="23" t="inlineStr">
        <is>
          <t>Кваша Нов</t>
        </is>
      </c>
      <c r="D887" s="23" t="inlineStr">
        <is>
          <t>Кваша Г.</t>
        </is>
      </c>
      <c r="E887" s="23" t="inlineStr">
        <is>
          <t>Книга жизни. Ответы на все вопросы</t>
        </is>
      </c>
      <c r="F887" s="23" t="inlineStr">
        <is>
          <t>        </t>
        </is>
      </c>
      <c r="G887" s="23" t="n">
        <v>468</v>
      </c>
      <c r="H887" s="23" t="n">
        <v>10</v>
      </c>
      <c r="I887" s="23" t="n">
        <v>28</v>
      </c>
      <c r="J887" s="23" t="inlineStr">
        <is>
          <t>978-5-227-07846-9</t>
        </is>
      </c>
      <c r="K887" s="23" t="inlineStr">
        <is>
          <t>60x84 1/32</t>
        </is>
      </c>
      <c r="L887" s="23" t="inlineStr">
        <is>
          <t>тв</t>
        </is>
      </c>
      <c r="M887" s="23" t="n">
        <v>480</v>
      </c>
      <c r="N887" s="23" t="n">
        <v>2018</v>
      </c>
      <c r="O887" s="23" t="n">
        <v>208</v>
      </c>
      <c r="P887" s="23" t="n"/>
      <c r="Q887" s="23" t="n"/>
      <c r="R887" s="25" t="inlineStr">
        <is>
          <t>Структурный гороскоп — не доктрина, не учение, в привычном визионерском смысле слова, это обыкновенная наука, родившаяся, как и полагается, из собрания фактов, обнаружения закономерностей, написания законов,  затем многократно экспериментально перепроверенных. И не беда, а великое счастье Структурного гороскопа (СГ), что из собрания маленьких фактов родилась грандиозная система, могучая теория, сравнимая по масштабу с любым учением.</t>
        </is>
      </c>
      <c r="S887" s="26">
        <f>HYPERLINK("http://www.cnpol.ru/covers/18208.jpg","фото на сайте")</f>
        <v/>
      </c>
    </row>
    <row r="888" ht="50.1" customHeight="1" s="3">
      <c r="A888" s="23" t="n"/>
      <c r="B888" s="24" t="inlineStr">
        <is>
          <t>17855</t>
        </is>
      </c>
      <c r="C888" s="23" t="inlineStr">
        <is>
          <t>Кваша Нов</t>
        </is>
      </c>
      <c r="D888" s="23" t="inlineStr">
        <is>
          <t>Кваша Г.</t>
        </is>
      </c>
      <c r="E888" s="23" t="inlineStr">
        <is>
          <t>Структурный гороскоп в вопросах и ответах</t>
        </is>
      </c>
      <c r="F888" s="23" t="inlineStr">
        <is>
          <t>        </t>
        </is>
      </c>
      <c r="G888" s="23" t="n">
        <v>468</v>
      </c>
      <c r="H888" s="23" t="n">
        <v>10</v>
      </c>
      <c r="I888" s="23" t="n">
        <v>12</v>
      </c>
      <c r="J888" s="23" t="inlineStr">
        <is>
          <t>978-5-227-07812-4</t>
        </is>
      </c>
      <c r="K888" s="23" t="inlineStr">
        <is>
          <t>60х90 1/32</t>
        </is>
      </c>
      <c r="L888" s="23" t="inlineStr">
        <is>
          <t>тв</t>
        </is>
      </c>
      <c r="M888" s="23" t="n">
        <v>576</v>
      </c>
      <c r="N888" s="23" t="n">
        <v>2017</v>
      </c>
      <c r="O888" s="23" t="n">
        <v>240</v>
      </c>
      <c r="P888" s="23" t="n"/>
      <c r="Q888" s="23" t="n"/>
      <c r="R888" s="25" t="n"/>
      <c r="S888" s="26">
        <f>HYPERLINK("http://www.cnpol.ru/covers/17855.jpg","фото на сайте")</f>
        <v/>
      </c>
    </row>
    <row r="889" ht="50.1" customHeight="1" s="3">
      <c r="A889" s="23" t="n"/>
      <c r="B889" s="24" t="inlineStr">
        <is>
          <t>2551</t>
        </is>
      </c>
      <c r="C889" s="23" t="inlineStr">
        <is>
          <t>КИЭ</t>
        </is>
      </c>
      <c r="D889" s="23" t="inlineStr">
        <is>
          <t>Лев Лещенко</t>
        </is>
      </c>
      <c r="E889" s="23" t="inlineStr">
        <is>
          <t>Апология памяти</t>
        </is>
      </c>
      <c r="F889" s="23" t="inlineStr">
        <is>
          <t>        </t>
        </is>
      </c>
      <c r="G889" s="23" t="n">
        <v>241</v>
      </c>
      <c r="H889" s="23" t="n">
        <v>10</v>
      </c>
      <c r="I889" s="23" t="n">
        <v>12</v>
      </c>
      <c r="J889" s="23" t="inlineStr">
        <is>
          <t>5-227-01267-9</t>
        </is>
      </c>
      <c r="K889" s="23" t="inlineStr">
        <is>
          <t>84x108 1/32</t>
        </is>
      </c>
      <c r="L889" s="23" t="inlineStr">
        <is>
          <t>тв</t>
        </is>
      </c>
      <c r="M889" s="23" t="n">
        <v>363</v>
      </c>
      <c r="N889" s="23" t="n">
        <v>2001</v>
      </c>
      <c r="O889" s="23" t="n">
        <v>472</v>
      </c>
      <c r="P889" s="23" t="n"/>
      <c r="Q889" s="23" t="n"/>
      <c r="R889" s="25" t="inlineStr">
        <is>
          <t>Прославленный певец Лев Лещенко рассказывает о том главном, чем одарила его судьба, - о встречах с замечательными людьми. На эстрадном поприще - это выдающиеся певцы, композиторы, поэты, музыканты, вместе с которыми ему довелось способствовать развитию и процветанию отечественной музыкальной культуры. На жизненных перепутьях - это и известнейшие, влиятельнейшие личности современного делового мира, и простые сограждане, дорогие зрители и слушатели - благодарная публика, без которой не может существовать ни один артист.</t>
        </is>
      </c>
      <c r="S889" s="26">
        <f>HYPERLINK("http://www.cnpol.ru/covers/2551.jpg","фото на сайте")</f>
        <v/>
      </c>
    </row>
    <row r="890" ht="50.1" customHeight="1" s="3">
      <c r="A890" s="23" t="n"/>
      <c r="B890" s="24" t="inlineStr">
        <is>
          <t>3004</t>
        </is>
      </c>
      <c r="C890" s="23" t="inlineStr">
        <is>
          <t>КИЭ</t>
        </is>
      </c>
      <c r="D890" s="23" t="inlineStr">
        <is>
          <t>Пушкина</t>
        </is>
      </c>
      <c r="E890" s="23" t="inlineStr">
        <is>
          <t>Великая сила любви</t>
        </is>
      </c>
      <c r="F890" s="23" t="inlineStr">
        <is>
          <t>        </t>
        </is>
      </c>
      <c r="G890" s="23" t="n">
        <v>269</v>
      </c>
      <c r="H890" s="23" t="n">
        <v>10</v>
      </c>
      <c r="I890" s="23" t="n">
        <v>14</v>
      </c>
      <c r="J890" s="23" t="inlineStr">
        <is>
          <t>5-227-01624-0</t>
        </is>
      </c>
      <c r="K890" s="23" t="inlineStr">
        <is>
          <t>84x108 1/32</t>
        </is>
      </c>
      <c r="L890" s="23" t="inlineStr">
        <is>
          <t>тв</t>
        </is>
      </c>
      <c r="M890" s="23" t="n">
        <v>319</v>
      </c>
      <c r="N890" s="23" t="n">
        <v>2002</v>
      </c>
      <c r="O890" s="23" t="n">
        <v>352</v>
      </c>
      <c r="P890" s="23" t="n"/>
      <c r="Q890" s="23" t="n"/>
      <c r="R890" s="25" t="inlineStr">
        <is>
          <t>Бальзам для раненой души, истории, вызывающие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сделать себя как личность. Их откровения подчас шокируют своей прямотой, а судьбы порой оказываются удивительно похожими на ваши... Так что же им помогло стать знаменитыми? Деньги? Преданность делу? Любовь? Именитые гости известной телеведущей Оксаны Пушкиной делятся своими радостями и горестями, вспоминают людей, ставших для них надеждой и опорой, еще раз подтверждая, что каждый человек может добиться большего, чем имеет сейчас.</t>
        </is>
      </c>
      <c r="S890" s="26">
        <f>HYPERLINK("http://www.cnpol.ru/covers/3004.jpg","фото на сайте")</f>
        <v/>
      </c>
    </row>
    <row r="891" ht="50.1" customHeight="1" s="3">
      <c r="A891" s="23" t="n"/>
      <c r="B891" s="24" t="inlineStr">
        <is>
          <t>1818</t>
        </is>
      </c>
      <c r="C891" s="23" t="inlineStr">
        <is>
          <t>КИЭ</t>
        </is>
      </c>
      <c r="D891" s="23" t="inlineStr">
        <is>
          <t>Хилькевич</t>
        </is>
      </c>
      <c r="E891" s="23" t="inlineStr">
        <is>
          <t>За кадром</t>
        </is>
      </c>
      <c r="F891" s="23" t="inlineStr">
        <is>
          <t>        </t>
        </is>
      </c>
      <c r="G891" s="23" t="n">
        <v>358</v>
      </c>
      <c r="H891" s="23" t="n">
        <v>10</v>
      </c>
      <c r="I891" s="23" t="n">
        <v>10</v>
      </c>
      <c r="J891" s="23" t="inlineStr">
        <is>
          <t>5-227-00627-X</t>
        </is>
      </c>
      <c r="K891" s="23" t="inlineStr">
        <is>
          <t>84x108 1/32</t>
        </is>
      </c>
      <c r="L891" s="23" t="inlineStr">
        <is>
          <t>тв</t>
        </is>
      </c>
      <c r="M891" s="23" t="n">
        <v>375</v>
      </c>
      <c r="N891" s="23" t="n">
        <v>2000</v>
      </c>
      <c r="O891" s="23" t="n">
        <v>452</v>
      </c>
      <c r="P891" s="23" t="n"/>
      <c r="Q891" s="23" t="n"/>
      <c r="R891" s="25" t="inlineStr">
        <is>
          <t>Эта книга об известных людях, с которыми довелось работать одному из самых кассовых кинорежиссеров отечественного кинематографа. Его фильмы знают все. Георгий Юнгвальд-Хилькевич рассказывает о тех, с кем встречался на жизненном пути, о съемках картин, завоевавших любовь зрителей, о знаменитых артистах, играющих в этой книге самих себя на сцене жизни, о времени, которое почему-то принято называть застойным. Актеры, обязанные своей популярностью именно этому режиссеру, тоже делятся воспоминаниями о том времени. Режиссер поведает немало интересного о своих коллегах и единомышленниках, среди которых - Станислав Говорухин, Петр Тодоровский, Марк Захаров, а также о трудностях и перипетиях, связанных с созданием фильма. Эта книга обо всем том, что остается за кадром.</t>
        </is>
      </c>
      <c r="S891" s="26">
        <f>HYPERLINK("http://www.cnpol.ru/covers/1818.jpg","фото на сайте")</f>
        <v/>
      </c>
    </row>
    <row r="892" ht="50.1" customHeight="1" s="3">
      <c r="A892" s="23" t="n"/>
      <c r="B892" s="24" t="inlineStr">
        <is>
          <t>6179</t>
        </is>
      </c>
      <c r="C892" s="23" t="inlineStr">
        <is>
          <t>КИЭ</t>
        </is>
      </c>
      <c r="D892" s="23" t="inlineStr">
        <is>
          <t>Шер</t>
        </is>
      </c>
      <c r="E892" s="23" t="inlineStr">
        <is>
          <t>Как никогда не выйти замуж</t>
        </is>
      </c>
      <c r="F892" s="23" t="inlineStr">
        <is>
          <t>        </t>
        </is>
      </c>
      <c r="G892" s="23" t="n">
        <v>300</v>
      </c>
      <c r="H892" s="23" t="n">
        <v>10</v>
      </c>
      <c r="I892" s="23" t="n">
        <v>18</v>
      </c>
      <c r="J892" s="23" t="inlineStr">
        <is>
          <t>5-9524-2014-1</t>
        </is>
      </c>
      <c r="K892" s="23" t="inlineStr">
        <is>
          <t>84х90 1/32</t>
        </is>
      </c>
      <c r="L892" s="23" t="inlineStr">
        <is>
          <t>тв</t>
        </is>
      </c>
      <c r="M892" s="23" t="n">
        <v>220</v>
      </c>
      <c r="N892" s="23" t="n">
        <v>2005</v>
      </c>
      <c r="O892" s="23" t="n">
        <v>202</v>
      </c>
      <c r="P892" s="23" t="n"/>
      <c r="Q892" s="23" t="n"/>
      <c r="R892" s="25" t="inlineStr">
        <is>
          <t>Книга отличается блистательной иронией и тонким юмором. В необычной парадоксальной форме, сохраняя шутливую тональность от первой до последних страниц, автор затрагивает серьезные вечные темы: трудности во взаимоотношениях женщин и мужчин, обусловливаемые психологическими особенностями мировосприятия, причины семейных раздоров...</t>
        </is>
      </c>
      <c r="S892" s="26">
        <f>HYPERLINK("http://www.cnpol.ru/covers/6179.jpg","фото на сайте")</f>
        <v/>
      </c>
    </row>
    <row r="893" ht="50.1" customHeight="1" s="3">
      <c r="A893" s="23" t="n"/>
      <c r="B893" s="24" t="inlineStr">
        <is>
          <t>2163</t>
        </is>
      </c>
      <c r="C893" s="23" t="inlineStr">
        <is>
          <t>КИЭ</t>
        </is>
      </c>
      <c r="D893" s="23" t="inlineStr">
        <is>
          <t>Мэри Мейн</t>
        </is>
      </c>
      <c r="E893" s="23" t="inlineStr">
        <is>
          <t>Эвита Женщина с хлыстом</t>
        </is>
      </c>
      <c r="F893" s="23" t="inlineStr">
        <is>
          <t>        </t>
        </is>
      </c>
      <c r="G893" s="23" t="n">
        <v>358</v>
      </c>
      <c r="H893" s="23" t="n">
        <v>10</v>
      </c>
      <c r="I893" s="23" t="n">
        <v>12</v>
      </c>
      <c r="J893" s="23" t="inlineStr">
        <is>
          <t>5-227-00924-4</t>
        </is>
      </c>
      <c r="K893" s="23" t="inlineStr">
        <is>
          <t>70x100 1/32</t>
        </is>
      </c>
      <c r="L893" s="23" t="inlineStr">
        <is>
          <t>тв</t>
        </is>
      </c>
      <c r="M893" s="23" t="n">
        <v>381</v>
      </c>
      <c r="N893" s="23" t="n">
        <v>2000</v>
      </c>
      <c r="O893" s="23" t="n">
        <v>244</v>
      </c>
      <c r="P893" s="23" t="n"/>
      <c r="Q893" s="23" t="n"/>
      <c r="R893" s="25" t="n"/>
      <c r="S893" s="26">
        <f>HYPERLINK("http://www.cnpol.ru/covers/2163.jpg","фото на сайте")</f>
        <v/>
      </c>
    </row>
    <row r="894" ht="50.1" customHeight="1" s="3">
      <c r="A894" s="23" t="n"/>
      <c r="B894" s="24" t="inlineStr">
        <is>
          <t>6011</t>
        </is>
      </c>
      <c r="C894" s="23" t="inlineStr">
        <is>
          <t>КИЭ</t>
        </is>
      </c>
      <c r="D894" s="23" t="inlineStr">
        <is>
          <t>Шер</t>
        </is>
      </c>
      <c r="E894" s="23" t="inlineStr">
        <is>
          <t>Я была женой Нагиева</t>
        </is>
      </c>
      <c r="F894" s="23" t="inlineStr">
        <is>
          <t>        </t>
        </is>
      </c>
      <c r="G894" s="23" t="n">
        <v>300</v>
      </c>
      <c r="H894" s="23" t="n">
        <v>10</v>
      </c>
      <c r="I894" s="23" t="n">
        <v>14</v>
      </c>
      <c r="J894" s="23" t="inlineStr">
        <is>
          <t>5-9524-1862-7</t>
        </is>
      </c>
      <c r="K894" s="23" t="inlineStr">
        <is>
          <t>84x108 1/32</t>
        </is>
      </c>
      <c r="L894" s="23" t="inlineStr">
        <is>
          <t>тв</t>
        </is>
      </c>
      <c r="M894" s="23" t="n">
        <v>252</v>
      </c>
      <c r="N894" s="23" t="n">
        <v>2005</v>
      </c>
      <c r="O894" s="23" t="n">
        <v>296</v>
      </c>
      <c r="P894" s="23" t="n"/>
      <c r="Q894" s="23" t="n"/>
      <c r="R894" s="25" t="n"/>
      <c r="S894" s="26">
        <f>HYPERLINK("http://www.cnpol.ru/covers/6011.jpg","фото на сайте")</f>
        <v/>
      </c>
    </row>
    <row r="895" ht="50.1" customHeight="1" s="3">
      <c r="A895" s="23" t="n"/>
      <c r="B895" s="24" t="inlineStr">
        <is>
          <t>19498</t>
        </is>
      </c>
      <c r="C895" s="23" t="inlineStr">
        <is>
          <t>КИЭ НОВ</t>
        </is>
      </c>
      <c r="D895" s="23" t="inlineStr">
        <is>
          <t>Солнцев Г.</t>
        </is>
      </c>
      <c r="E895" s="23" t="inlineStr">
        <is>
          <t>Боль. Изгнание, или Вниз по лестнице, ведущей вверх</t>
        </is>
      </c>
      <c r="F895" s="23" t="inlineStr">
        <is>
          <t>        </t>
        </is>
      </c>
      <c r="G895" s="23" t="n">
        <v>791</v>
      </c>
      <c r="H895" s="23" t="n">
        <v>10</v>
      </c>
      <c r="I895" s="23" t="n">
        <v>20</v>
      </c>
      <c r="J895" s="23" t="inlineStr">
        <is>
          <t>978-5-227-09365-3</t>
        </is>
      </c>
      <c r="K895" s="23" t="inlineStr">
        <is>
          <t>84x108 1/32</t>
        </is>
      </c>
      <c r="L895" s="23" t="inlineStr">
        <is>
          <t>тв</t>
        </is>
      </c>
      <c r="M895" s="23" t="n">
        <v>224</v>
      </c>
      <c r="N895" s="23" t="n">
        <v>2021</v>
      </c>
      <c r="O895" s="23" t="n">
        <v>276</v>
      </c>
      <c r="P895" s="23" t="n"/>
      <c r="Q895" s="23" t="n"/>
      <c r="R895" s="25" t="n"/>
      <c r="S895" s="26">
        <f>HYPERLINK("http://www.cnpol.ru/covers/19498.jpg","фото на сайте")</f>
        <v/>
      </c>
    </row>
    <row r="896" ht="50.1" customHeight="1" s="3">
      <c r="A896" s="23" t="inlineStr">
        <is>
          <t>Н</t>
        </is>
      </c>
      <c r="B896" s="24" t="inlineStr">
        <is>
          <t>22096</t>
        </is>
      </c>
      <c r="C896" s="23" t="inlineStr">
        <is>
          <t>КИЭ НОВ</t>
        </is>
      </c>
      <c r="D896" s="23" t="inlineStr">
        <is>
          <t>Бакл Р.</t>
        </is>
      </c>
      <c r="E896" s="23" t="inlineStr">
        <is>
          <t>Вацлав Нижинский. Трагическая судьба бога танца</t>
        </is>
      </c>
      <c r="F896" s="23" t="inlineStr">
        <is>
          <t>        </t>
        </is>
      </c>
      <c r="G896" s="27" t="n">
        <v>1520</v>
      </c>
      <c r="H896" s="23" t="n">
        <v>10</v>
      </c>
      <c r="I896" s="23" t="n">
        <v>10</v>
      </c>
      <c r="J896" s="23" t="inlineStr">
        <is>
          <t>978-5-9524-6670-8</t>
        </is>
      </c>
      <c r="K896" s="23" t="inlineStr">
        <is>
          <t>60x90 1/16</t>
        </is>
      </c>
      <c r="L896" s="23" t="inlineStr">
        <is>
          <t>тв</t>
        </is>
      </c>
      <c r="M896" s="23" t="n">
        <v>494</v>
      </c>
      <c r="N896" s="23" t="n">
        <v>2026</v>
      </c>
      <c r="O896" s="23" t="n">
        <v>634</v>
      </c>
      <c r="P896" s="23" t="n"/>
      <c r="Q896" s="23" t="n"/>
      <c r="R896" s="25" t="inlineStr">
        <is>
          <t>В книге повествуется о короткой, но необычайно яркой творческой судьбе и жизненной драме Вацлава Нижинского, которого современники называли богом танца, чьим талантом восхищался Шаляпин, кому рукоплескала театральная публика многих европейских столиц. Автор опирается на обширный, порой уникальный документальный материал, воспоминания современников великого танцовщика.</t>
        </is>
      </c>
      <c r="S896" s="26">
        <f>HYPERLINK("http://www.cnpol.ru/covers/22096.jpg","фото на сайте")</f>
        <v/>
      </c>
    </row>
    <row r="897" ht="50.1" customHeight="1" s="3">
      <c r="A897" s="23" t="inlineStr">
        <is>
          <t>Д</t>
        </is>
      </c>
      <c r="B897" s="24" t="inlineStr">
        <is>
          <t>21259</t>
        </is>
      </c>
      <c r="C897" s="23" t="inlineStr">
        <is>
          <t>КИЭ НОВ</t>
        </is>
      </c>
      <c r="D897" s="23" t="inlineStr">
        <is>
          <t>Раневская Ф.Г.</t>
        </is>
      </c>
      <c r="E897" s="23" t="inlineStr">
        <is>
          <t>Я — многообразная старуха</t>
        </is>
      </c>
      <c r="F897" s="23" t="inlineStr">
        <is>
          <t>        </t>
        </is>
      </c>
      <c r="G897" s="23" t="n">
        <v>538</v>
      </c>
      <c r="H897" s="23" t="n">
        <v>10</v>
      </c>
      <c r="I897" s="23" t="n">
        <v>16</v>
      </c>
      <c r="J897" s="23" t="inlineStr">
        <is>
          <t>978-5-227-10736-7</t>
        </is>
      </c>
      <c r="K897" s="23" t="inlineStr">
        <is>
          <t>82x100 1/32</t>
        </is>
      </c>
      <c r="L897" s="23" t="inlineStr">
        <is>
          <t>тв</t>
        </is>
      </c>
      <c r="M897" s="23" t="n">
        <v>191</v>
      </c>
      <c r="N897" s="23" t="n">
        <v>2024</v>
      </c>
      <c r="O897" s="23" t="n">
        <v>190</v>
      </c>
      <c r="P897" s="23" t="n"/>
      <c r="Q897" s="23" t="n"/>
      <c r="R897" s="25" t="inlineStr">
        <is>
          <t>Фаина Георгиевна Раневская — российская и советская актриса театра и кино, народная артистка СССР, кавалер ордена Ленина, лауреат трех Сталинских премий, ее именем в 1986 году был назван астероид… Самобытная и талантливая, она долгие годы своей жизни отдала театру, однако больше знакома нам по ярким и запоминающимся киноролям. Но большинство из нас любят и помнят ее не за это. Умная и самоироничная, она колола языком как жалом, но в то же время была ранимая. Она могла запросто раздать половину зарплаты нуждающимся и подбрасывала подарки в карманы уходящим гостям… Эта удивительная женщина была воплощением противоречия: хотела любить, но была одинока. Одни искали с ней встреч, другие избегали, одни боготворили, другие боялись и впадали в ступор, попав под словесный «обстрел» ее парадоксальной натуры. Именно острословие и искрометный юмор сделали Фаину Георгиевну любимицей многих. В беседах Раневская не стеснялась в выражениях, ее гениальные фразы разбирались на цитаты и сразу разлетались по городам и весям. Она была неудобной актрисой на сцене, а иногда и человеком в быту, потому, что остро реагировала на фальшь и ложь. Ее язвительная мудрость была, есть и будет актуальной.</t>
        </is>
      </c>
      <c r="S897" s="26">
        <f>HYPERLINK("http://www.cnpol.ru/covers/21259.jpg","фото на сайте")</f>
        <v/>
      </c>
    </row>
    <row r="898" ht="50.1" customHeight="1" s="3">
      <c r="A898" s="23" t="n"/>
      <c r="B898" s="24" t="inlineStr">
        <is>
          <t>10685</t>
        </is>
      </c>
      <c r="C898" s="23" t="inlineStr">
        <is>
          <t>КЛ</t>
        </is>
      </c>
      <c r="D898" s="23" t="inlineStr">
        <is>
          <t>Новикова О.</t>
        </is>
      </c>
      <c r="E898" s="23" t="inlineStr">
        <is>
          <t>Безумствуя любя</t>
        </is>
      </c>
      <c r="F898" s="23" t="inlineStr">
        <is>
          <t>        </t>
        </is>
      </c>
      <c r="G898" s="23" t="n">
        <v>428</v>
      </c>
      <c r="H898" s="23" t="n">
        <v>10</v>
      </c>
      <c r="I898" s="23" t="n">
        <v>24</v>
      </c>
      <c r="J898" s="23" t="inlineStr">
        <is>
          <t>978-5-9524-3854-5</t>
        </is>
      </c>
      <c r="K898" s="23" t="inlineStr">
        <is>
          <t>84x108 1/32</t>
        </is>
      </c>
      <c r="L898" s="23" t="inlineStr">
        <is>
          <t>тв</t>
        </is>
      </c>
      <c r="M898" s="23" t="n">
        <v>190</v>
      </c>
      <c r="N898" s="23" t="n">
        <v>2008</v>
      </c>
      <c r="O898" s="23" t="n">
        <v>202</v>
      </c>
      <c r="P898" s="23" t="n"/>
      <c r="Q898" s="23" t="n"/>
      <c r="R898" s="25" t="inlineStr">
        <is>
          <t>Ах, как иногда литературной богине не хватает обыкновенного женского счастья. Холод горных высот обжигает, и от отчаяния спасут только теплые, сильные руки мужчины. А простая баба - тягловая сила жизни - мечтает вдохнуть опьяняющий воздух...</t>
        </is>
      </c>
      <c r="S898" s="26">
        <f>HYPERLINK("http://www.cnpol.ru/covers/10685.jpg","фото на сайте")</f>
        <v/>
      </c>
    </row>
    <row r="899" ht="50.1" customHeight="1" s="3">
      <c r="A899" s="23" t="n"/>
      <c r="B899" s="24" t="inlineStr">
        <is>
          <t>10762</t>
        </is>
      </c>
      <c r="C899" s="23" t="inlineStr">
        <is>
          <t>КЛ</t>
        </is>
      </c>
      <c r="D899" s="23" t="inlineStr">
        <is>
          <t>Шойерман С.</t>
        </is>
      </c>
      <c r="E899" s="23" t="inlineStr">
        <is>
          <t>Богатые девушки</t>
        </is>
      </c>
      <c r="F899" s="23" t="inlineStr">
        <is>
          <t>        </t>
        </is>
      </c>
      <c r="G899" s="23" t="n">
        <v>428</v>
      </c>
      <c r="H899" s="23" t="n">
        <v>10</v>
      </c>
      <c r="I899" s="23" t="n">
        <v>24</v>
      </c>
      <c r="J899" s="23" t="inlineStr">
        <is>
          <t>978-5-9524-3883-5</t>
        </is>
      </c>
      <c r="K899" s="23" t="inlineStr">
        <is>
          <t>84x108 1/32</t>
        </is>
      </c>
      <c r="L899" s="23" t="inlineStr">
        <is>
          <t>тв</t>
        </is>
      </c>
      <c r="M899" s="23" t="n">
        <v>191</v>
      </c>
      <c r="N899" s="23" t="n">
        <v>2008</v>
      </c>
      <c r="O899" s="23" t="n">
        <v>216</v>
      </c>
      <c r="P899" s="23" t="n"/>
      <c r="Q899" s="23" t="n"/>
      <c r="R899" s="25" t="inlineStr">
        <is>
          <t>Эти тайные встречи, касания, поцелуи, слияния не имели никакой истории, никакого развития. Тысячи раз прощупывая каждую мелочь и пробуя ее на вкус, она находила в них только цепь унижений. Словно ожерелье из черного жемчуга, она невидимо носила его на шее. Но никто никогда даже не догадывался об этом.</t>
        </is>
      </c>
      <c r="S899" s="26">
        <f>HYPERLINK("http://www.cnpol.ru/covers/10762.jpg","фото на сайте")</f>
        <v/>
      </c>
    </row>
    <row r="900" ht="50.1" customHeight="1" s="3">
      <c r="A900" s="23" t="n"/>
      <c r="B900" s="24" t="inlineStr">
        <is>
          <t>11243</t>
        </is>
      </c>
      <c r="C900" s="23" t="inlineStr">
        <is>
          <t>КЛ</t>
        </is>
      </c>
      <c r="D900" s="23" t="inlineStr">
        <is>
          <t>Новикова О.</t>
        </is>
      </c>
      <c r="E900" s="23" t="inlineStr">
        <is>
          <t>Гуру и зомби</t>
        </is>
      </c>
      <c r="F900" s="23" t="inlineStr">
        <is>
          <t>        </t>
        </is>
      </c>
      <c r="G900" s="23" t="n">
        <v>428</v>
      </c>
      <c r="H900" s="23" t="n">
        <v>10</v>
      </c>
      <c r="I900" s="23" t="n">
        <v>16</v>
      </c>
      <c r="J900" s="23" t="inlineStr">
        <is>
          <t>978-5-9524-4120-0</t>
        </is>
      </c>
      <c r="K900" s="23" t="inlineStr">
        <is>
          <t>84x108 1/32</t>
        </is>
      </c>
      <c r="L900" s="23" t="inlineStr">
        <is>
          <t>тв</t>
        </is>
      </c>
      <c r="M900" s="23" t="n">
        <v>190</v>
      </c>
      <c r="N900" s="23" t="n">
        <v>2009</v>
      </c>
      <c r="O900" s="23" t="n">
        <v>222</v>
      </c>
      <c r="P900" s="23" t="n"/>
      <c r="Q900" s="23" t="n"/>
      <c r="R900" s="25" t="inlineStr">
        <is>
          <t>Властитель дум, тел и душ великолепный Нестор умеет пользоваться и наслаждаться этой быстротекущей жизнью. Восторженные обожатели жадной толпой обступают кумира, за место рядом с ним идет жестокая бесчеловечная борьба. За блистательным Нестором всегда маячит невыразительная женщина — его послушная тень. Кромешно черная, рабски преданная, она готова поглотить и его самого...</t>
        </is>
      </c>
      <c r="S900" s="26">
        <f>HYPERLINK("http://www.cnpol.ru/covers/11243.jpg","фото на сайте")</f>
        <v/>
      </c>
    </row>
    <row r="901" ht="50.1" customHeight="1" s="3">
      <c r="A901" s="23" t="n"/>
      <c r="B901" s="24" t="inlineStr">
        <is>
          <t>10488</t>
        </is>
      </c>
      <c r="C901" s="23" t="inlineStr">
        <is>
          <t>КЛ</t>
        </is>
      </c>
      <c r="D901" s="23" t="inlineStr">
        <is>
          <t>Симонова Н.</t>
        </is>
      </c>
      <c r="E901" s="23" t="inlineStr">
        <is>
          <t>Свингующие</t>
        </is>
      </c>
      <c r="F901" s="23" t="inlineStr">
        <is>
          <t>        </t>
        </is>
      </c>
      <c r="G901" s="23" t="n">
        <v>428</v>
      </c>
      <c r="H901" s="23" t="n">
        <v>10</v>
      </c>
      <c r="I901" s="23" t="n">
        <v>20</v>
      </c>
      <c r="J901" s="23" t="inlineStr">
        <is>
          <t>978-5-9524-3703-6</t>
        </is>
      </c>
      <c r="K901" s="23" t="inlineStr">
        <is>
          <t>84x108 1/32</t>
        </is>
      </c>
      <c r="L901" s="23" t="inlineStr">
        <is>
          <t>тв</t>
        </is>
      </c>
      <c r="M901" s="23" t="n">
        <v>191</v>
      </c>
      <c r="N901" s="23" t="n">
        <v>2008</v>
      </c>
      <c r="O901" s="23" t="n">
        <v>218</v>
      </c>
      <c r="P901" s="23" t="n"/>
      <c r="Q901" s="23" t="n"/>
      <c r="R901" s="25" t="n"/>
      <c r="S901" s="26">
        <f>HYPERLINK("http://www.cnpol.ru/covers/10488.jpg","фото на сайте")</f>
        <v/>
      </c>
    </row>
    <row r="902" ht="50.1" customHeight="1" s="3">
      <c r="A902" s="23" t="n"/>
      <c r="B902" s="24" t="inlineStr">
        <is>
          <t>94</t>
        </is>
      </c>
      <c r="C902" s="23" t="inlineStr">
        <is>
          <t>КЛ</t>
        </is>
      </c>
      <c r="D902" s="23" t="inlineStr">
        <is>
          <t>Комарова А.</t>
        </is>
      </c>
      <c r="E902" s="23" t="inlineStr">
        <is>
          <t>Формула нелюбви</t>
        </is>
      </c>
      <c r="F902" s="23" t="inlineStr">
        <is>
          <t>        </t>
        </is>
      </c>
      <c r="G902" s="23" t="n">
        <v>428</v>
      </c>
      <c r="H902" s="23" t="n">
        <v>10</v>
      </c>
      <c r="I902" s="23" t="n">
        <v>20</v>
      </c>
      <c r="J902" s="23" t="inlineStr">
        <is>
          <t>978-5-9524-3211-6</t>
        </is>
      </c>
      <c r="K902" s="23" t="inlineStr">
        <is>
          <t>84x108 1/32</t>
        </is>
      </c>
      <c r="L902" s="23" t="inlineStr">
        <is>
          <t>тв</t>
        </is>
      </c>
      <c r="M902" s="23" t="n">
        <v>190</v>
      </c>
      <c r="N902" s="23" t="n">
        <v>2008</v>
      </c>
      <c r="O902" s="23" t="n">
        <v>224</v>
      </c>
      <c r="P902" s="23" t="n"/>
      <c r="Q902" s="23" t="n"/>
      <c r="R902" s="25" t="n"/>
      <c r="S902" s="26">
        <f>HYPERLINK("http://www.cnpol.ru/covers/94.jpg","фото на сайте")</f>
        <v/>
      </c>
    </row>
    <row r="903" ht="50.1" customHeight="1" s="3">
      <c r="A903" s="23" t="n"/>
      <c r="B903" s="24" t="inlineStr">
        <is>
          <t>8684</t>
        </is>
      </c>
      <c r="C903" s="23" t="inlineStr">
        <is>
          <t>КЛ</t>
        </is>
      </c>
      <c r="D903" s="23" t="inlineStr">
        <is>
          <t>Комарова А.</t>
        </is>
      </c>
      <c r="E903" s="23" t="inlineStr">
        <is>
          <t>Шелковая девушка</t>
        </is>
      </c>
      <c r="F903" s="23" t="inlineStr">
        <is>
          <t>        </t>
        </is>
      </c>
      <c r="G903" s="23" t="n">
        <v>428</v>
      </c>
      <c r="H903" s="23" t="n">
        <v>10</v>
      </c>
      <c r="I903" s="23" t="n">
        <v>20</v>
      </c>
      <c r="J903" s="23" t="inlineStr">
        <is>
          <t>978-5-9524-2962-8</t>
        </is>
      </c>
      <c r="K903" s="23" t="inlineStr">
        <is>
          <t>84x108 1/32</t>
        </is>
      </c>
      <c r="L903" s="23" t="inlineStr">
        <is>
          <t>тв</t>
        </is>
      </c>
      <c r="M903" s="23" t="n">
        <v>222</v>
      </c>
      <c r="N903" s="23" t="n">
        <v>2008</v>
      </c>
      <c r="O903" s="23" t="n">
        <v>238</v>
      </c>
      <c r="P903" s="23" t="n"/>
      <c r="Q903" s="23" t="n"/>
      <c r="R903" s="25" t="n"/>
      <c r="S903" s="26">
        <f>HYPERLINK("http://www.cnpol.ru/covers/8684.jpg","фото на сайте")</f>
        <v/>
      </c>
    </row>
    <row r="904" ht="50.1" customHeight="1" s="3">
      <c r="A904" s="23" t="n"/>
      <c r="B904" s="24" t="inlineStr">
        <is>
          <t>4650</t>
        </is>
      </c>
      <c r="C904" s="23" t="inlineStr">
        <is>
          <t>КЛР</t>
        </is>
      </c>
      <c r="D904" s="23" t="inlineStr">
        <is>
          <t>Картленд Б.</t>
        </is>
      </c>
      <c r="E904" s="23" t="inlineStr">
        <is>
          <t>Монетка в фонтане</t>
        </is>
      </c>
      <c r="F904" s="23" t="inlineStr">
        <is>
          <t>        </t>
        </is>
      </c>
      <c r="G904" s="23" t="n">
        <v>38</v>
      </c>
      <c r="H904" s="23" t="n">
        <v>10</v>
      </c>
      <c r="I904" s="23" t="n">
        <v>32</v>
      </c>
      <c r="J904" s="23" t="inlineStr">
        <is>
          <t>5-9524-0861-3</t>
        </is>
      </c>
      <c r="K904" s="23" t="inlineStr">
        <is>
          <t>70x90 1/32</t>
        </is>
      </c>
      <c r="L904" s="23" t="inlineStr">
        <is>
          <t>мяг</t>
        </is>
      </c>
      <c r="M904" s="23" t="inlineStr">
        <is>
          <t>    </t>
        </is>
      </c>
      <c r="N904" s="23" t="inlineStr">
        <is>
          <t>    </t>
        </is>
      </c>
      <c r="O904" s="23" t="inlineStr">
        <is>
          <t>     </t>
        </is>
      </c>
      <c r="P904" s="23" t="n"/>
      <c r="Q904" s="23" t="n"/>
      <c r="R904" s="25" t="n"/>
      <c r="S904" s="26">
        <f>HYPERLINK("http://www.cnpol.ru/covers/4650.jpg","фото на сайте")</f>
        <v/>
      </c>
    </row>
    <row r="905" ht="50.1" customHeight="1" s="3">
      <c r="A905" s="23" t="n"/>
      <c r="B905" s="24" t="inlineStr">
        <is>
          <t>11550</t>
        </is>
      </c>
      <c r="C905" s="23" t="inlineStr">
        <is>
          <t>КНИГА-ТРЕНИНГ</t>
        </is>
      </c>
      <c r="D905" s="23" t="inlineStr">
        <is>
          <t>Журавлева Г.</t>
        </is>
      </c>
      <c r="E905" s="23" t="inlineStr">
        <is>
          <t>Эффективное управление своей жизнью на 200 % Советы для тех кто никогда ничего не успевает</t>
        </is>
      </c>
      <c r="F905" s="23" t="inlineStr">
        <is>
          <t>        </t>
        </is>
      </c>
      <c r="G905" s="23" t="n">
        <v>134</v>
      </c>
      <c r="H905" s="23" t="n">
        <v>10</v>
      </c>
      <c r="I905" s="23" t="n">
        <v>30</v>
      </c>
      <c r="J905" s="23" t="inlineStr">
        <is>
          <t>978-5-9524-4533-8</t>
        </is>
      </c>
      <c r="K905" s="23" t="inlineStr">
        <is>
          <t>84x108 1/32 (обл)</t>
        </is>
      </c>
      <c r="L905" s="23" t="inlineStr">
        <is>
          <t>мяг</t>
        </is>
      </c>
      <c r="M905" s="23" t="n">
        <v>189</v>
      </c>
      <c r="N905" s="23" t="n">
        <v>2009</v>
      </c>
      <c r="O905" s="23" t="n">
        <v>120</v>
      </c>
      <c r="P905" s="23" t="n"/>
      <c r="Q905" s="23" t="n"/>
      <c r="R905" s="25" t="n"/>
      <c r="S905" s="26">
        <f>HYPERLINK("http://www.cnpol.ru/covers/11550.jpg","фото на сайте")</f>
        <v/>
      </c>
    </row>
    <row r="906" ht="50.1" customHeight="1" s="3">
      <c r="A906" s="23" t="n"/>
      <c r="B906" s="24" t="inlineStr">
        <is>
          <t>17217</t>
        </is>
      </c>
      <c r="C906" s="23" t="inlineStr">
        <is>
          <t>Книги по искусству</t>
        </is>
      </c>
      <c r="D906" s="23" t="inlineStr">
        <is>
          <t>Боровский А.Д.</t>
        </is>
      </c>
      <c r="E906" s="23" t="inlineStr">
        <is>
          <t>Как-то раз Зевксис с Паррасием… Современное искусство: практические наблюдения</t>
        </is>
      </c>
      <c r="F906" s="23" t="inlineStr">
        <is>
          <t>        </t>
        </is>
      </c>
      <c r="G906" s="27" t="n">
        <v>1152</v>
      </c>
      <c r="H906" s="23" t="n">
        <v>10</v>
      </c>
      <c r="I906" s="23" t="n">
        <v>10</v>
      </c>
      <c r="J906" s="23" t="inlineStr">
        <is>
          <t>978-5-227-07198-9</t>
        </is>
      </c>
      <c r="K906" s="23" t="inlineStr">
        <is>
          <t>60х100 1/16</t>
        </is>
      </c>
      <c r="L906" s="23" t="inlineStr">
        <is>
          <t>Интегр</t>
        </is>
      </c>
      <c r="M906" s="23" t="n">
        <v>320</v>
      </c>
      <c r="N906" s="23" t="n">
        <v>2016</v>
      </c>
      <c r="O906" s="23" t="n">
        <v>362</v>
      </c>
      <c r="P906" s="23" t="n"/>
      <c r="Q906" s="23" t="n"/>
      <c r="R906" s="25" t="inlineStr">
        <is>
          <t>Книга «Как­то раз Зевксис с Паррасием…» объединяет статьи и эссе, написанные в «эстетическом режиме» (Жак Рансьер). В их фокусе — собственно поэтика искусства, персоналистские и «направленческие» картины мира, реализация индивидуальных творческих интенций. Как критик и интерпретатор, автор обладает редким даром вживания в ­конкретику художественного процесса. Его конек — портретная эссеистика. «Словоохотливый взгляд» (Бланден Кригель) автора побуждает зрителя к самостоятельной навигации в пространстве современного искусства.</t>
        </is>
      </c>
      <c r="S906" s="26">
        <f>HYPERLINK("http://www.cnpol.ru/covers/17217.jpg","фото на сайте")</f>
        <v/>
      </c>
    </row>
    <row r="907" ht="50.1" customHeight="1" s="3">
      <c r="A907" s="23" t="n"/>
      <c r="B907" s="24" t="inlineStr">
        <is>
          <t>17218</t>
        </is>
      </c>
      <c r="C907" s="23" t="inlineStr">
        <is>
          <t>Книги по искусству</t>
        </is>
      </c>
      <c r="D907" s="23" t="inlineStr">
        <is>
          <t>Боровский А.Д.</t>
        </is>
      </c>
      <c r="E907" s="23" t="inlineStr">
        <is>
          <t>Кое­какие отношения искусства к действительности. Конъюнктура, мифология, страсть</t>
        </is>
      </c>
      <c r="F907" s="23" t="inlineStr">
        <is>
          <t>        </t>
        </is>
      </c>
      <c r="G907" s="27" t="n">
        <v>1152</v>
      </c>
      <c r="H907" s="23" t="n">
        <v>10</v>
      </c>
      <c r="I907" s="23" t="n">
        <v>10</v>
      </c>
      <c r="J907" s="23" t="inlineStr">
        <is>
          <t>978-5-227-07197-2</t>
        </is>
      </c>
      <c r="K907" s="23" t="inlineStr">
        <is>
          <t>60х100 1/16</t>
        </is>
      </c>
      <c r="L907" s="23" t="inlineStr">
        <is>
          <t>Интегр</t>
        </is>
      </c>
      <c r="M907" s="23" t="n">
        <v>304</v>
      </c>
      <c r="N907" s="23" t="n">
        <v>2016</v>
      </c>
      <c r="O907" s="23" t="n">
        <v>342</v>
      </c>
      <c r="P907" s="23" t="n"/>
      <c r="Q907" s="23" t="n"/>
      <c r="R907" s="25" t="inlineStr">
        <is>
          <t>Свадебный консультант Пия Ламли полагала, что хуже быть уже не может, когда законный муж невесты объявился, чтобы сорвать свадьбу. Но потом среди гостей Пия увидела сногсшибательного мужчину, который однажды лишил ее невинности, украл ее сердце и исчез три года назад. Герцог Хоукширский уверял, что с его прошлым плейбоя покончено, и даже нанял Пию, чтобы устроить свадьбу для члена своей семьи. Пия твердо решила, что на этот раз он не сможет заманить ее в свою постель...</t>
        </is>
      </c>
      <c r="S907" s="26">
        <f>HYPERLINK("http://www.cnpol.ru/covers/17218.jpg","фото на сайте")</f>
        <v/>
      </c>
    </row>
    <row r="908" ht="50.1" customHeight="1" s="3">
      <c r="A908" s="23" t="n"/>
      <c r="B908" s="24" t="inlineStr">
        <is>
          <t>5698</t>
        </is>
      </c>
      <c r="C908" s="23" t="inlineStr">
        <is>
          <t>КНМ</t>
        </is>
      </c>
      <c r="D908" s="23" t="inlineStr">
        <is>
          <t>Лазерсон И.И</t>
        </is>
      </c>
      <c r="E908" s="23" t="inlineStr">
        <is>
          <t>Венгерская кухня</t>
        </is>
      </c>
      <c r="F908" s="23" t="inlineStr">
        <is>
          <t>        </t>
        </is>
      </c>
      <c r="G908" s="23" t="n">
        <v>88</v>
      </c>
      <c r="H908" s="23" t="n">
        <v>10</v>
      </c>
      <c r="I908" s="23" t="n">
        <v>100</v>
      </c>
      <c r="J908" s="23" t="inlineStr">
        <is>
          <t>5-9524-1631-4</t>
        </is>
      </c>
      <c r="K908" s="23" t="inlineStr">
        <is>
          <t>70x100 1/32</t>
        </is>
      </c>
      <c r="L908" s="23" t="inlineStr">
        <is>
          <t>мяг</t>
        </is>
      </c>
      <c r="M908" s="23" t="n">
        <v>47</v>
      </c>
      <c r="N908" s="23" t="n">
        <v>2005</v>
      </c>
      <c r="O908" s="23" t="n">
        <v>30</v>
      </c>
      <c r="P908" s="23" t="n"/>
      <c r="Q908" s="23" t="n"/>
      <c r="R908" s="25" t="inlineStr">
        <is>
          <t>Национальная венгерская кухня славится особыми пикантными соусами, чудесными десертами и знаменитым паприкашем. Он бывает мясным, куриным и рыбным. Очень популярен в Венгрии перкельт — особого вкуса рагу. А на сладкое попробуйте приготовить золотые шарики и яблочный крем по-задунайски. Простые советы и рекомендации, оригинальные рецепты...</t>
        </is>
      </c>
      <c r="S908" s="26">
        <f>HYPERLINK("http://www.cnpol.ru/covers/5698.jpg","фото на сайте")</f>
        <v/>
      </c>
    </row>
    <row r="909" ht="50.1" customHeight="1" s="3">
      <c r="A909" s="23" t="n"/>
      <c r="B909" s="24" t="inlineStr">
        <is>
          <t>5769</t>
        </is>
      </c>
      <c r="C909" s="23" t="inlineStr">
        <is>
          <t>КНМ</t>
        </is>
      </c>
      <c r="D909" s="23" t="inlineStr">
        <is>
          <t>Лазерсон И.И</t>
        </is>
      </c>
      <c r="E909" s="23" t="inlineStr">
        <is>
          <t>Кухни Скандинавии</t>
        </is>
      </c>
      <c r="F909" s="23" t="inlineStr">
        <is>
          <t>        </t>
        </is>
      </c>
      <c r="G909" s="23" t="n">
        <v>88</v>
      </c>
      <c r="H909" s="23" t="n">
        <v>10</v>
      </c>
      <c r="I909" s="23" t="n">
        <v>100</v>
      </c>
      <c r="J909" s="23" t="inlineStr">
        <is>
          <t>5-9524-1689-6</t>
        </is>
      </c>
      <c r="K909" s="23" t="inlineStr">
        <is>
          <t>70x100 1/32</t>
        </is>
      </c>
      <c r="L909" s="23" t="inlineStr">
        <is>
          <t>мяг</t>
        </is>
      </c>
      <c r="M909" s="23" t="n">
        <v>47</v>
      </c>
      <c r="N909" s="23" t="n">
        <v>2005</v>
      </c>
      <c r="O909" s="23" t="n">
        <v>28</v>
      </c>
      <c r="P909" s="23" t="n"/>
      <c r="Q909" s="23" t="n"/>
      <c r="R909" s="25" t="inlineStr">
        <is>
          <t>Скандинавы — наши соседи, а потому и исходные продукты их кухни заморскими не назовешь. Прочитав эту книгу, вы узнаете, как можно приготовить необычные блюда из самых обычных продуктов. Щи по-фински, копенгагенский салат, шведский яблочный пирог, датская ромовая баба займут достойное место на вашем столе.</t>
        </is>
      </c>
      <c r="S909" s="26">
        <f>HYPERLINK("http://www.cnpol.ru/covers/5769.jpg","фото на сайте")</f>
        <v/>
      </c>
    </row>
    <row r="910" ht="50.1" customHeight="1" s="3">
      <c r="A910" s="23" t="n"/>
      <c r="B910" s="24" t="inlineStr">
        <is>
          <t>5771</t>
        </is>
      </c>
      <c r="C910" s="23" t="inlineStr">
        <is>
          <t>КНМ</t>
        </is>
      </c>
      <c r="D910" s="23" t="inlineStr">
        <is>
          <t>Лазерсон И.И</t>
        </is>
      </c>
      <c r="E910" s="23" t="inlineStr">
        <is>
          <t>Литовская кухня</t>
        </is>
      </c>
      <c r="F910" s="23" t="inlineStr">
        <is>
          <t>        </t>
        </is>
      </c>
      <c r="G910" s="23" t="n">
        <v>88</v>
      </c>
      <c r="H910" s="23" t="n">
        <v>10</v>
      </c>
      <c r="I910" s="23" t="n">
        <v>100</v>
      </c>
      <c r="J910" s="23" t="inlineStr">
        <is>
          <t>5-9524-1688-8</t>
        </is>
      </c>
      <c r="K910" s="23" t="inlineStr">
        <is>
          <t>70x100 1/32</t>
        </is>
      </c>
      <c r="L910" s="23" t="inlineStr">
        <is>
          <t>мяг</t>
        </is>
      </c>
      <c r="M910" s="23" t="n">
        <v>63</v>
      </c>
      <c r="N910" s="23" t="n">
        <v>2005</v>
      </c>
      <c r="O910" s="23" t="n">
        <v>36</v>
      </c>
      <c r="P910" s="23" t="n"/>
      <c r="Q910" s="23" t="n"/>
      <c r="R910" s="25" t="inlineStr">
        <is>
          <t>В литовской кухне традиционно используется большое количество овощей, грибов, различные виды мяса, квашеная капуста и рыба. На десерт вы можете приготовить холодный черничный суп, галушки с сыром или медоулис. Простые советы и рекомендации, оригинальные рецепты и технологии окажут скорую и эффективную кулинарную помощь...</t>
        </is>
      </c>
      <c r="S910" s="26">
        <f>HYPERLINK("http://www.cnpol.ru/covers/5771.jpg","фото на сайте")</f>
        <v/>
      </c>
    </row>
    <row r="911" ht="50.1" customHeight="1" s="3">
      <c r="A911" s="23" t="n"/>
      <c r="B911" s="24" t="inlineStr">
        <is>
          <t>5893</t>
        </is>
      </c>
      <c r="C911" s="23" t="inlineStr">
        <is>
          <t>КНМ</t>
        </is>
      </c>
      <c r="D911" s="23" t="inlineStr">
        <is>
          <t>Лазерсон И.И</t>
        </is>
      </c>
      <c r="E911" s="23" t="inlineStr">
        <is>
          <t>Польская кухня</t>
        </is>
      </c>
      <c r="F911" s="23" t="inlineStr">
        <is>
          <t>        </t>
        </is>
      </c>
      <c r="G911" s="23" t="n">
        <v>88</v>
      </c>
      <c r="H911" s="23" t="n">
        <v>10</v>
      </c>
      <c r="I911" s="23" t="n">
        <v>100</v>
      </c>
      <c r="J911" s="23" t="inlineStr">
        <is>
          <t>5-9524-1800-7</t>
        </is>
      </c>
      <c r="K911" s="23" t="inlineStr">
        <is>
          <t>70x100 1/32</t>
        </is>
      </c>
      <c r="L911" s="23" t="inlineStr">
        <is>
          <t>мяг</t>
        </is>
      </c>
      <c r="M911" s="23" t="n">
        <v>47</v>
      </c>
      <c r="N911" s="23" t="n">
        <v>2005</v>
      </c>
      <c r="O911" s="23" t="n">
        <v>28</v>
      </c>
      <c r="P911" s="23" t="n"/>
      <c r="Q911" s="23" t="n"/>
      <c r="R911" s="25" t="n"/>
      <c r="S911" s="26">
        <f>HYPERLINK("http://www.cnpol.ru/covers/5893.jpg","фото на сайте")</f>
        <v/>
      </c>
    </row>
    <row r="912" ht="50.1" customHeight="1" s="3">
      <c r="A912" s="23" t="n"/>
      <c r="B912" s="24" t="inlineStr">
        <is>
          <t>5993</t>
        </is>
      </c>
      <c r="C912" s="23" t="inlineStr">
        <is>
          <t>КНМ</t>
        </is>
      </c>
      <c r="D912" s="23" t="inlineStr">
        <is>
          <t>Лазерсон Андреев</t>
        </is>
      </c>
      <c r="E912" s="23" t="inlineStr">
        <is>
          <t>Хлеб всему голова</t>
        </is>
      </c>
      <c r="F912" s="23" t="inlineStr">
        <is>
          <t>        </t>
        </is>
      </c>
      <c r="G912" s="23" t="n">
        <v>88</v>
      </c>
      <c r="H912" s="23" t="n">
        <v>10</v>
      </c>
      <c r="I912" s="23" t="n">
        <v>100</v>
      </c>
      <c r="J912" s="23" t="inlineStr">
        <is>
          <t>5-9524-1854-6</t>
        </is>
      </c>
      <c r="K912" s="23" t="inlineStr">
        <is>
          <t>70x100 1/32</t>
        </is>
      </c>
      <c r="L912" s="23" t="inlineStr">
        <is>
          <t>мяг</t>
        </is>
      </c>
      <c r="M912" s="23" t="n">
        <v>63</v>
      </c>
      <c r="N912" s="23" t="n">
        <v>2005</v>
      </c>
      <c r="O912" s="23" t="n">
        <v>32</v>
      </c>
      <c r="P912" s="23" t="n"/>
      <c r="Q912" s="23" t="n"/>
      <c r="R912" s="25" t="n"/>
      <c r="S912" s="26">
        <f>HYPERLINK("http://www.cnpol.ru/covers/5993.jpg","фото на сайте")</f>
        <v/>
      </c>
    </row>
    <row r="913" ht="50.1" customHeight="1" s="3">
      <c r="A913" s="23" t="n"/>
      <c r="B913" s="24" t="inlineStr">
        <is>
          <t>14991</t>
        </is>
      </c>
      <c r="C913" s="23" t="inlineStr">
        <is>
          <t>КОЛ ЧЕЙЗ</t>
        </is>
      </c>
      <c r="D913" s="23" t="inlineStr">
        <is>
          <t>Чейз Д.Х.</t>
        </is>
      </c>
      <c r="E913" s="23" t="inlineStr">
        <is>
          <t>Коллекция избранных романов кн.10</t>
        </is>
      </c>
      <c r="F913" s="23" t="n">
        <v>10</v>
      </c>
      <c r="G913" s="27" t="n">
        <v>2001</v>
      </c>
      <c r="H913" s="23" t="n">
        <v>10</v>
      </c>
      <c r="I913" s="23" t="n">
        <v>4</v>
      </c>
      <c r="J913" s="23" t="inlineStr">
        <is>
          <t>978-5-227-04868-4</t>
        </is>
      </c>
      <c r="K913" s="23" t="inlineStr">
        <is>
          <t>60x90 1/16</t>
        </is>
      </c>
      <c r="L913" s="23" t="inlineStr">
        <is>
          <t>тв</t>
        </is>
      </c>
      <c r="M913" s="23" t="n">
        <v>1246</v>
      </c>
      <c r="N913" s="23" t="n">
        <v>2014</v>
      </c>
      <c r="O913" s="23" t="n">
        <v>1252</v>
      </c>
      <c r="P913" s="23" t="n"/>
      <c r="Q913" s="23" t="n"/>
      <c r="R913" s="25" t="inlineStr">
        <is>
          <t>В книгу 10 собрания сочинений Джеймса Хедли Чейза вошли детективные романы, вышедшие в свет в 1980-е годы, и рассказы 1940-х годов.</t>
        </is>
      </c>
      <c r="S913" s="26">
        <f>HYPERLINK("http://www.cnpol.ru/covers/14991.jpg","фото на сайте")</f>
        <v/>
      </c>
    </row>
    <row r="914" ht="50.1" customHeight="1" s="3">
      <c r="A914" s="23" t="inlineStr">
        <is>
          <t>Д</t>
        </is>
      </c>
      <c r="B914" s="24" t="inlineStr">
        <is>
          <t>21223</t>
        </is>
      </c>
      <c r="C914" s="23" t="inlineStr">
        <is>
          <t>КРАСНЫЕ И БЕЛЫЕ</t>
        </is>
      </c>
      <c r="D914" s="23" t="inlineStr">
        <is>
          <t>Сахаров К.В.</t>
        </is>
      </c>
      <c r="E914" s="23" t="inlineStr">
        <is>
          <t>Белая Сибирь. Внутренняя война 1918—1920 гг.</t>
        </is>
      </c>
      <c r="F914" s="23" t="inlineStr">
        <is>
          <t>        </t>
        </is>
      </c>
      <c r="G914" s="27" t="n">
        <v>1359</v>
      </c>
      <c r="H914" s="23" t="n">
        <v>10</v>
      </c>
      <c r="I914" s="23" t="n">
        <v>8</v>
      </c>
      <c r="J914" s="23" t="inlineStr">
        <is>
          <t>978-5-227-10734-3</t>
        </is>
      </c>
      <c r="K914" s="23" t="inlineStr">
        <is>
          <t>84x108 1/32</t>
        </is>
      </c>
      <c r="L914" s="23" t="inlineStr">
        <is>
          <t>тв</t>
        </is>
      </c>
      <c r="M914" s="23" t="n">
        <v>512</v>
      </c>
      <c r="N914" s="23" t="n">
        <v>2024</v>
      </c>
      <c r="O914" s="23" t="n">
        <v>533</v>
      </c>
      <c r="P914" s="23" t="n"/>
      <c r="Q914" s="23" t="n"/>
      <c r="R914" s="25" t="inlineStr">
        <is>
          <t>Генерал К. Сахаров закончил Оренбургский кадетский корпус, Николаевское инженерное училище и академию Генерального штаба. Георгиевский кавалер, участвовал в Русско-японской и Первой мировой войнах. Дважды был арестован: первый раз за участие в корниловском мятеже; второй раз за попытку пробраться в Добровольческую армию. После второго ареста бежал. В Белом движении сделал блистательную карьеру, пиком которой стало звание генерал-лейтенанта и должность командующего Восточным фронтом. Однако отношение генералов Белой Сибири к Сахарову было довольно критическое. Его даже считали одним из главных виновников поражений на фронте. _x000D_
К. Сахаров описал события на востоке России с осени 1918 года до весны 1920 года. Все им изложенное является результатом лично пережитого.</t>
        </is>
      </c>
      <c r="S914" s="26">
        <f>HYPERLINK("http://www.cnpol.ru/covers/21223.jpg","фото на сайте")</f>
        <v/>
      </c>
    </row>
    <row r="915" ht="50.1" customHeight="1" s="3">
      <c r="A915" s="23" t="n"/>
      <c r="B915" s="24" t="inlineStr">
        <is>
          <t>17516</t>
        </is>
      </c>
      <c r="C915" s="23" t="inlineStr">
        <is>
          <t>КРАСНЫЕ И БЕЛЫЕ</t>
        </is>
      </c>
      <c r="D915" s="23" t="inlineStr">
        <is>
          <t>Болдырев В.Г.</t>
        </is>
      </c>
      <c r="E915" s="23" t="inlineStr">
        <is>
          <t>Директория. Колчак. Интервенты</t>
        </is>
      </c>
      <c r="F915" s="23" t="inlineStr">
        <is>
          <t>        </t>
        </is>
      </c>
      <c r="G915" s="23" t="n">
        <v>822</v>
      </c>
      <c r="H915" s="23" t="n">
        <v>10</v>
      </c>
      <c r="I915" s="23" t="n">
        <v>6</v>
      </c>
      <c r="J915" s="23" t="inlineStr">
        <is>
          <t>978-5-227-07487-4</t>
        </is>
      </c>
      <c r="K915" s="23" t="inlineStr">
        <is>
          <t>84x108 1/32</t>
        </is>
      </c>
      <c r="L915" s="23" t="inlineStr">
        <is>
          <t>тв</t>
        </is>
      </c>
      <c r="M915" s="23" t="n">
        <v>736</v>
      </c>
      <c r="N915" s="23" t="n">
        <v>2017</v>
      </c>
      <c r="O915" s="23" t="n">
        <v>512</v>
      </c>
      <c r="P915" s="23" t="n"/>
      <c r="Q915" s="23" t="n"/>
      <c r="R915" s="25" t="inlineStr">
        <is>
          <t>Белый генерал Василий Георгиевич Болдырев — фигура загадочная. Сперва называл советскую власть «красным кошмаром, который давит и душит Родину». Осенью 1918 года стал членом Директории и был назначен главнокомандующим. Во время военного переворота, когда Директорию арестовали, а Совет министров избрал верховным правителем России Колчака, Болдырев был в Уфе. Будь он в Омске, история могла пойти по другому пути, потому что часть офицеров поддерживала генерала, и у него были все шансы стать правителем. В 1922 году во Владивосток вошли красные. Болдырев, вместо того чтобы уехать в Японию, остался в городе и был арестован. Отсидел в тюрьме, получил работу в Сибирской плановой комиссии. Жил в Новосибирске. В 1933 году расстрелян за «контрреволюционную деятельность».</t>
        </is>
      </c>
      <c r="S915" s="26">
        <f>HYPERLINK("http://www.cnpol.ru/covers/17516.jpg","фото на сайте")</f>
        <v/>
      </c>
    </row>
    <row r="916" ht="50.1" customHeight="1" s="3">
      <c r="A916" s="23" t="n"/>
      <c r="B916" s="24" t="inlineStr">
        <is>
          <t>17605</t>
        </is>
      </c>
      <c r="C916" s="23" t="inlineStr">
        <is>
          <t>КРАСНЫЕ И БЕЛЫЕ</t>
        </is>
      </c>
      <c r="D916" s="23" t="inlineStr">
        <is>
          <t>Кубанин М.И, Махно Н.И.</t>
        </is>
      </c>
      <c r="E916" s="23" t="inlineStr">
        <is>
          <t>Махновщина. Крестьянское движение в степной Украине в годы Гражданской. Ответ Кубанину М.</t>
        </is>
      </c>
      <c r="F916" s="23" t="inlineStr">
        <is>
          <t>        </t>
        </is>
      </c>
      <c r="G916" s="23" t="n">
        <v>593</v>
      </c>
      <c r="H916" s="23" t="n">
        <v>10</v>
      </c>
      <c r="I916" s="23" t="n">
        <v>14</v>
      </c>
      <c r="J916" s="23" t="inlineStr">
        <is>
          <t>978-5-227-07503-1</t>
        </is>
      </c>
      <c r="K916" s="23" t="inlineStr">
        <is>
          <t>84x108 1/32</t>
        </is>
      </c>
      <c r="L916" s="23" t="inlineStr">
        <is>
          <t>тв</t>
        </is>
      </c>
      <c r="M916" s="23" t="n">
        <v>320</v>
      </c>
      <c r="N916" s="23" t="n">
        <v>2017</v>
      </c>
      <c r="O916" s="23" t="n">
        <v>270</v>
      </c>
      <c r="P916" s="23" t="n"/>
      <c r="Q916" s="23" t="n"/>
      <c r="R916" s="25" t="n"/>
      <c r="S916" s="26">
        <f>HYPERLINK("http://www.cnpol.ru/covers/17605.jpg","фото на сайте")</f>
        <v/>
      </c>
    </row>
    <row r="917" ht="50.1" customHeight="1" s="3">
      <c r="A917" s="23" t="n"/>
      <c r="B917" s="24" t="inlineStr">
        <is>
          <t>10711</t>
        </is>
      </c>
      <c r="C917" s="23" t="inlineStr">
        <is>
          <t>КРИМИНАЛ</t>
        </is>
      </c>
      <c r="D917" s="23" t="inlineStr">
        <is>
          <t>Браун К.</t>
        </is>
      </c>
      <c r="E917" s="23" t="inlineStr">
        <is>
          <t>Блондинка в беде</t>
        </is>
      </c>
      <c r="F917" s="23" t="inlineStr">
        <is>
          <t>        </t>
        </is>
      </c>
      <c r="G917" s="23" t="n">
        <v>168</v>
      </c>
      <c r="H917" s="23" t="n">
        <v>10</v>
      </c>
      <c r="I917" s="23" t="n">
        <v>28</v>
      </c>
      <c r="J917" s="23" t="inlineStr">
        <is>
          <t>978-5-9524-3872-9</t>
        </is>
      </c>
      <c r="K917" s="23" t="inlineStr">
        <is>
          <t>70x90 1/32</t>
        </is>
      </c>
      <c r="L917" s="23" t="inlineStr">
        <is>
          <t>мяг</t>
        </is>
      </c>
      <c r="M917" s="23" t="n">
        <v>287</v>
      </c>
      <c r="N917" s="23" t="n">
        <v>2008</v>
      </c>
      <c r="O917" s="23" t="n">
        <v>120</v>
      </c>
      <c r="P917" s="23" t="n"/>
      <c r="Q917" s="23" t="n"/>
      <c r="R917" s="25" t="inlineStr">
        <is>
          <t>Частный детектив Рик Холман - последняя надежда попавшей в беду голливудской элиты. Одна из самых крупных звезд американской "фабрики грез" неожиданно для нее отлучена от работы, как ей кажется, кто-то задался целью похоронить ее заживо. Холман берется выяснить, не связано ли все это с трагической гибелью дерзкого и капризного возлюбленного актрисы ("Блондинка в беде"). Просьба популярного актера помочь вытащить дочь из дурной компании показалась Рику  неправдоподобно простой, одно было странным: очень уж перепуган отец, и совсем другой представилась сыщику ситуация, когда он узнал, что заказчик скрыл от него весьма неприятный факт ("Обнаженная снаружи и изнутри").</t>
        </is>
      </c>
      <c r="S917" s="26">
        <f>HYPERLINK("http://www.cnpol.ru/covers/10711.jpg","фото на сайте")</f>
        <v/>
      </c>
    </row>
    <row r="918" ht="50.1" customHeight="1" s="3">
      <c r="A918" s="23" t="n"/>
      <c r="B918" s="24" t="inlineStr">
        <is>
          <t>10735</t>
        </is>
      </c>
      <c r="C918" s="23" t="inlineStr">
        <is>
          <t>КРИМИНАЛ</t>
        </is>
      </c>
      <c r="D918" s="23" t="inlineStr">
        <is>
          <t>Браун К.</t>
        </is>
      </c>
      <c r="E918" s="23" t="inlineStr">
        <is>
          <t>Страх пришел не сразу</t>
        </is>
      </c>
      <c r="F918" s="23" t="inlineStr">
        <is>
          <t>        </t>
        </is>
      </c>
      <c r="G918" s="23" t="n">
        <v>105</v>
      </c>
      <c r="H918" s="23" t="n">
        <v>10</v>
      </c>
      <c r="I918" s="23" t="n">
        <v>32</v>
      </c>
      <c r="J918" s="23" t="inlineStr">
        <is>
          <t>978-5-9524-3870-5</t>
        </is>
      </c>
      <c r="K918" s="23" t="inlineStr">
        <is>
          <t>70x90 1/32</t>
        </is>
      </c>
      <c r="L918" s="23" t="inlineStr">
        <is>
          <t>мяг</t>
        </is>
      </c>
      <c r="M918" s="23" t="n">
        <v>254</v>
      </c>
      <c r="N918" s="23" t="n">
        <v>2008</v>
      </c>
      <c r="O918" s="23" t="n">
        <v>110</v>
      </c>
      <c r="P918" s="23" t="n"/>
      <c r="Q918" s="23" t="n"/>
      <c r="R918" s="25" t="n"/>
      <c r="S918" s="26">
        <f>HYPERLINK("http://www.cnpol.ru/covers/10735.jpg","фото на сайте")</f>
        <v/>
      </c>
    </row>
    <row r="919" ht="50.1" customHeight="1" s="3">
      <c r="A919" s="23" t="n"/>
      <c r="B919" s="24" t="inlineStr">
        <is>
          <t>3856</t>
        </is>
      </c>
      <c r="C919" s="23" t="inlineStr">
        <is>
          <t>КРИМР</t>
        </is>
      </c>
      <c r="D919" s="23" t="inlineStr">
        <is>
          <t>Питерс</t>
        </is>
      </c>
      <c r="E919" s="23" t="inlineStr">
        <is>
          <t>Кольцо из Камелота</t>
        </is>
      </c>
      <c r="F919" s="23" t="inlineStr">
        <is>
          <t>        </t>
        </is>
      </c>
      <c r="G919" s="23" t="n">
        <v>213</v>
      </c>
      <c r="H919" s="23" t="n">
        <v>10</v>
      </c>
      <c r="I919" s="23" t="n">
        <v>14</v>
      </c>
      <c r="J919" s="23" t="inlineStr">
        <is>
          <t>5-9524-0296-8</t>
        </is>
      </c>
      <c r="K919" s="23" t="inlineStr">
        <is>
          <t>76x90 1/32</t>
        </is>
      </c>
      <c r="L919" s="23" t="inlineStr">
        <is>
          <t>тв</t>
        </is>
      </c>
      <c r="M919" s="23" t="n">
        <v>270</v>
      </c>
      <c r="N919" s="23" t="n">
        <v>2003</v>
      </c>
      <c r="O919" s="23" t="n">
        <v>184</v>
      </c>
      <c r="P919" s="23" t="n"/>
      <c r="Q919" s="23" t="n"/>
      <c r="R919" s="25" t="inlineStr">
        <is>
          <t>Помешавшиеся на древних кладах Трегарты считают себя потомками короля Аргура, но перстень с его печаткой, подтверждающий право наследования, оказался у их юной американской родстоениицы Джесс Трегарт. Девушка и представить не могла, что ее путешествие в добрую старую Англию к умирающему дедушке и знакомство с "милыми родственниками" обернется вереницей погонь и преследований...</t>
        </is>
      </c>
      <c r="S919" s="26">
        <f>HYPERLINK("http://www.cnpol.ru/covers/3856.jpg","фото на сайте")</f>
        <v/>
      </c>
    </row>
    <row r="920" ht="50.1" customHeight="1" s="3">
      <c r="A920" s="23" t="n"/>
      <c r="B920" s="24" t="inlineStr">
        <is>
          <t>3370</t>
        </is>
      </c>
      <c r="C920" s="23" t="inlineStr">
        <is>
          <t>КСТ</t>
        </is>
      </c>
      <c r="D920" s="23" t="inlineStr">
        <is>
          <t>Койот</t>
        </is>
      </c>
      <c r="E920" s="23" t="inlineStr">
        <is>
          <t>Книжка раскраска для смышленых и любознательных</t>
        </is>
      </c>
      <c r="F920" s="23" t="inlineStr">
        <is>
          <t>        </t>
        </is>
      </c>
      <c r="G920" s="23" t="n">
        <v>97</v>
      </c>
      <c r="H920" s="23" t="n">
        <v>10</v>
      </c>
      <c r="I920" s="23" t="n">
        <v>15</v>
      </c>
      <c r="J920" s="23" t="inlineStr">
        <is>
          <t>5-227-005</t>
        </is>
      </c>
      <c r="K920" s="23" t="inlineStr">
        <is>
          <t>70x90 1/12</t>
        </is>
      </c>
      <c r="L920" s="23" t="inlineStr">
        <is>
          <t>мяг</t>
        </is>
      </c>
      <c r="M920" s="23" t="inlineStr">
        <is>
          <t>    </t>
        </is>
      </c>
      <c r="N920" s="23" t="inlineStr">
        <is>
          <t>    </t>
        </is>
      </c>
      <c r="O920" s="23" t="inlineStr">
        <is>
          <t>     </t>
        </is>
      </c>
      <c r="P920" s="23" t="n"/>
      <c r="Q920" s="23" t="n"/>
      <c r="R920" s="25" t="n"/>
      <c r="S920" s="26">
        <f>HYPERLINK("http://www.cnpol.ru/covers/3370.jpg","фото на сайте")</f>
        <v/>
      </c>
    </row>
    <row r="921" ht="50.1" customHeight="1" s="3">
      <c r="A921" s="23" t="n"/>
      <c r="B921" s="24" t="inlineStr">
        <is>
          <t>3585</t>
        </is>
      </c>
      <c r="C921" s="23" t="inlineStr">
        <is>
          <t>КТ</t>
        </is>
      </c>
      <c r="D921" s="23" t="inlineStr">
        <is>
          <t>Юрская Е.</t>
        </is>
      </c>
      <c r="E921" s="23" t="inlineStr">
        <is>
          <t>А смерти net</t>
        </is>
      </c>
      <c r="F921" s="23" t="inlineStr">
        <is>
          <t>        </t>
        </is>
      </c>
      <c r="G921" s="23" t="n">
        <v>320</v>
      </c>
      <c r="H921" s="23" t="n">
        <v>10</v>
      </c>
      <c r="I921" s="23" t="n">
        <v>12</v>
      </c>
      <c r="J921" s="23" t="inlineStr">
        <is>
          <t>5-9524-0159-7</t>
        </is>
      </c>
      <c r="K921" s="23" t="inlineStr">
        <is>
          <t>84x108 1/32</t>
        </is>
      </c>
      <c r="L921" s="23" t="inlineStr">
        <is>
          <t>тв</t>
        </is>
      </c>
      <c r="M921" s="23" t="n">
        <v>379</v>
      </c>
      <c r="N921" s="23" t="n">
        <v>2002</v>
      </c>
      <c r="O921" s="23" t="n">
        <v>322</v>
      </c>
      <c r="P921" s="23" t="n"/>
      <c r="Q921" s="23" t="n"/>
      <c r="R921" s="25" t="inlineStr">
        <is>
          <t>В странном доме Валерии Николаевны Соломоновой, наполненном своими и своими-посторонними людьми, витает страх смерти и зла. Многочисленные избранницы и жены ее сына Сергея долго не живут. После отравления очередной невесты и смерти внука журналиста вся семья начинает обвинять друг друга в этих странных и нелепых смертях...</t>
        </is>
      </c>
      <c r="S921" s="26">
        <f>HYPERLINK("http://www.cnpol.ru/covers/3585.jpg","фото на сайте")</f>
        <v/>
      </c>
    </row>
    <row r="922" ht="50.1" customHeight="1" s="3">
      <c r="A922" s="23" t="n"/>
      <c r="B922" s="24" t="inlineStr">
        <is>
          <t>3230</t>
        </is>
      </c>
      <c r="C922" s="23" t="inlineStr">
        <is>
          <t>КТ</t>
        </is>
      </c>
      <c r="D922" s="23" t="inlineStr">
        <is>
          <t>Успенская С.</t>
        </is>
      </c>
      <c r="E922" s="23" t="inlineStr">
        <is>
          <t>Блондинки начинают и выигрывают</t>
        </is>
      </c>
      <c r="F922" s="23" t="inlineStr">
        <is>
          <t>        </t>
        </is>
      </c>
      <c r="G922" s="23" t="n">
        <v>320</v>
      </c>
      <c r="H922" s="23" t="n">
        <v>10</v>
      </c>
      <c r="I922" s="23" t="n">
        <v>12</v>
      </c>
      <c r="J922" s="23" t="inlineStr">
        <is>
          <t>5-227-01781-6</t>
        </is>
      </c>
      <c r="K922" s="23" t="inlineStr">
        <is>
          <t>84x108 1/32</t>
        </is>
      </c>
      <c r="L922" s="23" t="inlineStr">
        <is>
          <t>тв</t>
        </is>
      </c>
      <c r="M922" s="23" t="n">
        <v>475</v>
      </c>
      <c r="N922" s="23" t="n">
        <v>2002</v>
      </c>
      <c r="O922" s="23" t="n">
        <v>366</v>
      </c>
      <c r="P922" s="23" t="n"/>
      <c r="Q922" s="23" t="n"/>
      <c r="R922" s="25" t="inlineStr">
        <is>
          <t>Как славно иметь двойника, который сделает за тебя всю грязную работу! От такой возможности откажется только глупец, а уж Александр ни за что не упустит свой шанс — ведь на удивительном сходстве со случайным знакомым можно хорошо сыграть. И вот уже разработан блестящий план, все готово для решающего хода, но...</t>
        </is>
      </c>
      <c r="S922" s="26">
        <f>HYPERLINK("http://www.cnpol.ru/covers/3230.jpg","фото на сайте")</f>
        <v/>
      </c>
    </row>
    <row r="923" ht="50.1" customHeight="1" s="3">
      <c r="A923" s="23" t="n"/>
      <c r="B923" s="24" t="inlineStr">
        <is>
          <t>5756</t>
        </is>
      </c>
      <c r="C923" s="23" t="inlineStr">
        <is>
          <t>КТ</t>
        </is>
      </c>
      <c r="D923" s="23" t="inlineStr">
        <is>
          <t>Вадченко Н.</t>
        </is>
      </c>
      <c r="E923" s="23" t="inlineStr">
        <is>
          <t>У грехов длинные тени</t>
        </is>
      </c>
      <c r="F923" s="23" t="inlineStr">
        <is>
          <t>        </t>
        </is>
      </c>
      <c r="G923" s="23" t="n">
        <v>320</v>
      </c>
      <c r="H923" s="23" t="n">
        <v>10</v>
      </c>
      <c r="I923" s="23" t="n">
        <v>12</v>
      </c>
      <c r="J923" s="23" t="inlineStr">
        <is>
          <t>5-9524-1667-5</t>
        </is>
      </c>
      <c r="K923" s="23" t="inlineStr">
        <is>
          <t>84x108 1/32</t>
        </is>
      </c>
      <c r="L923" s="23" t="inlineStr">
        <is>
          <t>тв</t>
        </is>
      </c>
      <c r="M923" s="23" t="n">
        <v>351</v>
      </c>
      <c r="N923" s="23" t="n">
        <v>2005</v>
      </c>
      <c r="O923" s="23" t="n">
        <v>306</v>
      </c>
      <c r="P923" s="23" t="n"/>
      <c r="Q923" s="23" t="n"/>
      <c r="R923" s="25" t="n"/>
      <c r="S923" s="26">
        <f>HYPERLINK("http://www.cnpol.ru/covers/5756.jpg","фото на сайте")</f>
        <v/>
      </c>
    </row>
    <row r="924" ht="50.1" customHeight="1" s="3">
      <c r="A924" s="23" t="n"/>
      <c r="B924" s="24" t="inlineStr">
        <is>
          <t>5437</t>
        </is>
      </c>
      <c r="C924" s="23" t="inlineStr">
        <is>
          <t>КТ</t>
        </is>
      </c>
      <c r="D924" s="23" t="inlineStr">
        <is>
          <t>Вадченко Н.</t>
        </is>
      </c>
      <c r="E924" s="23" t="inlineStr">
        <is>
          <t>Час абсента</t>
        </is>
      </c>
      <c r="F924" s="23" t="inlineStr">
        <is>
          <t>        </t>
        </is>
      </c>
      <c r="G924" s="23" t="n">
        <v>320</v>
      </c>
      <c r="H924" s="23" t="n">
        <v>10</v>
      </c>
      <c r="I924" s="23" t="n">
        <v>14</v>
      </c>
      <c r="J924" s="23" t="inlineStr">
        <is>
          <t>5-9524-1455-9</t>
        </is>
      </c>
      <c r="K924" s="23" t="inlineStr">
        <is>
          <t>84x108 1/32</t>
        </is>
      </c>
      <c r="L924" s="23" t="inlineStr">
        <is>
          <t>тв</t>
        </is>
      </c>
      <c r="M924" s="23" t="n">
        <v>351</v>
      </c>
      <c r="N924" s="23" t="n">
        <v>2005</v>
      </c>
      <c r="O924" s="23" t="n">
        <v>300</v>
      </c>
      <c r="P924" s="23" t="n"/>
      <c r="Q924" s="23" t="n"/>
      <c r="R924" s="25" t="n"/>
      <c r="S924" s="26">
        <f>HYPERLINK("http://www.cnpol.ru/covers/5437.jpg","фото на сайте")</f>
        <v/>
      </c>
    </row>
    <row r="925" ht="50.1" customHeight="1" s="3">
      <c r="A925" s="23" t="inlineStr">
        <is>
          <t>Д</t>
        </is>
      </c>
      <c r="B925" s="24" t="inlineStr">
        <is>
          <t>22068</t>
        </is>
      </c>
      <c r="C925" s="23" t="inlineStr">
        <is>
          <t>КУЛ ВИ</t>
        </is>
      </c>
      <c r="D925" s="23" t="inlineStr">
        <is>
          <t>Лазерсон И.И</t>
        </is>
      </c>
      <c r="E925" s="23" t="inlineStr">
        <is>
          <t>Братьям по сахару. Рецепты для диабетиков от шеф-повара</t>
        </is>
      </c>
      <c r="F925" s="23" t="inlineStr">
        <is>
          <t>        </t>
        </is>
      </c>
      <c r="G925" s="27" t="n">
        <v>1264</v>
      </c>
      <c r="H925" s="23" t="n">
        <v>10</v>
      </c>
      <c r="I925" s="23" t="n">
        <v>12</v>
      </c>
      <c r="J925" s="23" t="inlineStr">
        <is>
          <t>978-5-227-11273-6</t>
        </is>
      </c>
      <c r="K925" s="23" t="inlineStr">
        <is>
          <t>84x108 1/16</t>
        </is>
      </c>
      <c r="L925" s="23" t="inlineStr">
        <is>
          <t>тв</t>
        </is>
      </c>
      <c r="M925" s="23" t="n">
        <v>96</v>
      </c>
      <c r="N925" s="23" t="n">
        <v>2026</v>
      </c>
      <c r="O925" s="23" t="n">
        <v>463</v>
      </c>
      <c r="P925" s="23" t="n"/>
      <c r="Q925" s="23" t="n"/>
      <c r="R925" s="25" t="inlineStr">
        <is>
          <t>Я знаком с диабетом не понаслышке и абсолютно уверен, что современный человек, даже при условии, что у него нет этого недуга, обязан питаться так, как будто бы он у него есть. И в этом утверждении нет никакого пессимизма. Здоровая еда — залог вашей долгой, счастливой и активной жизни. Любите себя, питайтесь правильно!_x000D_
Мой посыл — ограничить в рационе быстрые углеводы и разумно применять продукты, содержащие углеводы медленные. Рецепты, как обычно, просты и не требуют особой квалификации, иными словами — не нужно иметь опыт бабушки, чтобы приготовить блюда, приводимые в этой книге. Упомянутая простота не означает, что в книге рассматривается только обыденная, ежедневная еда, — большинство блюд подходит и для праздничного стола, они вкусны, красивы, а главное, полезны. Будьте здоровы и жизнерадостны, и быть такими вам поможет эта книга.</t>
        </is>
      </c>
      <c r="S925" s="26">
        <f>HYPERLINK("http://www.cnpol.ru/covers/22068.jpg","фото на сайте")</f>
        <v/>
      </c>
    </row>
    <row r="926" ht="50.1" customHeight="1" s="3">
      <c r="A926" s="23" t="inlineStr">
        <is>
          <t>Н</t>
        </is>
      </c>
      <c r="B926" s="24" t="inlineStr">
        <is>
          <t>21850</t>
        </is>
      </c>
      <c r="C926" s="23" t="inlineStr">
        <is>
          <t>КУЛ ВИ</t>
        </is>
      </c>
      <c r="D926" s="23" t="inlineStr">
        <is>
          <t>Лазерсон И.И., Синельников С.М., Соломоник Т.Г.</t>
        </is>
      </c>
      <c r="E926" s="23" t="inlineStr">
        <is>
          <t>За столом с Ниро Вульфом, или Секреты кухни великого сыщика. Кулинарный детектив</t>
        </is>
      </c>
      <c r="F926" s="23" t="inlineStr">
        <is>
          <t>        </t>
        </is>
      </c>
      <c r="G926" s="27" t="n">
        <v>1466</v>
      </c>
      <c r="H926" s="23" t="n">
        <v>10</v>
      </c>
      <c r="I926" s="23" t="n">
        <v>5</v>
      </c>
      <c r="J926" s="23" t="inlineStr">
        <is>
          <t>978-5-227-11160-9</t>
        </is>
      </c>
      <c r="K926" s="23" t="inlineStr">
        <is>
          <t>84x108 1/32</t>
        </is>
      </c>
      <c r="L926" s="23" t="inlineStr">
        <is>
          <t>тв</t>
        </is>
      </c>
      <c r="M926" s="23" t="n">
        <v>574</v>
      </c>
      <c r="N926" s="23" t="n">
        <v>2025</v>
      </c>
      <c r="O926" s="23" t="n">
        <v>577</v>
      </c>
      <c r="P926" s="23" t="n"/>
      <c r="Q926" s="23" t="n"/>
      <c r="R926" s="25" t="inlineStr">
        <is>
          <t>Занимательное, поучительное и живое пособие по интернациональной кулинарии, в котором приведены рецепты блюд, взятых из любимых в нашей стране историй о Ниро Вульфе, непревзойденном сыщике и величайшем чревоугоднике. Вы убедитесь, что они не так сложны по составу ингредиентов и технологии приготовления, как их интригующе-загадочные названия. Так что попробуйте и вы приобщиться к кулинарным тайнам повара Фрица Бреннера и разнообразьте ваше меню новыми блюдами, которые обязательно заинтересуют тех, кто любит готовить и вкусно поесть. Вы убедитесь, что подзаголовок «Кулинарный детектив» — не лукавая авторская уловка, он обоснован. Поиск и аналитические сопоставления разных вариантов переводов текстов Рекса Стаута, обращения к иным источникам информации по затронутой теме весьма схожи с методами криминалистов при расследованиях. Блистательное трио авторов из прекрасного переводчика Татьяны Соломоник, знатока школ мировой кулинарии Сергея Синельникова и известного петербургского шеф-повара высочайшей квалификации Ильи Лазерсона сделали эту книгу поистине уникальной.</t>
        </is>
      </c>
      <c r="S926" s="26">
        <f>HYPERLINK("http://www.cnpol.ru/covers/21850.jpg","фото на сайте")</f>
        <v/>
      </c>
    </row>
    <row r="927" ht="50.1" customHeight="1" s="3">
      <c r="A927" s="23" t="n"/>
      <c r="B927" s="24" t="inlineStr">
        <is>
          <t>16658</t>
        </is>
      </c>
      <c r="C927" s="23" t="inlineStr">
        <is>
          <t>КУЛ ВИ</t>
        </is>
      </c>
      <c r="D927" s="23" t="inlineStr">
        <is>
          <t>Лазерсон И.И</t>
        </is>
      </c>
      <c r="E927" s="23" t="inlineStr">
        <is>
          <t>КГБ, или как готовили бабушки</t>
        </is>
      </c>
      <c r="F927" s="23" t="inlineStr">
        <is>
          <t>        </t>
        </is>
      </c>
      <c r="G927" s="27" t="n">
        <v>1205</v>
      </c>
      <c r="H927" s="23" t="n">
        <v>10</v>
      </c>
      <c r="I927" s="23" t="n">
        <v>10</v>
      </c>
      <c r="J927" s="23" t="inlineStr">
        <is>
          <t>978-5-227-06324-3</t>
        </is>
      </c>
      <c r="K927" s="23" t="inlineStr">
        <is>
          <t>84x108 1/16</t>
        </is>
      </c>
      <c r="L927" s="23" t="inlineStr">
        <is>
          <t>тв</t>
        </is>
      </c>
      <c r="M927" s="23" t="n">
        <v>96</v>
      </c>
      <c r="N927" s="23" t="n">
        <v>2016</v>
      </c>
      <c r="O927" s="23" t="n">
        <v>478</v>
      </c>
      <c r="P927" s="23" t="n"/>
      <c r="Q927" s="23" t="n"/>
      <c r="R927" s="25" t="inlineStr">
        <is>
          <t>Когда авторы были совсем юными, они с интересом наблюдали, как бабушки священнодействуют на кухне… Тогда, в советское время, с продуктами было гораздо хуже, чем сейчас. Но товарный дефицит не означал дефицита кулинарной фантазии. Скорее наоборот, подхлёстывал воображение и будил в людях творческое начало. В отсутствие Интернета все охотно обменивались друг с другом идеями, секретами фирменных блюд, рецептами праздничными и повседневными. И записывали их в особые тетрадки. Как правило, этим занимались бабушки, ведь именно они являются хранительницами семейных традиций, в которых совместная трапеза имеет огромное значение._x000D_
Авторы книги бережно сохранили тетрадки своих бабушек и теперь предлагают вниманию читателей некоторые избранные рецепты.</t>
        </is>
      </c>
      <c r="S927" s="26">
        <f>HYPERLINK("http://www.cnpol.ru/covers/16658.jpg","фото на сайте")</f>
        <v/>
      </c>
    </row>
    <row r="928" ht="50.1" customHeight="1" s="3">
      <c r="A928" s="23" t="n"/>
      <c r="B928" s="24" t="inlineStr">
        <is>
          <t>20895</t>
        </is>
      </c>
      <c r="C928" s="23" t="inlineStr">
        <is>
          <t>КУЛ ВИ</t>
        </is>
      </c>
      <c r="D928" s="23" t="inlineStr">
        <is>
          <t>Лазерсон И.И.,  Спичка М.А.</t>
        </is>
      </c>
      <c r="E928" s="23" t="inlineStr">
        <is>
          <t>КГБ, или как готовили бабушки</t>
        </is>
      </c>
      <c r="F928" s="23" t="inlineStr">
        <is>
          <t>        </t>
        </is>
      </c>
      <c r="G928" s="27" t="n">
        <v>1264</v>
      </c>
      <c r="H928" s="23" t="n">
        <v>10</v>
      </c>
      <c r="I928" s="23" t="n">
        <v>14</v>
      </c>
      <c r="J928" s="23" t="inlineStr">
        <is>
          <t>978-5-227-09886-3</t>
        </is>
      </c>
      <c r="K928" s="23" t="inlineStr">
        <is>
          <t>84x108 1/16</t>
        </is>
      </c>
      <c r="L928" s="23" t="inlineStr">
        <is>
          <t>тв</t>
        </is>
      </c>
      <c r="M928" s="23" t="n">
        <v>96</v>
      </c>
      <c r="N928" s="23" t="n">
        <v>2023</v>
      </c>
      <c r="O928" s="23" t="n">
        <v>486</v>
      </c>
      <c r="P928" s="23" t="n"/>
      <c r="Q928" s="23" t="n"/>
      <c r="R928" s="25" t="inlineStr">
        <is>
          <t>Когда авторы были совсем юными, они с интересом наблюдали, как бабушки священнодействуют на кухне… Тогда, в советское время, с продуктами было гораздо хуже, чем сейчас. Но товарный дефицит не означал дефицита кулинарной фантазии. Скорее наоборот, подхлёстывал воображение и будил в людях творческое начало. В отсутствие Интернета все охотно обменивались друг с другом идеями, секретами фирменных блюд, рецептами праздничными и повседневными. И записывали их в особые тетрадки. Как правило, этим занимались бабушки, ведь именно они являются хранительницами семейных традиций, в которых совместная трапеза имеет огромное значение._x000D__x000D_
Авторы книги бережно сохранили тетрадки своих бабушек и теперь предлагают вниманию читателей некоторые избранные рецепты.</t>
        </is>
      </c>
      <c r="S928" s="26">
        <f>HYPERLINK("http://www.cnpol.ru/covers/20895.jpg","фото на сайте")</f>
        <v/>
      </c>
    </row>
    <row r="929" ht="50.1" customHeight="1" s="3">
      <c r="A929" s="23" t="n"/>
      <c r="B929" s="24" t="inlineStr">
        <is>
          <t>19900</t>
        </is>
      </c>
      <c r="C929" s="23" t="inlineStr">
        <is>
          <t>КУЛ ВИ</t>
        </is>
      </c>
      <c r="D929" s="23" t="inlineStr">
        <is>
          <t>Лазерсон И.И.,  Спичка М.А.</t>
        </is>
      </c>
      <c r="E929" s="23" t="inlineStr">
        <is>
          <t>КГБ-2, или Курица, говядина, баранина. Лучшие рецепты для любителей мясных блюд</t>
        </is>
      </c>
      <c r="F929" s="23" t="inlineStr">
        <is>
          <t>        </t>
        </is>
      </c>
      <c r="G929" s="27" t="n">
        <v>1264</v>
      </c>
      <c r="H929" s="23" t="n">
        <v>10</v>
      </c>
      <c r="I929" s="23" t="n">
        <v>10</v>
      </c>
      <c r="J929" s="23" t="inlineStr">
        <is>
          <t>978-5-227-09706-4</t>
        </is>
      </c>
      <c r="K929" s="23" t="inlineStr">
        <is>
          <t>84x108 1/16</t>
        </is>
      </c>
      <c r="L929" s="23" t="inlineStr">
        <is>
          <t>тв</t>
        </is>
      </c>
      <c r="M929" s="23" t="n">
        <v>96</v>
      </c>
      <c r="N929" s="23" t="n">
        <v>2021</v>
      </c>
      <c r="O929" s="23" t="n">
        <v>478</v>
      </c>
      <c r="P929" s="23" t="n"/>
      <c r="Q929" s="23" t="n"/>
      <c r="R929" s="25" t="inlineStr">
        <is>
          <t>Представляем новую работу Ильи Лазерсона и Михаила Спички. На протяжении долгого времени они совместно ведут на радио передачу, посвящённую кулинарии, и собрали богатую коллекцию самых разных рецептов._x000D_
Предыдущая трилогия книг, названия которых очень коротки и строги — КГБ, ФСБ, МВД, — настолько полюбилась читателям, любящим готовить, что авторам ничего не оставалось, как пойти у них на поводу и продолжить цикл._x000D_
КГБ-2 — книга для настоящих «хищников-мясоедов», ведь представленные в ней рецепты все без исключения из мяса курицы, говядины и баранины. Авторы разнообразили блюда, включённые в издание, и по национальному признаку, и по способам тепловой обработки, и по группам блюд. Книга построена по принципу очерёдности подачи блюд в рамках обычной трапезы. Вам предлагают приготовить говядину в цахтоне, жульен из языка, суп «фо га», похлёбку «болоньезе», кок-о-вэн, чили кон карне, клефтико, гедлибже, баранину по-мароккански… Пальчики оближешь!</t>
        </is>
      </c>
      <c r="S929" s="26">
        <f>HYPERLINK("http://www.cnpol.ru/covers/19900.jpg","фото на сайте")</f>
        <v/>
      </c>
    </row>
    <row r="930" ht="50.1" customHeight="1" s="3">
      <c r="A930" s="23" t="n"/>
      <c r="B930" s="24" t="inlineStr">
        <is>
          <t>20929</t>
        </is>
      </c>
      <c r="C930" s="23" t="inlineStr">
        <is>
          <t>КУЛ ВИ</t>
        </is>
      </c>
      <c r="D930" s="23" t="inlineStr">
        <is>
          <t>Лазерсон И.И.,  Спичка М.А.</t>
        </is>
      </c>
      <c r="E930" s="23" t="inlineStr">
        <is>
          <t>МВД, или Мгновенно, вкусно, доступно</t>
        </is>
      </c>
      <c r="F930" s="23" t="inlineStr">
        <is>
          <t>        </t>
        </is>
      </c>
      <c r="G930" s="27" t="n">
        <v>1264</v>
      </c>
      <c r="H930" s="23" t="n">
        <v>10</v>
      </c>
      <c r="I930" s="23" t="n">
        <v>10</v>
      </c>
      <c r="J930" s="23" t="inlineStr">
        <is>
          <t>978-5-227-10113-6</t>
        </is>
      </c>
      <c r="K930" s="23" t="inlineStr">
        <is>
          <t>84x108 1/16</t>
        </is>
      </c>
      <c r="L930" s="23" t="inlineStr">
        <is>
          <t>тв</t>
        </is>
      </c>
      <c r="M930" s="23" t="n">
        <v>96</v>
      </c>
      <c r="N930" s="23" t="n">
        <v>2023</v>
      </c>
      <c r="O930" s="23" t="n">
        <v>472</v>
      </c>
      <c r="P930" s="23" t="n"/>
      <c r="Q930" s="23" t="n"/>
      <c r="R930" s="25" t="inlineStr">
        <is>
          <t>Представляем новую совместную работу Ильи Лазерсона и Михаила Спички. На протяжении многих лет они ведут на радио передачу, посвящённую кулинарии, и собрали великолепную коллекцию самых разных рецептов._x000D__x000D_
Это издание завершает трилогию книг, названия которых очень коротки и весьма строги. Ключевое слово в названии — мгновенно! Быстро приготовленная еда не может быть дорогой и не имеет права быть невкусной, так что вы получаете подборку рецептов великолепных блюд, которые не отнимут много времени и средств._x000D__x000D_
Книга построена по классическому принципу универсальной — в ней можно найти рецепты всех групп блюд, составляющих трапезу — салатов, закусок, супов, основных блюд из рыбы, птицы и мяса, десертов. Авторы не обошли вниманием и вегетарианце._x000D__x000D_
Поверьте, никто не останется голодным!</t>
        </is>
      </c>
      <c r="S930" s="26">
        <f>HYPERLINK("http://www.cnpol.ru/covers/20929.jpg","фото на сайте")</f>
        <v/>
      </c>
    </row>
    <row r="931" ht="50.1" customHeight="1" s="3">
      <c r="A931" s="23" t="inlineStr">
        <is>
          <t>Д</t>
        </is>
      </c>
      <c r="B931" s="24" t="inlineStr">
        <is>
          <t>21097</t>
        </is>
      </c>
      <c r="C931" s="23" t="inlineStr">
        <is>
          <t>КУЛ ВИ</t>
        </is>
      </c>
      <c r="D931" s="23" t="inlineStr">
        <is>
          <t>Лазерсон И.И.,  Спичка М.А.</t>
        </is>
      </c>
      <c r="E931" s="23" t="inlineStr">
        <is>
          <t>ФСБ, или Фирменные секреты бабушек.Рецепты, любимые с детства</t>
        </is>
      </c>
      <c r="F931" s="23" t="inlineStr">
        <is>
          <t>        </t>
        </is>
      </c>
      <c r="G931" s="27" t="n">
        <v>1264</v>
      </c>
      <c r="H931" s="23" t="n">
        <v>10</v>
      </c>
      <c r="I931" s="23" t="n">
        <v>10</v>
      </c>
      <c r="J931" s="23" t="inlineStr">
        <is>
          <t>978-5-227-10642-1</t>
        </is>
      </c>
      <c r="K931" s="23" t="inlineStr">
        <is>
          <t>84x108 1/16</t>
        </is>
      </c>
      <c r="L931" s="23" t="inlineStr">
        <is>
          <t>тв</t>
        </is>
      </c>
      <c r="M931" s="23" t="n">
        <v>96</v>
      </c>
      <c r="N931" s="23" t="n">
        <v>2024</v>
      </c>
      <c r="O931" s="23" t="n">
        <v>472</v>
      </c>
      <c r="P931" s="23" t="n"/>
      <c r="Q931" s="23" t="n"/>
      <c r="R931" s="25" t="inlineStr">
        <is>
          <t>Это вторая книга цикла, посвящённого нашим бабушкам. Первая называется «КГБ», и за этой суровой аббревиатурой скрывается доброе, жизнеутверждающее название — «Как готовили бабушки»._x000D_
На протяжении многих лет Илья Лазерсон и Михаил Спичка ведут на радио передачу, посвящённую кулинарии. В студию очень часто звонят слушатели, которые помнят то или иное блюдо, приготовленное их бабушками. Вернее, они помнят его название и вкус, знакомый с детства, а вот способ приготовления, увы, оказывается утерянным. Дать какие-либо советы в этом случае тяжело, потому что семейные рецепты индивидуальны и полны нюансов. _x000D_
Наши бабушки жили в советское время, а значит — в условиях отсутствия Интернета. В те годы люди, обмениваясь друг с другом идеями, секретами приготовления фирменных блюд, рецептами праздничными и повседневными, записывали их в особые тетрадки… Авторы бережно сохранили тетрадки своих бабушек и теперь предлагают читателям самые любимые рецепты из детства.</t>
        </is>
      </c>
      <c r="S931" s="26">
        <f>HYPERLINK("http://www.cnpol.ru/covers/21097.jpg","фото на сайте")</f>
        <v/>
      </c>
    </row>
    <row r="932" ht="50.1" customHeight="1" s="3">
      <c r="A932" s="23" t="n"/>
      <c r="B932" s="24" t="inlineStr">
        <is>
          <t>20391</t>
        </is>
      </c>
      <c r="C932" s="23" t="inlineStr">
        <is>
          <t>КУЛ ВИ</t>
        </is>
      </c>
      <c r="D932" s="23" t="inlineStr">
        <is>
          <t>Лазерсон И.И.,  Спичка М.А.</t>
        </is>
      </c>
      <c r="E932" s="23" t="inlineStr">
        <is>
          <t>ФСБ-2, или Фарши, супы, барбекю. Самые вкусные блюда для родных и близких</t>
        </is>
      </c>
      <c r="F932" s="23" t="inlineStr">
        <is>
          <t>        </t>
        </is>
      </c>
      <c r="G932" s="27" t="n">
        <v>1264</v>
      </c>
      <c r="H932" s="23" t="n">
        <v>10</v>
      </c>
      <c r="I932" s="23" t="n">
        <v>10</v>
      </c>
      <c r="J932" s="23" t="inlineStr">
        <is>
          <t>978-5-227-09910-5</t>
        </is>
      </c>
      <c r="K932" s="23" t="inlineStr">
        <is>
          <t>84x108 1/16</t>
        </is>
      </c>
      <c r="L932" s="23" t="inlineStr">
        <is>
          <t>тв</t>
        </is>
      </c>
      <c r="M932" s="23" t="n">
        <v>96</v>
      </c>
      <c r="N932" s="23" t="n">
        <v>2022</v>
      </c>
      <c r="O932" s="23" t="n">
        <v>472</v>
      </c>
      <c r="P932" s="23" t="n"/>
      <c r="Q932" s="23" t="n"/>
      <c r="R932" s="25" t="inlineStr">
        <is>
          <t>И вновь наши старые друзья Илья Лазерсон и Михаил Спичка дарят нам красивую, вкусную книгу. Так как трилогия — КГБ, ФСБ, МВД полюбилась читателям, авторы запустили эти известные аббревиатуры по второму кругу. Книга, которую вы держите в руках, посвящена блюдам с использованием фаршей, супам и барбекю._x000D_
Блюда с фаршем очень разнообразны: вареники, пельмени, колдуны, пироги, котлеты, рулеты… Из рыбы, курицы, морепродуктов и разных видов мяса._x000D_
Раздел супов тоже богат — заправочные супы, прозрачные, супы-пюре… Рыбные, с морепродуктами, мясные, из птицы и супы без животных продуктов._x000D_
Раздел барбекю — рецепты блюд, приготовленных над тлеющими углями. Так как такой способ приготовления предполагает предварительное маринование продуктов, особенное внимание авторы обратили на маринады и соусы для подачи._x000D_
Вас ждут: скобелевские биточки, якутские колдуны, чебуреки, гамбургеры; кулеш, калья, уха, дэшхолэпс; ананасы на решетке, медальоны из вырезки, кесадилья с сыром, люля-кебаб… Пальчики оближешь!</t>
        </is>
      </c>
      <c r="S932" s="26">
        <f>HYPERLINK("http://www.cnpol.ru/covers/20391.jpg","фото на сайте")</f>
        <v/>
      </c>
    </row>
    <row r="933" ht="50.1" customHeight="1" s="3">
      <c r="A933" s="23" t="inlineStr">
        <is>
          <t>Н</t>
        </is>
      </c>
      <c r="B933" s="24" t="inlineStr">
        <is>
          <t>22200</t>
        </is>
      </c>
      <c r="C933" s="23" t="inlineStr">
        <is>
          <t>КУХНЯ</t>
        </is>
      </c>
      <c r="D933" s="23" t="inlineStr">
        <is>
          <t>Первушина Е.В.</t>
        </is>
      </c>
      <c r="E933" s="23" t="inlineStr">
        <is>
          <t>За столом с Брежневым. Что было на столе Генерального секретаря. Любимые блюда советского народа. Деликатесы разных республик</t>
        </is>
      </c>
      <c r="F933" s="23" t="inlineStr">
        <is>
          <t>        </t>
        </is>
      </c>
      <c r="G933" s="27" t="n">
        <v>1055</v>
      </c>
      <c r="H933" s="23" t="n">
        <v>10</v>
      </c>
      <c r="I933" s="23" t="n">
        <v>10</v>
      </c>
      <c r="J933" s="23" t="inlineStr">
        <is>
          <t>978-5-227-11318-4</t>
        </is>
      </c>
      <c r="K933" s="23" t="inlineStr">
        <is>
          <t>84x108 1/32</t>
        </is>
      </c>
      <c r="L933" s="23" t="inlineStr">
        <is>
          <t>тв</t>
        </is>
      </c>
      <c r="M933" s="23" t="n">
        <v>510</v>
      </c>
      <c r="N933" s="23" t="n">
        <v>2026</v>
      </c>
      <c r="O933" s="23" t="n">
        <v>526</v>
      </c>
      <c r="P933" s="23" t="n"/>
      <c r="Q933" s="23" t="n"/>
      <c r="R933" s="25" t="inlineStr">
        <is>
          <t>В любой стране, при любой власти, при любой политической системе каждое утро перед каждой хозяйкой встает вопрос: чем сегодня накормить семью? Давайте узнаем, или вспомним, как делали это хозяйки в 1960—1980 гг., в период, который мы называем «брежневской эпохой». Надеемся, вас не удивит, что иногда мы будем отправляться «на экскурсию» в предыдущую, «хрущевскую эпоху», а то и еще раньше. Или заглядывать в будущее — в эпохи Андропова, Черненко, Горбачева и Ельцина. Итак, заводим «машину времени», что есть у каждого в памяти и в воображении, и... «Вперед! В прошлое!». Мы узнаем, что было на столе генерального секретаря и что ели первые космонавты на орбите, получим колоссальное количество рецептов любимых блюд советского народа, научимся готовить деликатесы разных республик и правильную пищу для детей.</t>
        </is>
      </c>
      <c r="S933" s="26">
        <f>HYPERLINK("http://www.cnpol.ru/covers/22200.jpg","фото на сайте")</f>
        <v/>
      </c>
    </row>
    <row r="934" ht="50.1" customHeight="1" s="3">
      <c r="A934" s="23" t="inlineStr">
        <is>
          <t>Н</t>
        </is>
      </c>
      <c r="B934" s="24" t="inlineStr">
        <is>
          <t>21465</t>
        </is>
      </c>
      <c r="C934" s="23" t="inlineStr">
        <is>
          <t>КУХНЯ</t>
        </is>
      </c>
      <c r="D934" s="23" t="inlineStr">
        <is>
          <t>Первушина Е.В.</t>
        </is>
      </c>
      <c r="E934" s="23" t="inlineStr">
        <is>
          <t>За столом с Булгаковым. Дух времени в произведениях великого Мастера и кулинарных книгах. Кухня на разломе эпох между императорской и советской Россией</t>
        </is>
      </c>
      <c r="F934" s="23" t="inlineStr">
        <is>
          <t>        </t>
        </is>
      </c>
      <c r="G934" s="23" t="n">
        <v>796</v>
      </c>
      <c r="H934" s="23" t="n">
        <v>10</v>
      </c>
      <c r="I934" s="23" t="n">
        <v>18</v>
      </c>
      <c r="J934" s="23" t="inlineStr">
        <is>
          <t>978-5-227-10882-1</t>
        </is>
      </c>
      <c r="K934" s="23" t="inlineStr">
        <is>
          <t>84x108 1/32</t>
        </is>
      </c>
      <c r="L934" s="23" t="inlineStr">
        <is>
          <t>тв</t>
        </is>
      </c>
      <c r="M934" s="23" t="n">
        <v>287</v>
      </c>
      <c r="N934" s="23" t="n">
        <v>2025</v>
      </c>
      <c r="O934" s="23" t="n">
        <v>288</v>
      </c>
      <c r="P934" s="23" t="n"/>
      <c r="Q934" s="23" t="n"/>
      <c r="R934" s="25" t="inlineStr">
        <is>
          <t>Судьба Булгакова «сшивает» разлом между двумя эпохами, между Россией императорской и Россией советской. Ценность творчества Михаила Афанасьевича не в том, что он был летописцем своего времени, а в том, что он писал для всех времен. Его произведения разобраны на цитаты, и многие из них именно кулинарные: «Осетрина второй свежести», «Не читайте советских газет перед обедом», «Ключница водку делала»… Произведения Булгакова помогают понять то сложное и полное противоречий время, в котором он жил. А документы того времени, порой не имеющие к творчеству Булгакова никакого отношения, например, кулинарные книги, помогают понять его произведения, погрузиться в их атмосферу. Булгаков был эстетом и знатоком гастрономических шедевров. Его привлекали сатирические и фантастические сюжеты, он так же легко, как и Гоголь, превращал повседневную жизнь в фантасмагорию, выявлял ее абсурдность. И одновременно он был певцом высоких радостей творчества и любви, дружной семьи, собирающейся за одним столом. А вот о том, что в те времена подавали на стол, читайте в этой удивительно интересной книге.</t>
        </is>
      </c>
      <c r="S934" s="26">
        <f>HYPERLINK("http://www.cnpol.ru/covers/21465.jpg","фото на сайте")</f>
        <v/>
      </c>
    </row>
    <row r="935" ht="50.1" customHeight="1" s="3">
      <c r="A935" s="23" t="n"/>
      <c r="B935" s="24" t="inlineStr">
        <is>
          <t>20815</t>
        </is>
      </c>
      <c r="C935" s="23" t="inlineStr">
        <is>
          <t>КУХНЯ</t>
        </is>
      </c>
      <c r="D935" s="23" t="inlineStr">
        <is>
          <t>Первушина Е.В.</t>
        </is>
      </c>
      <c r="E935" s="23" t="inlineStr">
        <is>
          <t>За столом с Гоголем. Любимые блюда великого писателя, воспетые в его бессмертных произведениях. Кухня XIX века</t>
        </is>
      </c>
      <c r="F935" s="23" t="inlineStr">
        <is>
          <t>        </t>
        </is>
      </c>
      <c r="G935" s="23" t="n">
        <v>875</v>
      </c>
      <c r="H935" s="23" t="n">
        <v>10</v>
      </c>
      <c r="I935" s="23" t="n">
        <v>10</v>
      </c>
      <c r="J935" s="23" t="inlineStr">
        <is>
          <t>978-5-227-10395-6</t>
        </is>
      </c>
      <c r="K935" s="23" t="inlineStr">
        <is>
          <t>84x108 1/32</t>
        </is>
      </c>
      <c r="L935" s="23" t="inlineStr">
        <is>
          <t>тв</t>
        </is>
      </c>
      <c r="M935" s="23" t="n">
        <v>318</v>
      </c>
      <c r="N935" s="23" t="n">
        <v>2023</v>
      </c>
      <c r="O935" s="23" t="n">
        <v>361</v>
      </c>
      <c r="P935" s="23" t="n"/>
      <c r="Q935" s="23" t="n"/>
      <c r="R935" s="25" t="inlineStr">
        <is>
          <t>Мало кто знает, что Николай Васильевич Гоголь очень любил вкусно поесть. Его литературные творения полны описаний трапез и застолий и даже дают рецепты блюд русской, украинской и европейской кухни. Еда и ее вкушение занимают значительное место во многих произведениях, и описывается это так аппетитно, что, читая, начинаешь завидовать едокам…_x000D_
Характер Гоголя был сложным: едкий сатирик нередко впадал в апатию и меланхолию, но в лучшие свои дни он бывал гурманом и хлебосольным хозяином. О любимых блюдах Гоголя, о том, как они помогают понять его творчество и Россию XIX в., увиденную его глазами, расскажет эта книга._x000D_
Некоторые блюда, которые описывает Гоголь в своих произведениях, мало известны современникам или совсем забыты. Сегодня автор книги исправляет это упущение и дает огромное количество уникальных рецептов блюд, которые подавались в то время.</t>
        </is>
      </c>
      <c r="S935" s="26">
        <f>HYPERLINK("http://www.cnpol.ru/covers/20815.jpg","фото на сайте")</f>
        <v/>
      </c>
    </row>
    <row r="936" ht="50.1" customHeight="1" s="3">
      <c r="A936" s="23" t="n"/>
      <c r="B936" s="24" t="inlineStr">
        <is>
          <t>20599</t>
        </is>
      </c>
      <c r="C936" s="23" t="inlineStr">
        <is>
          <t>КУХНЯ</t>
        </is>
      </c>
      <c r="D936" s="23" t="inlineStr">
        <is>
          <t>Первушина Е.В.</t>
        </is>
      </c>
      <c r="E936" s="23" t="inlineStr">
        <is>
          <t>За столом с Обломовым. Кухня Российской империи. Обеды повседневные и парадные. Для высшего света и бедноты. Русская кухня второй половины XIX века</t>
        </is>
      </c>
      <c r="F936" s="23" t="inlineStr">
        <is>
          <t>        </t>
        </is>
      </c>
      <c r="G936" s="23" t="n">
        <v>875</v>
      </c>
      <c r="H936" s="23" t="n">
        <v>10</v>
      </c>
      <c r="I936" s="23" t="n">
        <v>16</v>
      </c>
      <c r="J936" s="23" t="inlineStr">
        <is>
          <t>978-5-227-10105-1</t>
        </is>
      </c>
      <c r="K936" s="23" t="inlineStr">
        <is>
          <t>84x108 1/32</t>
        </is>
      </c>
      <c r="L936" s="23" t="inlineStr">
        <is>
          <t>тв</t>
        </is>
      </c>
      <c r="M936" s="23" t="n">
        <v>319</v>
      </c>
      <c r="N936" s="23" t="n">
        <v>2023</v>
      </c>
      <c r="O936" s="23" t="n">
        <v>315</v>
      </c>
      <c r="P936" s="23" t="n"/>
      <c r="Q936" s="23" t="n"/>
      <c r="R936" s="25" t="inlineStr">
        <is>
          <t>Вторая половина XIX века была для России во многом переломным временем. Дворяне стояли на страже традиций старинной русской и высокой французской кухни. Купеческие семьи активно «прорывались» в высший свет, осваивая его меню и стремясь перещеголять дворян в роскоши и мотовстве. Фабричные и заводские рабочие нуждались в простой, дешевой и одновременно сытной пище. Все большее число людей разных сословий ездило за границу, привозя оттуда кулинарные новинки. Открывались фабрики по производству конфет, новые дорогие рестораны, чайные, кофейни и дешевые кухмистерские…_x000D_
Герой нашей книги Илья Ильич Обломов, как никто другой, умеет ценить простые радости — мягкий диван, покойный сон, удобный халат и конечно — вкусную еду. Мы узнаем, что подавали на завтраки домашние и торжественные, обеды повседневные и парадные, что ели на провинциальных застольях и что хранилось в погребке у «феи домоводства» Агафьи Матвеевны... В книге вы найдете огромное количество уникальных рецептов блюд, которые подавались в то время.</t>
        </is>
      </c>
      <c r="S936" s="26">
        <f>HYPERLINK("http://www.cnpol.ru/covers/20599.jpg","фото на сайте")</f>
        <v/>
      </c>
    </row>
    <row r="937" ht="50.1" customHeight="1" s="3">
      <c r="A937" s="23" t="n"/>
      <c r="B937" s="24" t="inlineStr">
        <is>
          <t>20682</t>
        </is>
      </c>
      <c r="C937" s="23" t="inlineStr">
        <is>
          <t>КУХНЯ</t>
        </is>
      </c>
      <c r="D937" s="23" t="inlineStr">
        <is>
          <t>Первушина Е.В.</t>
        </is>
      </c>
      <c r="E937" s="23" t="inlineStr">
        <is>
          <t>За столом с Пушкиным. Чем угощали великого поэта. Любимые блюда, воспетые в стихах, высмеянные в письмах и эпиграммах. Русская кухня первой половины XIX века</t>
        </is>
      </c>
      <c r="F937" s="23" t="inlineStr">
        <is>
          <t>        </t>
        </is>
      </c>
      <c r="G937" s="23" t="n">
        <v>875</v>
      </c>
      <c r="H937" s="23" t="n">
        <v>10</v>
      </c>
      <c r="I937" s="23" t="n">
        <v>14</v>
      </c>
      <c r="J937" s="23" t="inlineStr">
        <is>
          <t>978-5-227-10383-3</t>
        </is>
      </c>
      <c r="K937" s="23" t="inlineStr">
        <is>
          <t>84x108 1/32</t>
        </is>
      </c>
      <c r="L937" s="23" t="inlineStr">
        <is>
          <t>тв</t>
        </is>
      </c>
      <c r="M937" s="23" t="n">
        <v>350</v>
      </c>
      <c r="N937" s="23" t="n">
        <v>2023</v>
      </c>
      <c r="O937" s="23" t="n">
        <v>306</v>
      </c>
      <c r="P937" s="23" t="n"/>
      <c r="Q937" s="23" t="n"/>
      <c r="R937" s="25" t="inlineStr">
        <is>
          <t>Жизнь Пушкина, какой бы короткой она ни была и как бы трагически ни закончилась, стала для нас ключом ко всему XIX веку. Сквозь призму биографии легендарного русского поэта можно изучать многие проблемы, которые волновали его современников. Но Елена Первушина неожиданно обратилась не к теме творчества Александра Сергеевича, не к внутренней политике Российской империи, не к вопросам книгоиздания… Автор решила раскрыть читателям тему «Пушкин и кухня XIX века», и через нее мы сможем поближе узнать поэта и время, в которое он жил._x000D_
В XIX веке дворянская кухня отличалась исключительным разнообразием. На нее значительно влияли мода и политика. В столичных ресторанах царила высокая французская кухня, а в дорожных трактирах приходилось перекусывать холодной телятиной и почитать за счастье, если тебе наливали горячих щей… Пушкин никогда не бывал за границей, но ему довелось немало постранствовать по России. О том, какими деликатесами его угощали, какие блюда он любил, а какие нет, какие воспел в стихах, а какие высмеял в письмах и эпиграммах, расскажет эта увлекательная книга. В ней вы найдете огромное количество уникальных рецептов блюд, которые подавались в пушкинское время.</t>
        </is>
      </c>
      <c r="S937" s="26">
        <f>HYPERLINK("http://www.cnpol.ru/covers/20682.jpg","фото на сайте")</f>
        <v/>
      </c>
    </row>
    <row r="938" ht="50.1" customHeight="1" s="3">
      <c r="A938" s="23" t="inlineStr">
        <is>
          <t>Н</t>
        </is>
      </c>
      <c r="B938" s="24" t="inlineStr">
        <is>
          <t>21041</t>
        </is>
      </c>
      <c r="C938" s="23" t="inlineStr">
        <is>
          <t>КУХНЯ</t>
        </is>
      </c>
      <c r="D938" s="23" t="inlineStr">
        <is>
          <t>Первушина Е.В.</t>
        </is>
      </c>
      <c r="E938" s="23" t="inlineStr">
        <is>
          <t>За столом со Сталиным. История эпохи в рецептах и меню. Что было на столе колхозника и первого секретаря? Неподкупные свидетели: кулинарные книги конца XIX — середины XX в.</t>
        </is>
      </c>
      <c r="F938" s="23" t="inlineStr">
        <is>
          <t>        </t>
        </is>
      </c>
      <c r="G938" s="23" t="n">
        <v>941</v>
      </c>
      <c r="H938" s="23" t="n">
        <v>10</v>
      </c>
      <c r="I938" s="23" t="n">
        <v>12</v>
      </c>
      <c r="J938" s="23" t="inlineStr">
        <is>
          <t>978-5-227-10645-2</t>
        </is>
      </c>
      <c r="K938" s="23" t="inlineStr">
        <is>
          <t>84x108 1/32</t>
        </is>
      </c>
      <c r="L938" s="23" t="inlineStr">
        <is>
          <t>тв</t>
        </is>
      </c>
      <c r="M938" s="23" t="n">
        <v>478</v>
      </c>
      <c r="N938" s="23" t="n">
        <v>2024</v>
      </c>
      <c r="O938" s="23" t="n">
        <v>325</v>
      </c>
      <c r="P938" s="23" t="n"/>
      <c r="Q938" s="23" t="n"/>
      <c r="R938" s="25" t="inlineStr">
        <is>
          <t>Озвученный автором промежуток истории кажется близким к нам, о нем сохранилось множество документов и воспоминаний, еще живы свидетели той поры, о ней идет немало споров. И в частности: была ли эта эпоха, исключая, разве что военные годы, периодом невиданного изобилия? Или, напротив, — для народа это было время лишений, а все «сливки» снимала лишь партийная элита? _x000D_
В этой книге мы дадим слово неподкупным свидетелям — кулинарным книгам и меню 1880—1930-х гг., и они расскажут нам, как менялось представление о «вкусной и здоровой пище», о голоде и изобилии в этот период и от каких политических и экономических процессов зависело, что появится на столе простого рабочего или колхозника и первого секретаря — Иосифа Виссарионовича Сталина. Вас ждет большое количество рецептов блюд, многие из которых были любимы вождем народов, и еще много интересного.</t>
        </is>
      </c>
      <c r="S938" s="26">
        <f>HYPERLINK("http://www.cnpol.ru/covers/21041.jpg","фото на сайте")</f>
        <v/>
      </c>
    </row>
    <row r="939" ht="50.1" customHeight="1" s="3">
      <c r="A939" s="23" t="n"/>
      <c r="B939" s="24" t="inlineStr">
        <is>
          <t>15230</t>
        </is>
      </c>
      <c r="C939" s="23" t="inlineStr">
        <is>
          <t>КЦ</t>
        </is>
      </c>
      <c r="D939" s="23" t="inlineStr">
        <is>
          <t>Константинов Ю.Ю</t>
        </is>
      </c>
      <c r="E939" s="23" t="inlineStr">
        <is>
          <t>Аллергия. Народные способы лечения</t>
        </is>
      </c>
      <c r="F939" s="23" t="inlineStr">
        <is>
          <t>        </t>
        </is>
      </c>
      <c r="G939" s="23" t="n">
        <v>150</v>
      </c>
      <c r="H939" s="23" t="n">
        <v>10</v>
      </c>
      <c r="I939" s="23" t="n">
        <v>40</v>
      </c>
      <c r="J939" s="23" t="inlineStr">
        <is>
          <t>978-5-227-05067-0</t>
        </is>
      </c>
      <c r="K939" s="23" t="inlineStr">
        <is>
          <t>70x90 1/32</t>
        </is>
      </c>
      <c r="L939" s="23" t="inlineStr">
        <is>
          <t>мяг</t>
        </is>
      </c>
      <c r="M939" s="23" t="n">
        <v>157</v>
      </c>
      <c r="N939" s="23" t="n">
        <v>2014</v>
      </c>
      <c r="O939" s="23" t="n">
        <v>70</v>
      </c>
      <c r="P939" s="23" t="n"/>
      <c r="Q939" s="23" t="n"/>
      <c r="R939" s="25" t="inlineStr">
        <is>
          <t>Аллергия шагает по планете. В России этим недугом в той или иной степени страдает каждый третий… Существует огромное количество аллергенов, которые порой подстерегают нас в самых неожиданных местах, а степень тяжести заболевания зависит от многих причин. Медицина далеко продвинулась в лечении аллергии, но многое для облегчения своего состояния вы можете сделать сами. _x000D_
Прочитайте нашу книгу, и вы получите незаменимые знания о бытовой, пищевой, лекарственной и других видах аллергии, о том, как выявить причины и симптомы, а также узнаете, как проводить профилактику аллергических заболеваний. _x000D_
А самое главное, в нашей книге вы найдете множество рецептов вкусных и полезных блюд, в которых строго соблюден принцип сочетаемости различных ингредиентов.</t>
        </is>
      </c>
      <c r="S939" s="26">
        <f>HYPERLINK("http://www.cnpol.ru/covers/15230.jpg","фото на сайте")</f>
        <v/>
      </c>
    </row>
    <row r="940" ht="50.1" customHeight="1" s="3">
      <c r="A940" s="23" t="n"/>
      <c r="B940" s="24" t="inlineStr">
        <is>
          <t>16338</t>
        </is>
      </c>
      <c r="C940" s="23" t="inlineStr">
        <is>
          <t>КЦ</t>
        </is>
      </c>
      <c r="D940" s="23" t="inlineStr">
        <is>
          <t>Константинов Ю.Ю</t>
        </is>
      </c>
      <c r="E940" s="23" t="inlineStr">
        <is>
          <t>Боремся с анемией народными методами</t>
        </is>
      </c>
      <c r="F940" s="23" t="inlineStr">
        <is>
          <t>        </t>
        </is>
      </c>
      <c r="G940" s="23" t="n">
        <v>150</v>
      </c>
      <c r="H940" s="23" t="n">
        <v>10</v>
      </c>
      <c r="I940" s="23" t="n">
        <v>40</v>
      </c>
      <c r="J940" s="23" t="inlineStr">
        <is>
          <t>978-5-227-06008-2</t>
        </is>
      </c>
      <c r="K940" s="23" t="inlineStr">
        <is>
          <t>70x90 1/32</t>
        </is>
      </c>
      <c r="L940" s="23" t="inlineStr">
        <is>
          <t>мяг</t>
        </is>
      </c>
      <c r="M940" s="23" t="n">
        <v>160</v>
      </c>
      <c r="N940" s="23" t="n">
        <v>2015</v>
      </c>
      <c r="O940" s="23" t="n">
        <v>68</v>
      </c>
      <c r="P940" s="23" t="n"/>
      <c r="Q940" s="23" t="n"/>
      <c r="R940" s="25" t="inlineStr">
        <is>
          <t>Симптомы анемии настолько разносторонние, что затрагивают практически каждую функциональную систему организма. Причины, вызывающие анемию: массивные травмы и операции; повреждения сосудов; любые виды кровопотери; генетические и наследственные дефекты ферментов и структуры эритроцитов; аутоиммунные заболевания; прием некоторых лекарственных препаратов; отравление ядами и токсинами… Как и любая патология, анемия требует комплексного лечебного подхода. В первую очередь определяется конкретный вид анемии, ее причина и степень. Только после этого можно приступать к коррекции. В ряде случаев эта патология не требует специфического лечения и закономерно устраняется после лечения основного заболевания, симптомом которого она являлась. Но большинство анемий требуют того или иного лечения. В основном анемия хорошо поддается лечению народными средствами, о которых мы и расскажем в этой книге.</t>
        </is>
      </c>
      <c r="S940" s="26">
        <f>HYPERLINK("http://www.cnpol.ru/covers/16338.jpg","фото на сайте")</f>
        <v/>
      </c>
    </row>
    <row r="941" ht="50.1" customHeight="1" s="3">
      <c r="A941" s="23" t="n"/>
      <c r="B941" s="24" t="inlineStr">
        <is>
          <t>14906</t>
        </is>
      </c>
      <c r="C941" s="23" t="inlineStr">
        <is>
          <t>КЦ</t>
        </is>
      </c>
      <c r="D941" s="23" t="inlineStr">
        <is>
          <t>Константинов Ю.Ю</t>
        </is>
      </c>
      <c r="E941" s="23" t="inlineStr">
        <is>
          <t>Восстанавливаем печень народными методами</t>
        </is>
      </c>
      <c r="F941" s="23" t="inlineStr">
        <is>
          <t>        </t>
        </is>
      </c>
      <c r="G941" s="23" t="n">
        <v>150</v>
      </c>
      <c r="H941" s="23" t="n">
        <v>10</v>
      </c>
      <c r="I941" s="23" t="n">
        <v>80</v>
      </c>
      <c r="J941" s="23" t="inlineStr">
        <is>
          <t>978-5-227-04835-6</t>
        </is>
      </c>
      <c r="K941" s="23" t="inlineStr">
        <is>
          <t>70x90 1/32</t>
        </is>
      </c>
      <c r="L941" s="23" t="inlineStr">
        <is>
          <t>мяг</t>
        </is>
      </c>
      <c r="M941" s="23" t="n">
        <v>157</v>
      </c>
      <c r="N941" s="23" t="n">
        <v>2014</v>
      </c>
      <c r="O941" s="23" t="n">
        <v>72</v>
      </c>
      <c r="P941" s="23" t="n"/>
      <c r="Q941" s="23" t="n"/>
      <c r="R941" s="25" t="inlineStr">
        <is>
          <t>"Заболевания печени объединены коварным признаком — они долго остаются незаметными, потому стоит поберечь свою печень заранее, пройти курс профилактической очистки, изучить, какие продукты вредны, а какие полезны для органа. Из книги вы узнаете все, что нужно знать о печени: каким заболеваниям она подвержена, каковы их признаки и принципы лечения, пройдете тест для предварительного определения состояния печени и узнаете огромное количество народных рецептов для поддержания здоровья печени, ее очистки и восстановления.
Будьте здоровы и пусть ваше знакомство с болезнями печени состоится только на бумаге!"</t>
        </is>
      </c>
      <c r="S941" s="26">
        <f>HYPERLINK("http://www.cnpol.ru/covers/14906.jpg","фото на сайте")</f>
        <v/>
      </c>
    </row>
    <row r="942" ht="50.1" customHeight="1" s="3">
      <c r="A942" s="23" t="n"/>
      <c r="B942" s="24" t="inlineStr">
        <is>
          <t>15613</t>
        </is>
      </c>
      <c r="C942" s="23" t="inlineStr">
        <is>
          <t>КЦ</t>
        </is>
      </c>
      <c r="D942" s="23" t="inlineStr">
        <is>
          <t>Константинов Ю.Ю</t>
        </is>
      </c>
      <c r="E942" s="23" t="inlineStr">
        <is>
          <t>Восстанавливаем печень народными методами</t>
        </is>
      </c>
      <c r="F942" s="23" t="inlineStr">
        <is>
          <t>        </t>
        </is>
      </c>
      <c r="G942" s="23" t="n">
        <v>150</v>
      </c>
      <c r="H942" s="23" t="n">
        <v>10</v>
      </c>
      <c r="I942" s="23" t="n">
        <v>40</v>
      </c>
      <c r="J942" s="23" t="inlineStr">
        <is>
          <t>978-5-227-04835-6</t>
        </is>
      </c>
      <c r="K942" s="23" t="inlineStr">
        <is>
          <t>70x90 1/32</t>
        </is>
      </c>
      <c r="L942" s="23" t="inlineStr">
        <is>
          <t>мяг</t>
        </is>
      </c>
      <c r="M942" s="23" t="n">
        <v>159</v>
      </c>
      <c r="N942" s="23" t="n">
        <v>2014</v>
      </c>
      <c r="O942" s="23" t="n">
        <v>70</v>
      </c>
      <c r="P942" s="23" t="n"/>
      <c r="Q942" s="23" t="n"/>
      <c r="R942" s="25" t="inlineStr">
        <is>
          <t>"Заболевания печени объединены коварным признаком — они долго остаются незаметными, потому стоит поберечь свою печень заранее, пройти курс профилактической очистки, изучить, какие продукты вредны, а какие полезны для органа. Из книги вы узнаете все, что нужно знать о печени: каким заболеваниям она подвержена, каковы их признаки и принципы лечения, пройдете тест для предварительного определения состояния печени и узнаете огромное количество народных рецептов для поддержания здоровья печени, ее очистки и восстановления.
Будьте здоровы и пусть ваше знакомство с болезнями печени состоится только на бумаге!"</t>
        </is>
      </c>
      <c r="S942" s="26">
        <f>HYPERLINK("http://www.cnpol.ru/covers/15613.jpg","фото на сайте")</f>
        <v/>
      </c>
    </row>
    <row r="943" ht="50.1" customHeight="1" s="3">
      <c r="A943" s="23" t="n"/>
      <c r="B943" s="24" t="inlineStr">
        <is>
          <t>19212</t>
        </is>
      </c>
      <c r="C943" s="23" t="inlineStr">
        <is>
          <t>КЦ</t>
        </is>
      </c>
      <c r="D943" s="23" t="inlineStr">
        <is>
          <t>Константинов Ю.Ю</t>
        </is>
      </c>
      <c r="E943" s="23" t="inlineStr">
        <is>
          <t>Всё о коронавирусе. Природа и виды вирусов, распространение, профилактика</t>
        </is>
      </c>
      <c r="F943" s="23" t="inlineStr">
        <is>
          <t>        </t>
        </is>
      </c>
      <c r="G943" s="23" t="n">
        <v>150</v>
      </c>
      <c r="H943" s="23" t="n">
        <v>10</v>
      </c>
      <c r="I943" s="23" t="n">
        <v>24</v>
      </c>
      <c r="J943" s="23" t="inlineStr">
        <is>
          <t>978-5-227-09183-3</t>
        </is>
      </c>
      <c r="K943" s="23" t="inlineStr">
        <is>
          <t>70x90 1/32</t>
        </is>
      </c>
      <c r="L943" s="23" t="inlineStr">
        <is>
          <t>мяг</t>
        </is>
      </c>
      <c r="M943" s="23" t="n">
        <v>160</v>
      </c>
      <c r="N943" s="23" t="n">
        <v>2020</v>
      </c>
      <c r="O943" s="23" t="n">
        <v>68</v>
      </c>
      <c r="P943" s="23" t="n"/>
      <c r="Q943" s="23" t="n"/>
      <c r="R943" s="25" t="inlineStr">
        <is>
          <t>Вирусы вызывают разные заболевания. Это очень опасные… А что опасные – существа, вещества? Что такое вирус? Он, вообще, живой? Научное определение гласит, что вирус — это неклеточный инфекционный агент, который может воспроизводиться только внутри живых клеток. Вирусы существуют везде, где есть хоть какая­нибудь жизнь. Считается, что они существуют на Земле со времен эволюции живых клеток. И если вирус гриппа нас пугает уже не очень сильно, то периодически возникающие новые формы вирусов наводят страх на человечество… Птичий грипп, свиной, лихорадка Эбола, вирус иммунодефицита человека — много чем мы были напуганы в последнее время. А теперь — коронавирус… Давайте узнаем о вирусах как можно больше и поймем, так ли они страшны, как их малюют.</t>
        </is>
      </c>
      <c r="S943" s="26">
        <f>HYPERLINK("http://www.cnpol.ru/covers/19212.jpg","фото на сайте")</f>
        <v/>
      </c>
    </row>
    <row r="944" ht="50.1" customHeight="1" s="3">
      <c r="A944" s="23" t="n"/>
      <c r="B944" s="24" t="inlineStr">
        <is>
          <t>14133</t>
        </is>
      </c>
      <c r="C944" s="23" t="inlineStr">
        <is>
          <t>КЦ</t>
        </is>
      </c>
      <c r="D944" s="23" t="inlineStr">
        <is>
          <t>Константинов Ю.Ю</t>
        </is>
      </c>
      <c r="E944" s="23" t="inlineStr">
        <is>
          <t>Детские инфекции. Как распознать и обезвредить</t>
        </is>
      </c>
      <c r="F944" s="23" t="inlineStr">
        <is>
          <t>        </t>
        </is>
      </c>
      <c r="G944" s="23" t="n">
        <v>150</v>
      </c>
      <c r="H944" s="23" t="n">
        <v>10</v>
      </c>
      <c r="I944" s="23" t="n">
        <v>60</v>
      </c>
      <c r="J944" s="23" t="inlineStr">
        <is>
          <t>978-5-227-04038-1</t>
        </is>
      </c>
      <c r="K944" s="23" t="inlineStr">
        <is>
          <t>70x90 1/32</t>
        </is>
      </c>
      <c r="L944" s="23" t="inlineStr">
        <is>
          <t>мяг</t>
        </is>
      </c>
      <c r="M944" s="23" t="n">
        <v>156</v>
      </c>
      <c r="N944" s="23" t="n">
        <v>2013</v>
      </c>
      <c r="O944" s="23" t="n">
        <v>68</v>
      </c>
      <c r="P944" s="23" t="n"/>
      <c r="Q944" s="23" t="n"/>
      <c r="R944" s="25" t="inlineStr">
        <is>
          <t>Мы расскажем о самых распространенных детских инфекциях: корь, ветряная оспа, скарлатина, эпидемический паротит, краснуха, коклюш, дифтерия… Благодаря современной медицине эти болезни встречаются все реже, но знать о них все равно необходимо. Также будут рассмотрены болезни, которые обычно не упоминаются при рассмотрении детских инфекций, но о которых полезно знать, чтобы вовремя распознать и поднять тревогу. Отдельной главой представлены заболевания, к инфекциям не относящиеся, но очень распространенные у детей: гельминтозы._x000D_
В книге приведены полезные сведения о том, какая сыпь бывает при различных болезнях, что делать, когда у ребенка высокая температура, будут описаны меры первой помощи при неотложных состояниях, которые можно предпринять до прихода медиков, и множество другой полезной информации.</t>
        </is>
      </c>
      <c r="S944" s="26">
        <f>HYPERLINK("http://www.cnpol.ru/covers/14133.jpg","фото на сайте")</f>
        <v/>
      </c>
    </row>
    <row r="945" ht="50.1" customHeight="1" s="3">
      <c r="A945" s="23" t="n"/>
      <c r="B945" s="24" t="inlineStr">
        <is>
          <t>19702</t>
        </is>
      </c>
      <c r="C945" s="23" t="inlineStr">
        <is>
          <t>КЦ</t>
        </is>
      </c>
      <c r="D945" s="23" t="inlineStr">
        <is>
          <t>Константинов Ю.Ю</t>
        </is>
      </c>
      <c r="E945" s="23" t="inlineStr">
        <is>
          <t>Ежевика. Мощный лекарь от ста недугов. Лечение онкологии, диабета, артрита, атеросклероза, варикоза, гастрита, заболеваний печени, ревматизма</t>
        </is>
      </c>
      <c r="F945" s="23" t="inlineStr">
        <is>
          <t>        </t>
        </is>
      </c>
      <c r="G945" s="23" t="n">
        <v>150</v>
      </c>
      <c r="H945" s="23" t="n">
        <v>10</v>
      </c>
      <c r="I945" s="23" t="n">
        <v>30</v>
      </c>
      <c r="J945" s="23" t="inlineStr">
        <is>
          <t>978-5-227-07550-5</t>
        </is>
      </c>
      <c r="K945" s="23" t="inlineStr">
        <is>
          <t>70x90 1/32</t>
        </is>
      </c>
      <c r="L945" s="23" t="inlineStr">
        <is>
          <t>мяг</t>
        </is>
      </c>
      <c r="M945" s="23" t="n">
        <v>160</v>
      </c>
      <c r="N945" s="23" t="n">
        <v>2021</v>
      </c>
      <c r="O945" s="23" t="n">
        <v>68</v>
      </c>
      <c r="P945" s="23" t="n"/>
      <c r="Q945" s="23" t="n"/>
      <c r="R945" s="25" t="inlineStr">
        <is>
          <t>Ежевика практически не имеет противопоказаний. Ее ягодами, листьями и корнями еще издавна вылечивали немалое количество заболеваний. Регулярное употребление ягод и настоя из листьев и корней ежевики способно остановить распространение раковых клеток. Успешно ежевика борется с анемией, артритом, атеросклерозом, варикозом, тромбофлебитом, склерозом, бронхитом, трахеитом, гастритом, диабетом, заболеваниями печени, ревматизмом, сосудистыми проблемами. Она является низкокалорийным продуктом, поэтому ее смело можно кушать тем, кто соблюдает диету и боится поправиться. Ежевика эффективно борется с кожными проблемами, снимая воспаления, избавляя от экземы, дерматита. В домашней косметологии широко применимы маски из ежевики для лица. Ежевика удивительно сочетается с другими продуктами, такими как творог, кефир, мороженое, шоколад. Ягоды — отличная начинка для пирогов и печенья. Помимо того, что ежевичные плоды очень полезные и вкусные в свежем виде, они имеют прекрасные вкусовые качества и в переработанном состоянии. Ежевика является отличным ингредиентом для приготовления десертов, желе, сиропов, соков, прохладительных напитков, коктейлей, ликеров и настоек. Читайте всё об этой чудесной ягоде в нашей книге!</t>
        </is>
      </c>
      <c r="S945" s="26">
        <f>HYPERLINK("http://www.cnpol.ru/covers/19702.jpg","фото на сайте")</f>
        <v/>
      </c>
    </row>
    <row r="946" ht="50.1" customHeight="1" s="3">
      <c r="A946" s="23" t="n"/>
      <c r="B946" s="24" t="inlineStr">
        <is>
          <t>17530</t>
        </is>
      </c>
      <c r="C946" s="23" t="inlineStr">
        <is>
          <t>КЦ</t>
        </is>
      </c>
      <c r="D946" s="23" t="inlineStr">
        <is>
          <t>Константинов Ю.Ю</t>
        </is>
      </c>
      <c r="E946" s="23" t="inlineStr">
        <is>
          <t>Женьшень. Секреты целительной силы и лучшие рецепты</t>
        </is>
      </c>
      <c r="F946" s="23" t="inlineStr">
        <is>
          <t>        </t>
        </is>
      </c>
      <c r="G946" s="23" t="n">
        <v>150</v>
      </c>
      <c r="H946" s="23" t="n">
        <v>10</v>
      </c>
      <c r="I946" s="23" t="n">
        <v>24</v>
      </c>
      <c r="J946" s="23" t="inlineStr">
        <is>
          <t>978-5-227-06870-5</t>
        </is>
      </c>
      <c r="K946" s="23" t="inlineStr">
        <is>
          <t>70x100 1/32</t>
        </is>
      </c>
      <c r="L946" s="23" t="inlineStr">
        <is>
          <t>мяг</t>
        </is>
      </c>
      <c r="M946" s="23" t="n">
        <v>160</v>
      </c>
      <c r="N946" s="23" t="n">
        <v>2017</v>
      </c>
      <c r="O946" s="23" t="n">
        <v>68</v>
      </c>
      <c r="P946" s="23" t="n"/>
      <c r="Q946" s="23" t="n"/>
      <c r="R946" s="25" t="inlineStr">
        <is>
          <t>В нашей книге мы рассмотрим один из самых известных адаптогенов — женьшень. Адаптогены облегчают приспособ­ление организма к неблагоприятным условиям: физическим нагрузкам, жаре, холоду, жажде, голоду, стрессу. Китайская муд­рость гласит: «Царь лесных зверей — тигр, царь морских зверей — дракон, а царь лесных растений — женьшень». Восточные целители утверждают, что препараты женьшеня про­длевают жизнь и молодость. Самые известные названия этого растения: «корень жизни», «дух земли», «дар богов» — говорят об его уникальных лечебных свойствах. Женьшень особенно полезен пожилым людям. Недаром его называют препаратом, продлевающим молодость. Он усиливают действие лекарств, применяемых для лечения сердечно­сосудистых заболеваний, анемии, сахарного диабета, улучшают сон, настроение. Применяют его при атеросклерозе, пороке сердца, ранних стадиях туберкулеза. Кроме того, женьшень хорошо помогает в период восстановления, после тяжелых инфекционных заболеваний или операций. Назначают его и при астеническом синдроме, а также общей слабости организма. Женьшень — это прекрасное средство, повышающее сопротивление организма, умственную и физическую выносливость. Как правильно применять это чудо­растение, расскажет наша книга.</t>
        </is>
      </c>
      <c r="S946" s="26">
        <f>HYPERLINK("http://www.cnpol.ru/covers/17530.jpg","фото на сайте")</f>
        <v/>
      </c>
    </row>
    <row r="947" ht="50.1" customHeight="1" s="3">
      <c r="A947" s="23" t="n"/>
      <c r="B947" s="24" t="inlineStr">
        <is>
          <t>19995</t>
        </is>
      </c>
      <c r="C947" s="23" t="inlineStr">
        <is>
          <t>КЦ</t>
        </is>
      </c>
      <c r="D947" s="23" t="inlineStr">
        <is>
          <t>Константинов Ю.Ю</t>
        </is>
      </c>
      <c r="E947" s="23" t="inlineStr">
        <is>
          <t>Избавляемся от аутоиммунных заболеваний</t>
        </is>
      </c>
      <c r="F947" s="23" t="inlineStr">
        <is>
          <t>        </t>
        </is>
      </c>
      <c r="G947" s="23" t="n">
        <v>150</v>
      </c>
      <c r="H947" s="23" t="n">
        <v>10</v>
      </c>
      <c r="I947" s="23" t="n">
        <v>30</v>
      </c>
      <c r="J947" s="23" t="inlineStr">
        <is>
          <t>978-5-227-09764-4</t>
        </is>
      </c>
      <c r="K947" s="23" t="inlineStr">
        <is>
          <t>70x90 1/32</t>
        </is>
      </c>
      <c r="L947" s="23" t="inlineStr">
        <is>
          <t>мяг</t>
        </is>
      </c>
      <c r="M947" s="23" t="n">
        <v>159</v>
      </c>
      <c r="N947" s="23" t="n">
        <v>2022</v>
      </c>
      <c r="O947" s="23" t="n">
        <v>70</v>
      </c>
      <c r="P947" s="23" t="n"/>
      <c r="Q947" s="23" t="n"/>
      <c r="R947" s="25" t="inlineStr">
        <is>
          <t>Проблема иммунитета сегодня стоит очень остро. Жизнь в городах, изменение погоды, напряженный график работы — все это влияет на организм человека не лучшим образом. В индустриально развитых странах в последние десятилетия наблюдается скачок роста аутоиммунных заболеваний — болезней, появляющихся из­за нарушения функционирования иммунной системы. Организм начинает вырабатывать антитела к собственным тканям. В результате поражается какой­то орган. Или несколько органов, система, и тогда говорят о системных заболеваниях. К аутоиммунным болезням относят псориаз, рассеянный склероз, системную красную волчанку, целиакию, болезнь Крона, неспецифический язвенный колит, сахарный диабет I типа и другие опасные для жизни состояния. К сожалению, больные с подобными диагнозами раньше очень страдали, продолжительность их жизни сокращалась. Сегодня медицина шагнула вперед и появилась возможность значительно улучшить качество жизни подобных больных и увеличить ее продолжительность. Так что же такое аутоиммунные заболевания и поддаются ли они лечению? И возможно ли поддержать больных чем­то кроме медикаментов? Может ли больной человек чем­то помочь себе сам? При некоторых болезнях — может, если будет соблюдать режим правильного питания и в дополнение к назначенному врачом лечению применять фитотерапию и народную медицину. А как это сделать, читайте в книге.</t>
        </is>
      </c>
      <c r="S947" s="26">
        <f>HYPERLINK("http://www.cnpol.ru/covers/19995.jpg","фото на сайте")</f>
        <v/>
      </c>
    </row>
    <row r="948" ht="50.1" customHeight="1" s="3">
      <c r="A948" s="23" t="n"/>
      <c r="B948" s="24" t="inlineStr">
        <is>
          <t>14191</t>
        </is>
      </c>
      <c r="C948" s="23" t="inlineStr">
        <is>
          <t>КЦ</t>
        </is>
      </c>
      <c r="D948" s="23" t="inlineStr">
        <is>
          <t>Константинов Ю.Ю</t>
        </is>
      </c>
      <c r="E948" s="23" t="inlineStr">
        <is>
          <t>Имбирь. Корень здоровья, красоты и долголетия</t>
        </is>
      </c>
      <c r="F948" s="23" t="inlineStr">
        <is>
          <t>        </t>
        </is>
      </c>
      <c r="G948" s="23" t="n">
        <v>150</v>
      </c>
      <c r="H948" s="23" t="n">
        <v>10</v>
      </c>
      <c r="I948" s="23" t="n">
        <v>48</v>
      </c>
      <c r="J948" s="23" t="inlineStr">
        <is>
          <t>978-5-227-04171-5</t>
        </is>
      </c>
      <c r="K948" s="23" t="inlineStr">
        <is>
          <t>70x90 1/32</t>
        </is>
      </c>
      <c r="L948" s="23" t="inlineStr">
        <is>
          <t>мяг</t>
        </is>
      </c>
      <c r="M948" s="23" t="n">
        <v>156</v>
      </c>
      <c r="N948" s="23" t="n">
        <v>2013</v>
      </c>
      <c r="O948" s="23" t="n">
        <v>68</v>
      </c>
      <c r="P948" s="23" t="n"/>
      <c r="Q948" s="23" t="n"/>
      <c r="R948" s="25" t="inlineStr">
        <is>
          <t>Имбирь — настоящий лекарь, он оказывает противовоспалительное, заживляющее и тонизирующее действие, улучшает кровоснабжение и ускоряет обменные процессы, снижает давление и уровень холестерина в крови, стимулирует пищеварение и очищает организм. Имбирь укрепляет память, является сильным антиоксидантом, эффективен для профилактики рака, повышает иммунитет и способствует похудению… Ну и конечно нельзя не сказать, что имбирь — мощный афродизиак, ведь не зря наложниц потчевали «гаремными леденцами» на основе имбиря!_x000D_
Из книги вы узнаете, как вырастить имбирь, научитесь применять его при различных заболеваниях, получите рецепты восхитительных блюд с этой пряностью, сможете с его помощью бросить курить, помолодеть и стать еще красивее.</t>
        </is>
      </c>
      <c r="S948" s="26">
        <f>HYPERLINK("http://www.cnpol.ru/covers/14191.jpg","фото на сайте")</f>
        <v/>
      </c>
    </row>
    <row r="949" ht="50.1" customHeight="1" s="3">
      <c r="A949" s="23" t="n"/>
      <c r="B949" s="24" t="inlineStr">
        <is>
          <t>14904</t>
        </is>
      </c>
      <c r="C949" s="23" t="inlineStr">
        <is>
          <t>КЦ</t>
        </is>
      </c>
      <c r="D949" s="23" t="inlineStr">
        <is>
          <t>Константинов Ю.Ю</t>
        </is>
      </c>
      <c r="E949" s="23" t="inlineStr">
        <is>
          <t>Имбирь. Корень здоровья, красоты и долголетия</t>
        </is>
      </c>
      <c r="F949" s="23" t="inlineStr">
        <is>
          <t>        </t>
        </is>
      </c>
      <c r="G949" s="23" t="n">
        <v>150</v>
      </c>
      <c r="H949" s="23" t="n">
        <v>10</v>
      </c>
      <c r="I949" s="23" t="n">
        <v>80</v>
      </c>
      <c r="J949" s="23" t="inlineStr">
        <is>
          <t>978-5-227-04834-9</t>
        </is>
      </c>
      <c r="K949" s="23" t="inlineStr">
        <is>
          <t>70x90 1/32</t>
        </is>
      </c>
      <c r="L949" s="23" t="inlineStr">
        <is>
          <t>мяг</t>
        </is>
      </c>
      <c r="M949" s="23" t="n">
        <v>156</v>
      </c>
      <c r="N949" s="23" t="n">
        <v>2014</v>
      </c>
      <c r="O949" s="23" t="n">
        <v>70</v>
      </c>
      <c r="P949" s="23" t="n"/>
      <c r="Q949" s="23" t="n"/>
      <c r="R949" s="25" t="inlineStr">
        <is>
          <t>Имбирь — настоящий лекарь, он оказывает противовоспалительное, заживляющее и тонизирующее действие, улучшает кровоснабжение и ускоряет обменные процессы, снижает давление и уровень холестерина в крови, стимулирует пищеварение и очищает организм. Имбирь укрепляет память, является сильным антиоксидантом, эффективен для профилактики рака, повышает иммунитет и способствует похудению… Ну и конечно нельзя не сказать, что имбирь — мощный афродизиак, ведь не зря наложниц потчевали «гаремными леденцами» на основе имбиря!_x000D_
Из книги вы узнаете, как вырастить имбирь, научитесь применять его при различных заболеваниях, получите рецепты восхитительных блюд с этой пряностью, сможете с его помощью бросить курить, помолодеть и стать еще красивее.</t>
        </is>
      </c>
      <c r="S949" s="26">
        <f>HYPERLINK("http://www.cnpol.ru/covers/14904.jpg","фото на сайте")</f>
        <v/>
      </c>
    </row>
    <row r="950" ht="50.1" customHeight="1" s="3">
      <c r="A950" s="23" t="n"/>
      <c r="B950" s="24" t="inlineStr">
        <is>
          <t>19060</t>
        </is>
      </c>
      <c r="C950" s="23" t="inlineStr">
        <is>
          <t>КЦ</t>
        </is>
      </c>
      <c r="D950" s="23" t="inlineStr">
        <is>
          <t>Константинов Ю.Ю</t>
        </is>
      </c>
      <c r="E950" s="23" t="inlineStr">
        <is>
          <t>Исцеление от изжоги. Лучшие народные рецепты</t>
        </is>
      </c>
      <c r="F950" s="23" t="inlineStr">
        <is>
          <t>        </t>
        </is>
      </c>
      <c r="G950" s="23" t="n">
        <v>150</v>
      </c>
      <c r="H950" s="23" t="n">
        <v>10</v>
      </c>
      <c r="I950" s="23" t="n">
        <v>40</v>
      </c>
      <c r="J950" s="23" t="inlineStr">
        <is>
          <t>978-5-227-08480-4</t>
        </is>
      </c>
      <c r="K950" s="23" t="inlineStr">
        <is>
          <t>70x90 1/32</t>
        </is>
      </c>
      <c r="L950" s="23" t="inlineStr">
        <is>
          <t>мяг</t>
        </is>
      </c>
      <c r="M950" s="23" t="n">
        <v>160</v>
      </c>
      <c r="N950" s="23" t="n">
        <v>2020</v>
      </c>
      <c r="O950" s="23" t="n">
        <v>68</v>
      </c>
      <c r="P950" s="23" t="n"/>
      <c r="Q950" s="23" t="n"/>
      <c r="R950" s="25" t="inlineStr">
        <is>
          <t>Очень многие люди страдают от изжоги, но редко кто идет к врачу с этой проблемой. Изжога доставляет дискомфорт, но считается неопасным симптомом, и поэтому некоторые смиряются с ней годами… А зря! Ведь изжога сигнализирует, что в работе желудка что­то нарушилось и пора что­то предпринять! _x000D_
Если вам знакомо это неприятное ощущение, то пора обратить внимание на сигналы, подаваемые вашим организмом. Прочитайте книгу, узнайте об изжоге все: причины ее возникновения; принципы правильного питания для устранения симптома; какие народные рецепты помогут избавиться от неприятных ощущений.</t>
        </is>
      </c>
      <c r="S950" s="26">
        <f>HYPERLINK("http://www.cnpol.ru/covers/19060.jpg","фото на сайте")</f>
        <v/>
      </c>
    </row>
    <row r="951" ht="50.1" customHeight="1" s="3">
      <c r="A951" s="23" t="n"/>
      <c r="B951" s="24" t="inlineStr">
        <is>
          <t>14288</t>
        </is>
      </c>
      <c r="C951" s="23" t="inlineStr">
        <is>
          <t>КЦ</t>
        </is>
      </c>
      <c r="D951" s="23" t="inlineStr">
        <is>
          <t>Константинов Ю.Ю</t>
        </is>
      </c>
      <c r="E951" s="23" t="inlineStr">
        <is>
          <t>Красота и здоровье зубов</t>
        </is>
      </c>
      <c r="F951" s="23" t="inlineStr">
        <is>
          <t>        </t>
        </is>
      </c>
      <c r="G951" s="23" t="n">
        <v>150</v>
      </c>
      <c r="H951" s="23" t="n">
        <v>10</v>
      </c>
      <c r="I951" s="23" t="n">
        <v>30</v>
      </c>
      <c r="J951" s="23" t="inlineStr">
        <is>
          <t>978-5-227-04251-4</t>
        </is>
      </c>
      <c r="K951" s="23" t="inlineStr">
        <is>
          <t>70x90 1/32</t>
        </is>
      </c>
      <c r="L951" s="23" t="inlineStr">
        <is>
          <t>мяг</t>
        </is>
      </c>
      <c r="M951" s="23" t="n">
        <v>159</v>
      </c>
      <c r="N951" s="23" t="n">
        <v>2013</v>
      </c>
      <c r="O951" s="23" t="n">
        <v>70</v>
      </c>
      <c r="P951" s="23" t="n"/>
      <c r="Q951" s="23" t="n"/>
      <c r="R951" s="25" t="inlineStr">
        <is>
          <t>Нет ничего хуже зубной боли… Но, слава богу, давно канули в Лету те времена, когда поход к дантисту приводил больного в не меньший ужас, чем сама боль… Сегодня лечить зубы не больно, сегодня ДОРОГО! Выход один: хранить здоровье зубов смолоду, а к стоматологу заглядывать только на профилактический осмотр. Как добиться этого и сохранить до старости белоснежную улыбку — расскажет книга.</t>
        </is>
      </c>
      <c r="S951" s="26">
        <f>HYPERLINK("http://www.cnpol.ru/covers/14288.jpg","фото на сайте")</f>
        <v/>
      </c>
    </row>
    <row r="952" ht="50.1" customHeight="1" s="3">
      <c r="A952" s="23" t="n"/>
      <c r="B952" s="24" t="inlineStr">
        <is>
          <t>18235</t>
        </is>
      </c>
      <c r="C952" s="23" t="inlineStr">
        <is>
          <t>КЦ</t>
        </is>
      </c>
      <c r="D952" s="23" t="inlineStr">
        <is>
          <t>Константинов Ю.Ю</t>
        </is>
      </c>
      <c r="E952" s="23" t="inlineStr">
        <is>
          <t>Лекарь морковь. От диабета, онкологии, авитаминоза, ожирения, гипертонии, нарушений пищеварения</t>
        </is>
      </c>
      <c r="F952" s="23" t="inlineStr">
        <is>
          <t>        </t>
        </is>
      </c>
      <c r="G952" s="23" t="n">
        <v>150</v>
      </c>
      <c r="H952" s="23" t="n">
        <v>10</v>
      </c>
      <c r="I952" s="23" t="n">
        <v>20</v>
      </c>
      <c r="J952" s="23" t="inlineStr">
        <is>
          <t>978-5-227-08199-5</t>
        </is>
      </c>
      <c r="K952" s="23" t="inlineStr">
        <is>
          <t>70x90 1/32</t>
        </is>
      </c>
      <c r="L952" s="23" t="inlineStr">
        <is>
          <t>мяг</t>
        </is>
      </c>
      <c r="M952" s="23" t="n">
        <v>160</v>
      </c>
      <c r="N952" s="23" t="n">
        <v>2018</v>
      </c>
      <c r="O952" s="23" t="n">
        <v>72</v>
      </c>
      <c r="P952" s="23" t="n"/>
      <c r="Q952" s="23" t="n"/>
      <c r="R952" s="25" t="inlineStr">
        <is>
          <t>"О достоинствах моркови можно говорить бесконечно! Сырая, маринованная, жареная, вареная, в цукатах, гарнирах, салатах, соках — морковь хороша везде! Она становится одним из первых прикормов для малышей и полезна людям всех возрастных категорий до глубокой старости.
Человек употребляет морковь уже около 4 000 лет! И столько же лет известно о том, что морковь не только вкусна, но и целебна. Сок моркови — великолепный антиоксидант, семена — прекрасное слабительное, морковное масло — отличный косметолог. С помощью моркови лечат проблемы печени, авитаминозы, заболевания желудка, она мощное противовирусное и антимикробное средство. Нормализует артериальное давление, сахар крови, поднимает иммунитет, снимает отеки, заживляет раны, способствует улучшению зрения… Несмотря на выраженный сладкий вкус морковь низкокалорийна и может способствовать похудению! Впечатляет? Да! И главное, этот чудо­лекарь доступен любому покупателю круглый год. Лечитесь морковкой и будьте здоровы!
"</t>
        </is>
      </c>
      <c r="S952" s="26">
        <f>HYPERLINK("http://www.cnpol.ru/covers/18235.jpg","фото на сайте")</f>
        <v/>
      </c>
    </row>
    <row r="953" ht="50.1" customHeight="1" s="3">
      <c r="A953" s="23" t="n"/>
      <c r="B953" s="24" t="inlineStr">
        <is>
          <t>18588</t>
        </is>
      </c>
      <c r="C953" s="23" t="inlineStr">
        <is>
          <t>КЦ</t>
        </is>
      </c>
      <c r="D953" s="23" t="inlineStr">
        <is>
          <t>Константинов Ю.Ю</t>
        </is>
      </c>
      <c r="E953" s="23" t="inlineStr">
        <is>
          <t>Лечебная хурма. От гипертонии, онкологии, анемии, простуды, снижения иммунитета…</t>
        </is>
      </c>
      <c r="F953" s="23" t="inlineStr">
        <is>
          <t>        </t>
        </is>
      </c>
      <c r="G953" s="23" t="n">
        <v>150</v>
      </c>
      <c r="H953" s="23" t="n">
        <v>10</v>
      </c>
      <c r="I953" s="23" t="n">
        <v>40</v>
      </c>
      <c r="J953" s="23" t="inlineStr">
        <is>
          <t>978-5-227-08477-4</t>
        </is>
      </c>
      <c r="K953" s="23" t="inlineStr">
        <is>
          <t>70x90 1/32</t>
        </is>
      </c>
      <c r="L953" s="23" t="inlineStr">
        <is>
          <t>мяг</t>
        </is>
      </c>
      <c r="M953" s="23" t="n">
        <v>160</v>
      </c>
      <c r="N953" s="23" t="n">
        <v>2019</v>
      </c>
      <c r="O953" s="23" t="n">
        <v>70</v>
      </c>
      <c r="P953" s="23" t="n"/>
      <c r="Q953" s="23" t="n"/>
      <c r="R953" s="25" t="inlineStr">
        <is>
          <t>Финиковая слива, сердечное яблоко, пища богов, китайский персик, — все это названия удивительной солнечной ягоды, знакомой нам под именем хурма. Ее сочные золотые плоды не только очень вкусны, но еще и полезны. Они настоящий кладезь полезных веществ! Содержащийся в хурме пектин помогает при расстройстве пищеварения. Витамины и калий укрепляют сосуды и сердце, йод поможет при нарушениях работы щитовидной железы. Магний послужит профилактикой почечнокаменной болезни. Ретинол помогает защитить организм от онкологических заболеваний, бета-каротин полезен для зрения. А еще хурма укрепляет иммунитет и помогает при простуде. Антиоксиданты замедляют процесс старения и омолаживают кожу. Железо, которого много в хурме, полезно при анемии. Хурма помогает выводить из организма вредные вещества и снимает отечность. Хурма помогает успокоить нервы и сделать нервную систему более устойчивой к стрессам, а также повышает работоспособность… Вот такое чудо-лекарство можно приобрести в продуктовом магазине!</t>
        </is>
      </c>
      <c r="S953" s="26">
        <f>HYPERLINK("http://www.cnpol.ru/covers/18588.jpg","фото на сайте")</f>
        <v/>
      </c>
    </row>
    <row r="954" ht="50.1" customHeight="1" s="3">
      <c r="A954" s="23" t="n"/>
      <c r="B954" s="24" t="inlineStr">
        <is>
          <t>17634</t>
        </is>
      </c>
      <c r="C954" s="23" t="inlineStr">
        <is>
          <t>КЦ</t>
        </is>
      </c>
      <c r="D954" s="23" t="inlineStr">
        <is>
          <t>Константинов Ю.Ю</t>
        </is>
      </c>
      <c r="E954" s="23" t="inlineStr">
        <is>
          <t>Лечебные корнеплоды. Редька, свекла, репа, морковь, редис</t>
        </is>
      </c>
      <c r="F954" s="23" t="inlineStr">
        <is>
          <t>        </t>
        </is>
      </c>
      <c r="G954" s="23" t="n">
        <v>150</v>
      </c>
      <c r="H954" s="23" t="n">
        <v>10</v>
      </c>
      <c r="I954" s="23" t="n">
        <v>20</v>
      </c>
      <c r="J954" s="23" t="inlineStr">
        <is>
          <t>978-5-227-06868-2</t>
        </is>
      </c>
      <c r="K954" s="23" t="inlineStr">
        <is>
          <t>70x90 1/32</t>
        </is>
      </c>
      <c r="L954" s="23" t="inlineStr">
        <is>
          <t>мяг</t>
        </is>
      </c>
      <c r="M954" s="23" t="n">
        <v>160</v>
      </c>
      <c r="N954" s="23" t="n">
        <v>2017</v>
      </c>
      <c r="O954" s="23" t="n">
        <v>68</v>
      </c>
      <c r="P954" s="23" t="n"/>
      <c r="Q954" s="23" t="n"/>
      <c r="R954" s="25" t="inlineStr">
        <is>
          <t>Свекла очищает организм, лечит насморк; улучшает работу почек и печени; выводит мочевую кислоту, камни из почек и желчного пузыря; является профилактическим средством против образования тромбов, понижает давление; помогает при мастопатии, менопаузе, положительно влияет на работу сердца, борется с нарушениями сна… Морковь нормализует артериальное давление, является антиоксидантом, помогает при гастрите, геморрое, запорах. Поднимает иммунитет, нормализует сахар крови, снимает отеки, заживляет раны, способствует улучшению зрения… Редька обладает противомикробными свойствами. Сок редьки применяют для правильного  функционирования кишечника, для укрепления волос. Редька благотворно влияет на пищеварительную систему. Предупреждает атеросклероз, снимает отеки. Тертую редьку используют для лечения радикулита… Репа помогает при зубной боли, аритмии, бронхите, подагре, дизентерии, радикулите, миозите, невралгии, поможет похудеть… Редис поможет при астме, анемии, диабете, холецистите, укусах насекомых, простуде, улучшит обмен веществ… Как вырастить, как принимать, как приготовить и даже как похудеть при помощи этих корнеплодов, расскажет наша книга.</t>
        </is>
      </c>
      <c r="S954" s="26">
        <f>HYPERLINK("http://www.cnpol.ru/covers/17634.jpg","фото на сайте")</f>
        <v/>
      </c>
    </row>
    <row r="955" ht="50.1" customHeight="1" s="3">
      <c r="A955" s="23" t="n"/>
      <c r="B955" s="24" t="inlineStr">
        <is>
          <t>19555</t>
        </is>
      </c>
      <c r="C955" s="23" t="inlineStr">
        <is>
          <t>КЦ</t>
        </is>
      </c>
      <c r="D955" s="23" t="inlineStr">
        <is>
          <t>Константинов Ю.Ю</t>
        </is>
      </c>
      <c r="E955" s="23" t="inlineStr">
        <is>
          <t>Лечебные свойства активированного угля. Борьба с онкологией, очищение от токсинов, снижение холестерина…</t>
        </is>
      </c>
      <c r="F955" s="23" t="inlineStr">
        <is>
          <t>        </t>
        </is>
      </c>
      <c r="G955" s="23" t="n">
        <v>150</v>
      </c>
      <c r="H955" s="23" t="n">
        <v>10</v>
      </c>
      <c r="I955" s="23" t="n">
        <v>30</v>
      </c>
      <c r="J955" s="23" t="inlineStr">
        <is>
          <t>978-5-227-08857-4</t>
        </is>
      </c>
      <c r="K955" s="23" t="inlineStr">
        <is>
          <t>70x90 1/32</t>
        </is>
      </c>
      <c r="L955" s="23" t="inlineStr">
        <is>
          <t>мяг</t>
        </is>
      </c>
      <c r="M955" s="23" t="n">
        <v>160</v>
      </c>
      <c r="N955" s="23" t="n">
        <v>2021</v>
      </c>
      <c r="O955" s="23" t="n">
        <v>68</v>
      </c>
      <c r="P955" s="23" t="n"/>
      <c r="Q955" s="23" t="n"/>
      <c r="R955" s="25" t="inlineStr">
        <is>
          <t>Верите, что есть на свете природный продукт с удивительными целебными свойствами, который очищает кровь и тело от токсинов и придает энергию мышцам и мозгу, препятствует старению, борется с ростом раковых клеток, поддерживает память и еще многое другое? При этом он продается в каждой аптеке за смешные деньги без ограничений и рецептов! Заинтригованы? А это известный еще с древних времен активированный уголь! Он по праву считается очень сильным адсорбентом. Очищение крови активированным углем проводят даже при бронхиальной астме. Уголь применяют при лечении вирусных гепатитов, дизентерии, сальмонеллезе, лептоспирозе, геморрагической лихорадке, орнитозе, сепсисе, ротавирусных гастроэнтеритах, отравлении стафилококковым энтеротоксином, алкоголем, тяжелыми металлами, лекарственными препаратами… Лечение углем может быть использовано даже на поздней стадии подагры, а вот на ее ранней стадии его эффективность максимальна. Он может даже полностью справиться с болезнью. Уникальные черные таблетки нужны тем, кто ищет эффективные способы чистки лица и параллельно — натуральные средства для ухода за кожей. А также при помощи угля можно похудеть! Хотите знать как? Читайте нашу книгу.</t>
        </is>
      </c>
      <c r="S955" s="26">
        <f>HYPERLINK("http://www.cnpol.ru/covers/19555.jpg","фото на сайте")</f>
        <v/>
      </c>
    </row>
    <row r="956" ht="50.1" customHeight="1" s="3">
      <c r="A956" s="23" t="n"/>
      <c r="B956" s="24" t="inlineStr">
        <is>
          <t>18568</t>
        </is>
      </c>
      <c r="C956" s="23" t="inlineStr">
        <is>
          <t>КЦ</t>
        </is>
      </c>
      <c r="D956" s="23" t="inlineStr">
        <is>
          <t>Константинов Ю.Ю</t>
        </is>
      </c>
      <c r="E956" s="23" t="inlineStr">
        <is>
          <t>Лечебный гранат. От колита, язвы желудка, атеросклероза, гипертонии, заболеваний печени и почек…</t>
        </is>
      </c>
      <c r="F956" s="23" t="inlineStr">
        <is>
          <t>        </t>
        </is>
      </c>
      <c r="G956" s="23" t="n">
        <v>150</v>
      </c>
      <c r="H956" s="23" t="n">
        <v>10</v>
      </c>
      <c r="I956" s="23" t="n">
        <v>40</v>
      </c>
      <c r="J956" s="23" t="inlineStr">
        <is>
          <t>978-5-227-08468-2</t>
        </is>
      </c>
      <c r="K956" s="23" t="inlineStr">
        <is>
          <t>70x90 1/32</t>
        </is>
      </c>
      <c r="L956" s="23" t="inlineStr">
        <is>
          <t>мяг</t>
        </is>
      </c>
      <c r="M956" s="23" t="n">
        <v>160</v>
      </c>
      <c r="N956" s="23" t="n">
        <v>2019</v>
      </c>
      <c r="O956" s="23" t="n">
        <v>70</v>
      </c>
      <c r="P956" s="23" t="n"/>
      <c r="Q956" s="23" t="n"/>
      <c r="R956" s="25" t="inlineStr">
        <is>
          <t>Гранат — красивый, полезный плод, который по праву называется королем фруктов, а его сочные, прозрачные, светящиеся изнутри зерна — копия одноименных с ним драгоценных камней… Но, оказывается, при такой­то красоте этот плод является еще и кладезем витаминов, микро­ и макроэлементов и обладает ярко выраженными лечебными свойствами! Кожура граната является прекрасным сырьем для приготовления целительных отваров, настоек и порошков. Лекарственные препараты, изготовленные из нее, угнетают развитие туберкулёзной, паратифозной, брюшнотифозной, кишечной палочек, в том числе холерных вибрионов и других болезнетворных бактерий. Косточки граната обладают противовоспалительным эффектом, очищают организм от токсинов и шлаков, устраняют симптомы диареи, избавляют от головных болей, способствуют регулированию обменных процессов в организме, стабилизируют работу желез внутренней секреции, снижают болевой синдром во время менструации, благотворно влияют на половую функцию мужчин. Пользу приносят также цветы, кора, масло из косточек и листья этого удивительного дерева. Как правильно вырастить, выбрать, хранить и применять гранат при различных недугах и просто для сохранения здоровья, расскажет эта книга.</t>
        </is>
      </c>
      <c r="S956" s="26">
        <f>HYPERLINK("http://www.cnpol.ru/covers/18568.jpg","фото на сайте")</f>
        <v/>
      </c>
    </row>
    <row r="957" ht="50.1" customHeight="1" s="3">
      <c r="A957" s="23" t="n"/>
      <c r="B957" s="24" t="inlineStr">
        <is>
          <t>17866</t>
        </is>
      </c>
      <c r="C957" s="23" t="inlineStr">
        <is>
          <t>КЦ</t>
        </is>
      </c>
      <c r="D957" s="23" t="inlineStr">
        <is>
          <t>Константинов Ю.Ю</t>
        </is>
      </c>
      <c r="E957" s="23" t="inlineStr">
        <is>
          <t>Лечение клюквой от астмы, гипертонии, диабета, атеросклероза, подагры, артрита</t>
        </is>
      </c>
      <c r="F957" s="23" t="inlineStr">
        <is>
          <t>        </t>
        </is>
      </c>
      <c r="G957" s="23" t="n">
        <v>150</v>
      </c>
      <c r="H957" s="23" t="n">
        <v>10</v>
      </c>
      <c r="I957" s="23" t="n">
        <v>24</v>
      </c>
      <c r="J957" s="23" t="inlineStr">
        <is>
          <t>978-5-227-07670-0</t>
        </is>
      </c>
      <c r="K957" s="23" t="inlineStr">
        <is>
          <t>70x90 1/32</t>
        </is>
      </c>
      <c r="L957" s="23" t="inlineStr">
        <is>
          <t>мяг</t>
        </is>
      </c>
      <c r="M957" s="23" t="n">
        <v>160</v>
      </c>
      <c r="N957" s="23" t="n">
        <v>2017</v>
      </c>
      <c r="O957" s="23" t="n">
        <v>68</v>
      </c>
      <c r="P957" s="23" t="n"/>
      <c r="Q957" s="23" t="n"/>
      <c r="R957" s="25" t="inlineStr">
        <is>
          <t>Уникальное творение природы клюква относится к природным антибиотикам. Эта ягода обладает огромным спектром лечебных свойств. Она улучшает аппетит и пищеварение. Работает как профилактика раковых заболеваний. При регулярном употреблении снижается уровень «плохого» холестерина в крови. Разжижает кровь, снижает артериальное давление. Напитки из клюквы хорошо утоляют жажду, обладают жаропонижающим действием и снижают интоксикацию. Свежие ягоды полезны для укрепления десен. Содержит антиоксиданты. Клюкву с медом принимают при ангине. Клюква полезна при упадке сил, авитаминозе, заболеваниях и инфекциях мочеполовой системы, так как она обладает мочегонным, противомикробным действием. Нормализует обменные процессы в организме и обладает противовоспалительным свойством. Помогает при приступах кашля, при бронхитах. Клюквенный морс улучшает работу мозга, снижает усталость, улучшает работоспособность… Впечатляет, правда? А цена вопроса невелика, можно самостоятельно собрать и заготовить это уникальное природное лекарство. Автор подскажет вам, как правильно собрать и сохранить сырье, приготовить целительные отвары, настои и мази, научит все это грамотно применять. Читайте нашу книгу и будьте здоровы!</t>
        </is>
      </c>
      <c r="S957" s="26">
        <f>HYPERLINK("http://www.cnpol.ru/covers/17866.jpg","фото на сайте")</f>
        <v/>
      </c>
    </row>
    <row r="958" ht="50.1" customHeight="1" s="3">
      <c r="A958" s="23" t="n"/>
      <c r="B958" s="24" t="inlineStr">
        <is>
          <t>18136</t>
        </is>
      </c>
      <c r="C958" s="23" t="inlineStr">
        <is>
          <t>КЦ</t>
        </is>
      </c>
      <c r="D958" s="23" t="inlineStr">
        <is>
          <t>Константинов Ю.Ю</t>
        </is>
      </c>
      <c r="E958" s="23" t="inlineStr">
        <is>
          <t>Лечение луком. От атеросклероза, гипертонии, диабета, отита, простуды</t>
        </is>
      </c>
      <c r="F958" s="23" t="inlineStr">
        <is>
          <t>        </t>
        </is>
      </c>
      <c r="G958" s="23" t="n">
        <v>150</v>
      </c>
      <c r="H958" s="23" t="n">
        <v>10</v>
      </c>
      <c r="I958" s="23" t="n">
        <v>20</v>
      </c>
      <c r="J958" s="23" t="inlineStr">
        <is>
          <t>978-5-227-08162-9</t>
        </is>
      </c>
      <c r="K958" s="23" t="inlineStr">
        <is>
          <t>70x90 1/32</t>
        </is>
      </c>
      <c r="L958" s="23" t="inlineStr">
        <is>
          <t>мяг</t>
        </is>
      </c>
      <c r="M958" s="23" t="n">
        <v>160</v>
      </c>
      <c r="N958" s="23" t="n">
        <v>2018</v>
      </c>
      <c r="O958" s="23" t="n">
        <v>68</v>
      </c>
      <c r="P958" s="23" t="n"/>
      <c r="Q958" s="23" t="n"/>
      <c r="R958" s="25" t="inlineStr">
        <is>
          <t>Знаете старинную русскую пословицу: «Лук от семи недуг»? А древнюю восточную мудрость: «Лук, в твоих объятьях проходит всякая болезнь»? Лук — распространенное огородное лекарство, и его лечебные свойства используются уже много веков! Лечение луком представляет собой использование настоек, отваров, а также прием в пищу в вареном, свежем, пареном виде. Лук оказывает антибактериальное, тонизирующее, противоопухолевое, ранозаживляющее, противосклеротическое, общеукрепляющее, мочегонное и тонизирующее действие. Лечит заболевания половой сферы, улучшает зрение, широко используется в кулинарии. Употребление лука стимулирует выработку инсулина и улучшает работу секреции пищеварительных желез. Эфирные масла, содержащиеся в луке, способны повышать аппетит и усвояемость пищи, а луковая диета поможет похудеть! _x000D_
Впечатляющий список?! А главное, этот продукт есть в любом магазине и доступен круглый год. Белый, красный, зеленый… каждый принесет вам пользу!</t>
        </is>
      </c>
      <c r="S958" s="26">
        <f>HYPERLINK("http://www.cnpol.ru/covers/18136.jpg","фото на сайте")</f>
        <v/>
      </c>
    </row>
    <row r="959" ht="50.1" customHeight="1" s="3">
      <c r="A959" s="23" t="n"/>
      <c r="B959" s="24" t="inlineStr">
        <is>
          <t>18677</t>
        </is>
      </c>
      <c r="C959" s="23" t="inlineStr">
        <is>
          <t>КЦ</t>
        </is>
      </c>
      <c r="D959" s="23" t="inlineStr">
        <is>
          <t>Константинов Ю.Ю</t>
        </is>
      </c>
      <c r="E959" s="23" t="inlineStr">
        <is>
          <t>Лечение минеральной водой. От диабета, панкреатита, гепатита, колита, язвенной болезни, ожирения…</t>
        </is>
      </c>
      <c r="F959" s="23" t="inlineStr">
        <is>
          <t>        </t>
        </is>
      </c>
      <c r="G959" s="23" t="n">
        <v>150</v>
      </c>
      <c r="H959" s="23" t="n">
        <v>10</v>
      </c>
      <c r="I959" s="23" t="n">
        <v>40</v>
      </c>
      <c r="J959" s="23" t="inlineStr">
        <is>
          <t>978-5-227-08467-5</t>
        </is>
      </c>
      <c r="K959" s="23" t="inlineStr">
        <is>
          <t>70x90 1/32</t>
        </is>
      </c>
      <c r="L959" s="23" t="inlineStr">
        <is>
          <t>мяг</t>
        </is>
      </c>
      <c r="M959" s="23" t="n">
        <v>160</v>
      </c>
      <c r="N959" s="23" t="n">
        <v>2019</v>
      </c>
      <c r="O959" s="23" t="n">
        <v>70</v>
      </c>
      <c r="P959" s="23" t="n"/>
      <c r="Q959" s="23" t="n"/>
      <c r="R959" s="25" t="inlineStr">
        <is>
          <t>Полезные свойства минеральной воды трудно переоценить. Она укрепляет иммунитет, улучшает обмен веществ, избавляет от запоров, способствует похудению, выводит токсины из организма, регулирует кислотно-щелочной баланс, нормализует работу пищеварительной системы, лечит гастрит с нормальной и повышенной кислотностью, помогает справиться с язвой желудка и двенадцатиперстной кишки, лечит кашель, справляется с бронхитом, повышает уровень гемоглобина в крови, выводит вредный холестерин, укрепляет зубы и кости, улучшает работу щитовидной железы, лечит болезни печени и желчного пузыря, способствует оттоку желчи, тонизирует, восстанавливает жизненные силы, укрепляет нервную систему, улучшает умственную работу, оказывает омолаживающий эффект, замедляет процесс старения, улучшает состояние ногтей, волос и кожи… Минеральная вода — уникальное творение природы! Как правильно ее выбрать, хранить и употреблять при различных недугах и просто для сохранения здоровья, расскажет эта книга.</t>
        </is>
      </c>
      <c r="S959" s="26">
        <f>HYPERLINK("http://www.cnpol.ru/covers/18677.jpg","фото на сайте")</f>
        <v/>
      </c>
    </row>
    <row r="960" ht="50.1" customHeight="1" s="3">
      <c r="A960" s="23" t="n"/>
      <c r="B960" s="24" t="inlineStr">
        <is>
          <t>19022</t>
        </is>
      </c>
      <c r="C960" s="23" t="inlineStr">
        <is>
          <t>КЦ</t>
        </is>
      </c>
      <c r="D960" s="23" t="inlineStr">
        <is>
          <t>Константинов Ю.Ю</t>
        </is>
      </c>
      <c r="E960" s="23" t="inlineStr">
        <is>
          <t>Лечение простуды народными средствами</t>
        </is>
      </c>
      <c r="F960" s="23" t="inlineStr">
        <is>
          <t>        </t>
        </is>
      </c>
      <c r="G960" s="23" t="n">
        <v>150</v>
      </c>
      <c r="H960" s="23" t="n">
        <v>10</v>
      </c>
      <c r="I960" s="23" t="n">
        <v>40</v>
      </c>
      <c r="J960" s="23" t="inlineStr">
        <is>
          <t>978-5-227-08866-6</t>
        </is>
      </c>
      <c r="K960" s="23" t="inlineStr">
        <is>
          <t>70x90 1/32</t>
        </is>
      </c>
      <c r="L960" s="23" t="inlineStr">
        <is>
          <t>мяг</t>
        </is>
      </c>
      <c r="M960" s="23" t="n">
        <v>160</v>
      </c>
      <c r="N960" s="23" t="n">
        <v>2020</v>
      </c>
      <c r="O960" s="23" t="n">
        <v>68</v>
      </c>
      <c r="P960" s="23" t="n"/>
      <c r="Q960" s="23" t="n"/>
      <c r="R960" s="25" t="inlineStr">
        <is>
          <t>Есть забавное выражение, что простуда проходит через неделю, если лечиться, и через семь дней, если этого не делать. Значит ли это, что лечиться от простуды не нужно? Конечно же нет! Лечиться обязательно, чтобы легкое недомогание не дало осложнения и не стало хроническим. Главное — делать это правильно, ведь самые, казалось бы, банальные капли в нос, если применять их некорректно, могут навредить, а препараты от температуры не так уж безобидны. Как грамотно справиться с простудой, если вас угораздило заболеть, расскажет наша книга, читайте — и будьте здоровы!</t>
        </is>
      </c>
      <c r="S960" s="26">
        <f>HYPERLINK("http://www.cnpol.ru/covers/19022.jpg","фото на сайте")</f>
        <v/>
      </c>
    </row>
    <row r="961" ht="50.1" customHeight="1" s="3">
      <c r="A961" s="23" t="n"/>
      <c r="B961" s="24" t="inlineStr">
        <is>
          <t>18054</t>
        </is>
      </c>
      <c r="C961" s="23" t="inlineStr">
        <is>
          <t>КЦ</t>
        </is>
      </c>
      <c r="D961" s="23" t="inlineStr">
        <is>
          <t>Константинов Ю.Ю</t>
        </is>
      </c>
      <c r="E961" s="23" t="inlineStr">
        <is>
          <t>Лечение сельдереем. Душистый лекарь против ожирения, стресса, отложения солей, анемии, гипертонии...</t>
        </is>
      </c>
      <c r="F961" s="23" t="inlineStr">
        <is>
          <t>        </t>
        </is>
      </c>
      <c r="G961" s="23" t="n">
        <v>150</v>
      </c>
      <c r="H961" s="23" t="n">
        <v>10</v>
      </c>
      <c r="I961" s="23" t="n">
        <v>24</v>
      </c>
      <c r="J961" s="23" t="inlineStr">
        <is>
          <t>978-5-227-08172-8</t>
        </is>
      </c>
      <c r="K961" s="23" t="inlineStr">
        <is>
          <t>70x90 1/32</t>
        </is>
      </c>
      <c r="L961" s="23" t="inlineStr">
        <is>
          <t>мяг</t>
        </is>
      </c>
      <c r="M961" s="23" t="n">
        <v>160</v>
      </c>
      <c r="N961" s="23" t="n">
        <v>2018</v>
      </c>
      <c r="O961" s="23" t="n">
        <v>68</v>
      </c>
      <c r="P961" s="23" t="n"/>
      <c r="Q961" s="23" t="n"/>
      <c r="R961" s="25" t="inlineStr">
        <is>
          <t>Сельдерей является настоящим кладезем здоровья. Листья, стебли и корнеплоды сельдерея содержат огромное количество необходимых для жизни веществ. В нем присутствуют аминокислоты, каротин, микроэлементы, никотиновая кислота, эфирные масла. Содержатся витамины К, Е, аскорбиновая кислота, провитамин А, витамины группы В. Присутствуют холин, протеин. Растение изобилует флавоноидами и успешно используется в борьбе с раковыми заболеваниями. Снижает проницаемость сосудов, делая их эластичными; нормализует кровяное давление, уравновешивает сердечный ритм, ускоряет обменные процессы; расщепляет жиры; выводит токсины; стимулирует обновление клеток; укрепляет иммунитет. Имеет бактерицидное, иммуномодулирующее, ранозаживляющее, обезболивающее свойства. Небольшое содержание углеводов подходит для диетического питания больным диабетом. Применяется при воспалительных заболеваниях суставов. Содержащиеся активные соединения помогают расслабиться и уменьшить уровень гормонов стресса. Сельдерей — отличный афродизиак, помогает восстановить либидо, хорошо помогает при заболеваниях половых органов, простатите...</t>
        </is>
      </c>
      <c r="S961" s="26">
        <f>HYPERLINK("http://www.cnpol.ru/covers/18054.jpg","фото на сайте")</f>
        <v/>
      </c>
    </row>
    <row r="962" ht="50.1" customHeight="1" s="3">
      <c r="A962" s="23" t="n"/>
      <c r="B962" s="24" t="inlineStr">
        <is>
          <t>17848</t>
        </is>
      </c>
      <c r="C962" s="23" t="inlineStr">
        <is>
          <t>КЦ</t>
        </is>
      </c>
      <c r="D962" s="23" t="inlineStr">
        <is>
          <t>Константинов Ю.Ю</t>
        </is>
      </c>
      <c r="E962" s="23" t="inlineStr">
        <is>
          <t>Лечение серебром. Драгоценное лекарство от ста недугов</t>
        </is>
      </c>
      <c r="F962" s="23" t="inlineStr">
        <is>
          <t>        </t>
        </is>
      </c>
      <c r="G962" s="23" t="n">
        <v>150</v>
      </c>
      <c r="H962" s="23" t="n">
        <v>10</v>
      </c>
      <c r="I962" s="23" t="n">
        <v>28</v>
      </c>
      <c r="J962" s="23" t="inlineStr">
        <is>
          <t>978-5-227-07945-9</t>
        </is>
      </c>
      <c r="K962" s="23" t="inlineStr">
        <is>
          <t>70x90 1/32</t>
        </is>
      </c>
      <c r="L962" s="23" t="inlineStr">
        <is>
          <t>мяг</t>
        </is>
      </c>
      <c r="M962" s="23" t="n">
        <v>160</v>
      </c>
      <c r="N962" s="23" t="n">
        <v>2017</v>
      </c>
      <c r="O962" s="23" t="n">
        <v>68</v>
      </c>
      <c r="P962" s="23" t="n"/>
      <c r="Q962" s="23" t="n"/>
      <c r="R962" s="25" t="inlineStr">
        <is>
          <t>Известно, что еще за 2600 лет до Рождества Христова вои­ны Древнего Египта использовали серебро для лечения боевых ран и они быстро заживали. Ожерелье из серебряных монет помогает от стойкой гипертонии. Серебряное кольцо, надетое на ночь на мизинец, нормализует сердечную деятельность... В русской православной церкви святую воду для прихожан всегда выдерживали в серебряных сосудах… К сожалению, антибиотики незаслуженно вытеснили этот природный антисептик. А ведь именно серебро помогает организму бороться с инфекцией без побочных эффектов. Коллоидное серебро оказывает мощную поддержку иммунной системе, способствует выведению из организма солей тяжелых металлов и токсинов. Абсцессы, аллергия, алкогольная зависимость, артрит — это болезни, при которых серебро может помочь, и только на первую букву алфавита! Читайте, лечитесь, и будьте здорорвы!</t>
        </is>
      </c>
      <c r="S962" s="26">
        <f>HYPERLINK("http://www.cnpol.ru/covers/17848.jpg","фото на сайте")</f>
        <v/>
      </c>
    </row>
    <row r="963" ht="50.1" customHeight="1" s="3">
      <c r="A963" s="23" t="n"/>
      <c r="B963" s="24" t="inlineStr">
        <is>
          <t>14220</t>
        </is>
      </c>
      <c r="C963" s="23" t="inlineStr">
        <is>
          <t>КЦ</t>
        </is>
      </c>
      <c r="D963" s="23" t="inlineStr">
        <is>
          <t>Константинов Ю.Ю</t>
        </is>
      </c>
      <c r="E963" s="23" t="inlineStr">
        <is>
          <t>Лечение солью. Народные рецепты</t>
        </is>
      </c>
      <c r="F963" s="23" t="inlineStr">
        <is>
          <t>        </t>
        </is>
      </c>
      <c r="G963" s="23" t="n">
        <v>150</v>
      </c>
      <c r="H963" s="23" t="n">
        <v>10</v>
      </c>
      <c r="I963" s="23" t="n">
        <v>48</v>
      </c>
      <c r="J963" s="23" t="inlineStr">
        <is>
          <t>978-5-227-04021-3</t>
        </is>
      </c>
      <c r="K963" s="23" t="inlineStr">
        <is>
          <t>70x90 1/32</t>
        </is>
      </c>
      <c r="L963" s="23" t="inlineStr">
        <is>
          <t>мяг</t>
        </is>
      </c>
      <c r="M963" s="23" t="n">
        <v>156</v>
      </c>
      <c r="N963" s="23" t="n">
        <v>2013</v>
      </c>
      <c r="O963" s="23" t="n">
        <v>68</v>
      </c>
      <c r="P963" s="23" t="n"/>
      <c r="Q963" s="23" t="n"/>
      <c r="R963" s="25" t="inlineStr">
        <is>
          <t>Мы расскажем вам о лечебных свойствах соли и не будем говорить о злоупотреблении ею, ведь, в конце концов, ЛЮБОЕ лекарство в больших количествах автоматически становится ядом и можно серьезно отравиться самыми полезными витаминами, если неумеренно их принимать._x000D_
Соль поможет при желудочно-кишечных проблемах, заболеваниях легких, зубов и десен, простудах, головной боли, невралгиях, болезнях опорно-двигательного аппарата, ушибах, варикозе, кожных проблемах. Она дешево стоит и незаменима в хозяйстве. Как применять это удивительное природное лекарство, вы узнаете из книги.</t>
        </is>
      </c>
      <c r="S963" s="26">
        <f>HYPERLINK("http://www.cnpol.ru/covers/14220.jpg","фото на сайте")</f>
        <v/>
      </c>
    </row>
    <row r="964" ht="50.1" customHeight="1" s="3">
      <c r="A964" s="23" t="n"/>
      <c r="B964" s="24" t="inlineStr">
        <is>
          <t>18137</t>
        </is>
      </c>
      <c r="C964" s="23" t="inlineStr">
        <is>
          <t>КЦ</t>
        </is>
      </c>
      <c r="D964" s="23" t="inlineStr">
        <is>
          <t>Константинов Ю.Ю</t>
        </is>
      </c>
      <c r="E964" s="23" t="inlineStr">
        <is>
          <t xml:space="preserve">Лечение хреном. От стенокардии, анемии, бронхита, синусита,  подагры, ревматизма… </t>
        </is>
      </c>
      <c r="F964" s="23" t="inlineStr">
        <is>
          <t>        </t>
        </is>
      </c>
      <c r="G964" s="23" t="n">
        <v>150</v>
      </c>
      <c r="H964" s="23" t="n">
        <v>10</v>
      </c>
      <c r="I964" s="23" t="n">
        <v>20</v>
      </c>
      <c r="J964" s="23" t="inlineStr">
        <is>
          <t>978-5-227-08163-6</t>
        </is>
      </c>
      <c r="K964" s="23" t="inlineStr">
        <is>
          <t>70x90 1/32</t>
        </is>
      </c>
      <c r="L964" s="23" t="inlineStr">
        <is>
          <t>мяг</t>
        </is>
      </c>
      <c r="M964" s="23" t="n">
        <v>160</v>
      </c>
      <c r="N964" s="23" t="n">
        <v>2018</v>
      </c>
      <c r="O964" s="23" t="n">
        <v>68</v>
      </c>
      <c r="P964" s="23" t="n"/>
      <c r="Q964" s="23" t="n"/>
      <c r="R964" s="25" t="inlineStr">
        <is>
          <t>«Ешь хрен едуч и будешь живуч», — говорит русская посло­вица, и она права! Хрен — это настоящая аптека растительного происхождения. Он улучшает работу желудочно­кишечного тракта, обладает противоцинготными, желчегонными и отхаркивающими свойствами, полезен при заболеваниях печени, мочевого пузыря, подагре, ревматизме и кожных болезнях. Также хрен стоит употреблять при терапии простудных и острых респираторных заболеваний и для профилактики метастазов при раке. Это растение улучшает аппетит, нормализует функцио­нирование кишечника и желудка, имеет мочегонный эффект, полезен при цистите и мочекаменной болезни. Предотвращает возникновение кариеса, нормализует уровень сахара при диабете, способствует профилактике стенокардии, предотвращает атеросклероз. Хрен рекомендуют вводить в диетический рацион при борьбе с лишним весом, полезен он при авитаминозе, гипер­тонии, нарушениях функционирования почек, поджелудочной железы. Впечатляет?! А цена вопроса невелика, можно недо­рого купить или самостоятельно вырастить и заготовить это уникальное природное лекарство. Автор подскажет вам, как правильно собрать и сохранить сырье, приготовить целительные отвары, настои и мази, научит все это грамотно применять. Читайте нашу книгу и будьте здоровы!</t>
        </is>
      </c>
      <c r="S964" s="26">
        <f>HYPERLINK("http://www.cnpol.ru/covers/18137.jpg","фото на сайте")</f>
        <v/>
      </c>
    </row>
    <row r="965" ht="50.1" customHeight="1" s="3">
      <c r="A965" s="23" t="n"/>
      <c r="B965" s="24" t="inlineStr">
        <is>
          <t>19118</t>
        </is>
      </c>
      <c r="C965" s="23" t="inlineStr">
        <is>
          <t>КЦ</t>
        </is>
      </c>
      <c r="D965" s="23" t="inlineStr">
        <is>
          <t>Константинов Ю.Ю</t>
        </is>
      </c>
      <c r="E965" s="23" t="inlineStr">
        <is>
          <t>Лечение цистита народными средствами</t>
        </is>
      </c>
      <c r="F965" s="23" t="inlineStr">
        <is>
          <t>        </t>
        </is>
      </c>
      <c r="G965" s="23" t="n">
        <v>150</v>
      </c>
      <c r="H965" s="23" t="n">
        <v>10</v>
      </c>
      <c r="I965" s="23" t="n">
        <v>24</v>
      </c>
      <c r="J965" s="23" t="inlineStr">
        <is>
          <t>978-5-227-08320-3</t>
        </is>
      </c>
      <c r="K965" s="23" t="inlineStr">
        <is>
          <t>70x90 1/32</t>
        </is>
      </c>
      <c r="L965" s="23" t="inlineStr">
        <is>
          <t>мяг</t>
        </is>
      </c>
      <c r="M965" s="23" t="n">
        <v>160</v>
      </c>
      <c r="N965" s="23" t="n">
        <v>2020</v>
      </c>
      <c r="O965" s="23" t="n">
        <v>68</v>
      </c>
      <c r="P965" s="23" t="n"/>
      <c r="Q965" s="23" t="n"/>
      <c r="R965" s="25" t="inlineStr">
        <is>
          <t>Цистит может быть самостоятельным заболеванием, осложнением какого­то другого недуга, а может сам провоцировать некоторые болезни и осложнения. Именно поэтому его обязательно надо лечить! Мы не призываем вас отказаться от помощи врача и заниматься самолечением, но! Существует множество одобренных медиками народных рецептов и препаратов фитотерапии, которые вкупе с медикаментами помогут справиться с заболеванием. Именно о них и пойдет речь в нашей книге. Вы узнаете, как расшифровать анализы, которые необходимо сдать для постановки правильного диагноза, получите проверенные столетиями народные рецепты, узнаете, какую диету надо соблюдать для профилактики и быстрого выздоровления, ведь при цистите очень важную роль играет питание. Диета в острой фазе достаточно строгая, и в соответствующей главе будут приведены не только общие положения, что можно есть, а что нельзя, но и рецепты полезных блюд при остром и хроническом цистите._x000D_
Читайте и будьте здоровы!</t>
        </is>
      </c>
      <c r="S965" s="26">
        <f>HYPERLINK("http://www.cnpol.ru/covers/19118.jpg","фото на сайте")</f>
        <v/>
      </c>
    </row>
    <row r="966" ht="50.1" customHeight="1" s="3">
      <c r="A966" s="23" t="n"/>
      <c r="B966" s="24" t="inlineStr">
        <is>
          <t>18942</t>
        </is>
      </c>
      <c r="C966" s="23" t="inlineStr">
        <is>
          <t>КЦ</t>
        </is>
      </c>
      <c r="D966" s="23" t="inlineStr">
        <is>
          <t>Константинов Ю.Ю</t>
        </is>
      </c>
      <c r="E966" s="23" t="inlineStr">
        <is>
          <t>Лечение цитрусовыми.  От авитаминоза, простуды, гипертонии, ожирения, атеросклероза, сердечно­сосудистых заболеваний</t>
        </is>
      </c>
      <c r="F966" s="23" t="inlineStr">
        <is>
          <t>        </t>
        </is>
      </c>
      <c r="G966" s="23" t="n">
        <v>150</v>
      </c>
      <c r="H966" s="23" t="n">
        <v>10</v>
      </c>
      <c r="I966" s="23" t="n">
        <v>40</v>
      </c>
      <c r="J966" s="23" t="inlineStr">
        <is>
          <t>978-5-227-08298-5</t>
        </is>
      </c>
      <c r="K966" s="23" t="inlineStr">
        <is>
          <t>70x90 1/32</t>
        </is>
      </c>
      <c r="L966" s="23" t="inlineStr">
        <is>
          <t>мяг</t>
        </is>
      </c>
      <c r="M966" s="23" t="n">
        <v>160</v>
      </c>
      <c r="N966" s="23" t="n">
        <v>2019</v>
      </c>
      <c r="O966" s="23" t="n">
        <v>68</v>
      </c>
      <c r="P966" s="23" t="n"/>
      <c r="Q966" s="23" t="n"/>
      <c r="R966" s="25" t="inlineStr">
        <is>
          <t>Апельсин, бергамот, грейпфрут, лайм, лимон, мандарины, помело… Эти яркие, душистые фрукты знакомы каждому с детства. Полезные свойства цитрусовых очень обширны. В них содержатся витамины, органические кислоты, клетчатка, фруктоза, они славятся скоплением йода, пектина, фолиевой кислоты, биофлавоноидов. В результате этого цитрусовые обладают противоопухолевыми и бактерицидными свойствами. Для женщин они не только полезны как ароматный способ похудеть, но и могут облегчить болезненные месячные. А всё благодаря витамину К, который содержится в их составе. Не забудем о большом количестве бета­каротина, антиоксидантов, фитонцидов, а это помогает работе сердца и сосудов, повышению иммунитета. Цитрусы — отличное лекарство, подаренное нам природой! Именно в цитрусах содержатся компоненты, способные оказать влияние на молодость и красоту. Употребление цитрусовых благотворно отразится на вашем состоянии и внешности. Кожа будет выглядеть моложе, мелкие морщинки разгладятся, и вы будете чувствовать себя бодро и легко. В кулинарии цитрусы используются полностью от сока и мякоти до цедры и кожуры, нашли широкое применение они и в косметологии… Как приготовить вкусные блюда, вылечить болезни, стать красивыми, вы прочтете в этой книге.</t>
        </is>
      </c>
      <c r="S966" s="26">
        <f>HYPERLINK("http://www.cnpol.ru/covers/18942.jpg","фото на сайте")</f>
        <v/>
      </c>
    </row>
    <row r="967" ht="50.1" customHeight="1" s="3">
      <c r="A967" s="23" t="n"/>
      <c r="B967" s="24" t="inlineStr">
        <is>
          <t>20343</t>
        </is>
      </c>
      <c r="C967" s="23" t="inlineStr">
        <is>
          <t>КЦ</t>
        </is>
      </c>
      <c r="D967" s="23" t="inlineStr">
        <is>
          <t>Константинов Ю.Ю</t>
        </is>
      </c>
      <c r="E967" s="23" t="inlineStr">
        <is>
          <t>Лечим болезни сосудов народными средствами</t>
        </is>
      </c>
      <c r="F967" s="23" t="inlineStr">
        <is>
          <t>        </t>
        </is>
      </c>
      <c r="G967" s="23" t="n">
        <v>150</v>
      </c>
      <c r="H967" s="23" t="n">
        <v>10</v>
      </c>
      <c r="I967" s="23" t="n">
        <v>20</v>
      </c>
      <c r="J967" s="23" t="inlineStr">
        <is>
          <t>978-5-227-09788-0</t>
        </is>
      </c>
      <c r="K967" s="23" t="inlineStr">
        <is>
          <t>70x90 1/32</t>
        </is>
      </c>
      <c r="L967" s="23" t="inlineStr">
        <is>
          <t>мяг</t>
        </is>
      </c>
      <c r="M967" s="23" t="n">
        <v>159</v>
      </c>
      <c r="N967" s="23" t="n">
        <v>2022</v>
      </c>
      <c r="O967" s="23" t="n">
        <v>68</v>
      </c>
      <c r="P967" s="23" t="n"/>
      <c r="Q967" s="23" t="n"/>
      <c r="R967" s="25" t="inlineStr">
        <is>
          <t>Сердечно-сосудистая система устроена так, что состояние сосудов незамедлительно отражается на здоровье всего организма. Артерии доставляют к органам и тканям насыщенную кислородом кровь, а вены отводят кровь обратно к сердцу. Если на каком-то участке этой отлаженной природой системы возникает сужение просвета или нарушается проходимость кровеносных сосудов за счёт поражения их стенок, это сразу приводит к негативным последствиям._x000D_
При поражении сосудов в питаемых ими областях существенно нарушается кровообращение, возникает застой, дефицит питательных веществ и кислорода, и вот уже звучат диагнозы: атеросклероз, флебит, варикоз, тромбоз, и как следствие гипертония, ишемическая болезнь сердца, инфаркты и инсульты… В этой книге автор рассказывает, как сохранить здоровье ваших сосудов и поправить его в том случае, если уже стоит неприятный диагноз. Народная медицина, гимнастика, правильная диета и методики по чистке сосудов помогут быть бодрым и всегда оставаться в строю.</t>
        </is>
      </c>
      <c r="S967" s="26">
        <f>HYPERLINK("http://www.cnpol.ru/covers/20343.jpg","фото на сайте")</f>
        <v/>
      </c>
    </row>
    <row r="968" ht="50.1" customHeight="1" s="3">
      <c r="A968" s="23" t="n"/>
      <c r="B968" s="24" t="inlineStr">
        <is>
          <t>14024</t>
        </is>
      </c>
      <c r="C968" s="23" t="inlineStr">
        <is>
          <t>КЦ</t>
        </is>
      </c>
      <c r="D968" s="23" t="inlineStr">
        <is>
          <t>Константинов Ю.Ю</t>
        </is>
      </c>
      <c r="E968" s="23" t="inlineStr">
        <is>
          <t>Лечим воспаления народными средствами</t>
        </is>
      </c>
      <c r="F968" s="23" t="inlineStr">
        <is>
          <t>        </t>
        </is>
      </c>
      <c r="G968" s="23" t="n">
        <v>150</v>
      </c>
      <c r="H968" s="23" t="n">
        <v>10</v>
      </c>
      <c r="I968" s="23" t="n">
        <v>40</v>
      </c>
      <c r="J968" s="23" t="inlineStr">
        <is>
          <t>978-5-227-04048-0</t>
        </is>
      </c>
      <c r="K968" s="23" t="inlineStr">
        <is>
          <t>70x90 1/32</t>
        </is>
      </c>
      <c r="L968" s="23" t="inlineStr">
        <is>
          <t>мяг</t>
        </is>
      </c>
      <c r="M968" s="23" t="n">
        <v>158</v>
      </c>
      <c r="N968" s="23" t="n">
        <v>2012</v>
      </c>
      <c r="O968" s="23" t="n">
        <v>72</v>
      </c>
      <c r="P968" s="23" t="n"/>
      <c r="Q968" s="23" t="n"/>
      <c r="R968" s="25" t="inlineStr">
        <is>
          <t>Предлагаем вниманию читателей книгу о нетрадиционных способах борьбы с различными видами воспалительных процессов с помощью природных антибиотиков. Это лекарственные травы, плоды земли, мумиё, прополис, перга, «золотая» и «серебряная» вода и другие средства нетрадиционной медицины. При соблюдении дозировок и правил применения сборов трав, настоев и отваров, при внимательном отношении к своему организму, при правильном сочетании всех методов лечения, без сомнения, природные антибиотики становятся незаменимыми помощниками в излечении многих заболеваний.</t>
        </is>
      </c>
      <c r="S968" s="26">
        <f>HYPERLINK("http://www.cnpol.ru/covers/14024.jpg","фото на сайте")</f>
        <v/>
      </c>
    </row>
    <row r="969" ht="50.1" customHeight="1" s="3">
      <c r="A969" s="23" t="n"/>
      <c r="B969" s="24" t="inlineStr">
        <is>
          <t>14803</t>
        </is>
      </c>
      <c r="C969" s="23" t="inlineStr">
        <is>
          <t>КЦ</t>
        </is>
      </c>
      <c r="D969" s="23" t="inlineStr">
        <is>
          <t>Константинов Ю.Ю</t>
        </is>
      </c>
      <c r="E969" s="23" t="inlineStr">
        <is>
          <t>Лечим воспаления народными средствами</t>
        </is>
      </c>
      <c r="F969" s="23" t="inlineStr">
        <is>
          <t>        </t>
        </is>
      </c>
      <c r="G969" s="23" t="n">
        <v>150</v>
      </c>
      <c r="H969" s="23" t="n">
        <v>10</v>
      </c>
      <c r="I969" s="23" t="n">
        <v>40</v>
      </c>
      <c r="J969" s="23" t="inlineStr">
        <is>
          <t>978-5-227-04048-0</t>
        </is>
      </c>
      <c r="K969" s="23" t="inlineStr">
        <is>
          <t>70x90 1/32</t>
        </is>
      </c>
      <c r="L969" s="23" t="inlineStr">
        <is>
          <t>мяг</t>
        </is>
      </c>
      <c r="M969" s="23" t="n">
        <v>158</v>
      </c>
      <c r="N969" s="23" t="n">
        <v>2014</v>
      </c>
      <c r="O969" s="23" t="n">
        <v>70</v>
      </c>
      <c r="P969" s="23" t="n"/>
      <c r="Q969" s="23" t="n"/>
      <c r="R969" s="25" t="inlineStr">
        <is>
          <t>Предлагаем вниманию читателей книгу о нетрадиционных способах борьбы с различными видами воспалительных процессов с помощью природных антибиотиков. Это лекарственные травы, плоды земли, мумиё, прополис, перга, «золотая» и «серебряная» вода и другие средства нетрадиционной медицины. При соблюдении дозировок и правил применения сборов трав, настоев и отваров, при внимательном отношении к своему организму, при правильном сочетании всех методов лечения, без сомнения, природные антибиотики становятся незаменимыми помощниками в излечении многих заболеваний.</t>
        </is>
      </c>
      <c r="S969" s="26">
        <f>HYPERLINK("http://www.cnpol.ru/covers/14803.jpg","фото на сайте")</f>
        <v/>
      </c>
    </row>
    <row r="970" ht="50.1" customHeight="1" s="3">
      <c r="A970" s="23" t="n"/>
      <c r="B970" s="24" t="inlineStr">
        <is>
          <t>15082</t>
        </is>
      </c>
      <c r="C970" s="23" t="inlineStr">
        <is>
          <t>КЦ</t>
        </is>
      </c>
      <c r="D970" s="23" t="inlineStr">
        <is>
          <t>Константинов Ю.Ю</t>
        </is>
      </c>
      <c r="E970" s="23" t="inlineStr">
        <is>
          <t>Лечим воспаления народными средствами</t>
        </is>
      </c>
      <c r="F970" s="23" t="inlineStr">
        <is>
          <t>        </t>
        </is>
      </c>
      <c r="G970" s="23" t="n">
        <v>150</v>
      </c>
      <c r="H970" s="23" t="n">
        <v>10</v>
      </c>
      <c r="I970" s="23" t="n">
        <v>40</v>
      </c>
      <c r="J970" s="23" t="inlineStr">
        <is>
          <t>978-5-227-05154-7</t>
        </is>
      </c>
      <c r="K970" s="23" t="inlineStr">
        <is>
          <t>70x90 1/32</t>
        </is>
      </c>
      <c r="L970" s="23" t="inlineStr">
        <is>
          <t>мяг</t>
        </is>
      </c>
      <c r="M970" s="23" t="n">
        <v>157</v>
      </c>
      <c r="N970" s="23" t="n">
        <v>2014</v>
      </c>
      <c r="O970" s="23" t="n">
        <v>68</v>
      </c>
      <c r="P970" s="23" t="n"/>
      <c r="Q970" s="23" t="n"/>
      <c r="R970" s="25" t="inlineStr">
        <is>
          <t>Предлагаем вниманию читателей книгу о нетрадиционных способах борьбы с различными видами воспалительных процессов с помощью природных антибиотиков. Это лекарственные травы, плоды земли, мумиё, прополис, перга, «золотая» и «серебряная» вода и другие средства нетрадиционной медицины. При соблюдении дозировок и правил применения сборов трав, настоев и отваров, при внимательном отношении к своему организму, при правильном сочетании всех методов лечения, без сомнения, природные антибиотики становятся незаменимыми помощниками в излечении многих заболеваний.</t>
        </is>
      </c>
      <c r="S970" s="26">
        <f>HYPERLINK("http://www.cnpol.ru/covers/15082.jpg","фото на сайте")</f>
        <v/>
      </c>
    </row>
    <row r="971" ht="50.1" customHeight="1" s="3">
      <c r="A971" s="23" t="n"/>
      <c r="B971" s="24" t="inlineStr">
        <is>
          <t>13462</t>
        </is>
      </c>
      <c r="C971" s="23" t="inlineStr">
        <is>
          <t>КЦ</t>
        </is>
      </c>
      <c r="D971" s="23" t="inlineStr">
        <is>
          <t>Константинов Ю.Ю</t>
        </is>
      </c>
      <c r="E971" s="23" t="inlineStr">
        <is>
          <t>Лечим геморрой народными методами</t>
        </is>
      </c>
      <c r="F971" s="23" t="inlineStr">
        <is>
          <t>        </t>
        </is>
      </c>
      <c r="G971" s="23" t="n">
        <v>150</v>
      </c>
      <c r="H971" s="23" t="n">
        <v>10</v>
      </c>
      <c r="I971" s="23" t="n">
        <v>44</v>
      </c>
      <c r="J971" s="23" t="inlineStr">
        <is>
          <t>978-5-227-03327-7</t>
        </is>
      </c>
      <c r="K971" s="23" t="inlineStr">
        <is>
          <t>70x90 1/32</t>
        </is>
      </c>
      <c r="L971" s="23" t="inlineStr">
        <is>
          <t>мяг</t>
        </is>
      </c>
      <c r="M971" s="23" t="n">
        <v>158</v>
      </c>
      <c r="N971" s="23" t="n">
        <v>2012</v>
      </c>
      <c r="O971" s="23" t="n">
        <v>76</v>
      </c>
      <c r="P971" s="23" t="n"/>
      <c r="Q971" s="23" t="n"/>
      <c r="R971" s="25" t="inlineStr">
        <is>
          <t>"Геморрой можно и нужно лечить. Как это сделать, расскажет наша книга. Из нее вы узнаете: каковы причины возникновения болезни, что нужно делать при обострении, как бороться с этой бедой народными средствами, что принимать внутрь, а что снаружи, какие процедуры облегчат страдания.
Автор научит, как уберечься от болезни или не усугубить ее, какие делать упражнения и как правильно питаться. Отдельное внимание уделено геморрою во время беременности и после родов. Ну и конечно же даны кулинарные рецепты и старинные рецепты русских знахарей, которые помогут справиться с проблемой в деликатной области нашего тела."</t>
        </is>
      </c>
      <c r="S971" s="26">
        <f>HYPERLINK("http://www.cnpol.ru/covers/13462.jpg","фото на сайте")</f>
        <v/>
      </c>
    </row>
    <row r="972" ht="50.1" customHeight="1" s="3">
      <c r="A972" s="23" t="n"/>
      <c r="B972" s="24" t="inlineStr">
        <is>
          <t>16455</t>
        </is>
      </c>
      <c r="C972" s="23" t="inlineStr">
        <is>
          <t>КЦ</t>
        </is>
      </c>
      <c r="D972" s="23" t="inlineStr">
        <is>
          <t>Константинов Ю.Ю</t>
        </is>
      </c>
      <c r="E972" s="23" t="inlineStr">
        <is>
          <t>Лечим народными методами заболевания ухо-горло-нос</t>
        </is>
      </c>
      <c r="F972" s="23" t="inlineStr">
        <is>
          <t>        </t>
        </is>
      </c>
      <c r="G972" s="23" t="n">
        <v>150</v>
      </c>
      <c r="H972" s="23" t="n">
        <v>10</v>
      </c>
      <c r="I972" s="23" t="n">
        <v>40</v>
      </c>
      <c r="J972" s="23" t="inlineStr">
        <is>
          <t>978-5-227-06337-3</t>
        </is>
      </c>
      <c r="K972" s="23" t="inlineStr">
        <is>
          <t>70x90 1/32</t>
        </is>
      </c>
      <c r="L972" s="23" t="inlineStr">
        <is>
          <t>мяг</t>
        </is>
      </c>
      <c r="M972" s="23" t="n">
        <v>160</v>
      </c>
      <c r="N972" s="23" t="n">
        <v>2016</v>
      </c>
      <c r="O972" s="23" t="n">
        <v>68</v>
      </c>
      <c r="P972" s="23" t="n"/>
      <c r="Q972" s="23" t="n"/>
      <c r="R972" s="25" t="inlineStr">
        <is>
          <t>Как ни печально, но нет человека, который бы не сталкивался с этими болезнями. И если кто­то смог избежать отита или гайморита, то уж насморк или ларингит знакомы всем. ЛОР­заболевания могут подстеречь нас в самый неожиданный момент, причем симптомы могут быть такие, что поначалу даже и не понятно, «куда бежать и что делать»… Мы не можем рассказывать обо всех ЛОР­болезнях, но про самые распространенные: отит, тонзиллит или ринит — знать надо обязательно. Особое внимание уделено заболеваниям уха­горла­носа у детей. По статистике, 50% обращений заболевших детей в поликлинику приходится на болезни уха­горла­носа. Автор расскажет, что предпринять при приступе ложного крупа, носовом кровотечении, попадании в нос или гортань инородного тела, ведь тут важно знать, что делать до приезда скорой помощи. Алгоритмы действия описаны в специальном разделе, потому что лучше четко знать заранее, что и в каком порядке следует предпринимать. Ну и конечно же при фарингитах, ларингитах и прочих воспалительных заболеваниях не лишним окажется лечение травами, те самые народные рецепты, которые использовались веками и доказали свою эффективность.</t>
        </is>
      </c>
      <c r="S972" s="26">
        <f>HYPERLINK("http://www.cnpol.ru/covers/16455.jpg","фото на сайте")</f>
        <v/>
      </c>
    </row>
    <row r="973" ht="50.1" customHeight="1" s="3">
      <c r="A973" s="23" t="n"/>
      <c r="B973" s="24" t="inlineStr">
        <is>
          <t>19961</t>
        </is>
      </c>
      <c r="C973" s="23" t="inlineStr">
        <is>
          <t>КЦ</t>
        </is>
      </c>
      <c r="D973" s="23" t="inlineStr">
        <is>
          <t>Константинов Ю.Ю</t>
        </is>
      </c>
      <c r="E973" s="23" t="inlineStr">
        <is>
          <t>Лечим нервы народными средствами</t>
        </is>
      </c>
      <c r="F973" s="23" t="inlineStr">
        <is>
          <t>        </t>
        </is>
      </c>
      <c r="G973" s="23" t="n">
        <v>150</v>
      </c>
      <c r="H973" s="23" t="n">
        <v>10</v>
      </c>
      <c r="I973" s="23" t="n">
        <v>24</v>
      </c>
      <c r="J973" s="23" t="inlineStr">
        <is>
          <t>978-5-227-09722-4</t>
        </is>
      </c>
      <c r="K973" s="23" t="inlineStr">
        <is>
          <t>70x90 1/32</t>
        </is>
      </c>
      <c r="L973" s="23" t="inlineStr">
        <is>
          <t>мяг</t>
        </is>
      </c>
      <c r="M973" s="23" t="n">
        <v>159</v>
      </c>
      <c r="N973" s="23" t="n">
        <v>2021</v>
      </c>
      <c r="O973" s="23" t="n">
        <v>70</v>
      </c>
      <c r="P973" s="23" t="n"/>
      <c r="Q973" s="23" t="n"/>
      <c r="R973" s="25" t="inlineStr">
        <is>
          <t>Как говорится в старом анекдоте: все болезни от нервов… И в каждой шутке есть истина! В наше время стресс и вечная гонка по кругу стали нашими постоянными спутниками. В итоге человек получает букет невротических симптомов, а последствием этого становится множество проблем. Это подавленное настроение, раздражительность, тревога, усталость, рассеянность, неуверенность в себе, нарушения сна, головные боли, что постепенно может привести к серьезным заболеваниям: гипертонии, язве, нарушениям в работе сердца… И что делать? Куда бежать? Как избавиться от этой напасти? Кто­то надеется на чудо­таблетку, однако всю жизнь быть зависимым от таблеток — «удовольствие» весьма сомнительное. Плюс любые таблетки, а транквилизаторы отнюдь не исключение, имеют длинный перечень побочных эффектов. Мы же предлагаем избавиться от проблем с нервами приятным и безопасным путем: с помощью народных средств и целебных трав. Вы узнаете, какие продукты полезны при нервном напряжении, какие растения помогут вам расслабиться и улучшить сон. Здесь вы найдете много советов, которые помогут поддержать ваши силы и восстановить здоровье.</t>
        </is>
      </c>
      <c r="S973" s="26">
        <f>HYPERLINK("http://www.cnpol.ru/covers/19961.jpg","фото на сайте")</f>
        <v/>
      </c>
    </row>
    <row r="974" ht="50.1" customHeight="1" s="3">
      <c r="A974" s="23" t="n"/>
      <c r="B974" s="24" t="inlineStr">
        <is>
          <t>16664</t>
        </is>
      </c>
      <c r="C974" s="23" t="inlineStr">
        <is>
          <t>КЦ</t>
        </is>
      </c>
      <c r="D974" s="23" t="inlineStr">
        <is>
          <t>Константинов Ю.Ю</t>
        </is>
      </c>
      <c r="E974" s="23" t="inlineStr">
        <is>
          <t>Лечим раны, порезы, травмы народными методами</t>
        </is>
      </c>
      <c r="F974" s="23" t="inlineStr">
        <is>
          <t>        </t>
        </is>
      </c>
      <c r="G974" s="23" t="n">
        <v>150</v>
      </c>
      <c r="H974" s="23" t="n">
        <v>10</v>
      </c>
      <c r="I974" s="23" t="n">
        <v>40</v>
      </c>
      <c r="J974" s="23" t="inlineStr">
        <is>
          <t>978-5-227-06425-7</t>
        </is>
      </c>
      <c r="K974" s="23" t="inlineStr">
        <is>
          <t>70x90 1/32</t>
        </is>
      </c>
      <c r="L974" s="23" t="inlineStr">
        <is>
          <t>мяг</t>
        </is>
      </c>
      <c r="M974" s="23" t="n">
        <v>159</v>
      </c>
      <c r="N974" s="23" t="n">
        <v>2016</v>
      </c>
      <c r="O974" s="23" t="n">
        <v>72</v>
      </c>
      <c r="P974" s="23" t="n"/>
      <c r="Q974" s="23" t="n"/>
      <c r="R974" s="25" t="inlineStr">
        <is>
          <t>Мы живем в эпоху техногенных аварий, природных катаклизмов, разгула преступности, терроризма и войн. Наш повседневный быт перенасыщен быстроходным транспортом, техникой, разного рода оружием. К сожалению, в жизни случаются ситуации, которые можно назвать травматическими… И вот тут, при травме, важно знать, что делать. Как оказывать первую помощь в каждом конкретном случае, когда надо срочно везти пострадавшего в больницу и как это делать, а когда можно обойтись перевязкой. Лечение травм зависит от конкретного повреждения, и не может быть никаких общих принципов лечения переломов, ожогов, обморожений и подобных повреждений. Синяки и ушибы кажутся несерьезными повреждениями, но приносят много неудобств. Поэтому в разделе народных рецептов будет приведено множество способов сделать так, чтобы они прошли побыстрее. Также с помощью опыта наших предков можно лечить ожоги и обморожения. Отдельная глава посвящена первой, экстренной помощи при неотложных состояниях, когда счет времени идет буквально на минуты. Вот тут общие принципы помощи существуют, и их необходимо знать заранее, ведь именно от этого часто зависит жизнь и здоровье тех, кто попал в беду.</t>
        </is>
      </c>
      <c r="S974" s="26">
        <f>HYPERLINK("http://www.cnpol.ru/covers/16664.jpg","фото на сайте")</f>
        <v/>
      </c>
    </row>
    <row r="975" ht="50.1" customHeight="1" s="3">
      <c r="A975" s="23" t="n"/>
      <c r="B975" s="24" t="inlineStr">
        <is>
          <t>17748</t>
        </is>
      </c>
      <c r="C975" s="23" t="inlineStr">
        <is>
          <t>КЦ</t>
        </is>
      </c>
      <c r="D975" s="23" t="inlineStr">
        <is>
          <t>Константинов Ю.Ю</t>
        </is>
      </c>
      <c r="E975" s="23" t="inlineStr">
        <is>
          <t>Лучшие народные средства для улучшения самочувствия при климаксе</t>
        </is>
      </c>
      <c r="F975" s="23" t="inlineStr">
        <is>
          <t>        </t>
        </is>
      </c>
      <c r="G975" s="23" t="n">
        <v>150</v>
      </c>
      <c r="H975" s="23" t="n">
        <v>10</v>
      </c>
      <c r="I975" s="23" t="n">
        <v>24</v>
      </c>
      <c r="J975" s="23" t="inlineStr">
        <is>
          <t>978-5-227-07678-6</t>
        </is>
      </c>
      <c r="K975" s="23" t="inlineStr">
        <is>
          <t>70x90 1/32</t>
        </is>
      </c>
      <c r="L975" s="23" t="inlineStr">
        <is>
          <t>мяг</t>
        </is>
      </c>
      <c r="M975" s="23" t="n">
        <v>160</v>
      </c>
      <c r="N975" s="23" t="n">
        <v>2017</v>
      </c>
      <c r="O975" s="23" t="n">
        <v>68</v>
      </c>
      <c r="P975" s="23" t="n"/>
      <c r="Q975" s="23" t="n"/>
      <c r="R975" s="25" t="inlineStr">
        <is>
          <t>Климакс -  не болезнь, а неотъемлемая фаза в жизни любой дамы. В этот период происходят изменения организма на гормональном уровне и это неизбежный естественный процесс во время которого идет  угасание функций женской репродуктивной системы._x000D_
Несмотря на то, что этому периоду придуманы  разные красивые  названия:  "хрустальный", "элегантный"  возраст - это очень серьезная  перестройка._x000D_
Климакс не приговор! Просто надо к нему грамотно подготовиться, и тогда все пройдет максимально легко и без последствий. Нет - раздражительности;    угнетению, ослаблению памяти; головным болям и нарушения сна; жару, одышке и сердцебиению! Да -  спокойствию, здоровью и умиротворению во время нового  этапа жизни!_x000D_
Каким будет климакс, зависит только то вас! Мучительное, изнуряющее приливами и перепадами настроения многолетнее испытание, или легкий и безболезненный переход в новое состояние. Чтобы все прошло гладко, читайте нашу книгу.</t>
        </is>
      </c>
      <c r="S975" s="26">
        <f>HYPERLINK("http://www.cnpol.ru/covers/17748.jpg","фото на сайте")</f>
        <v/>
      </c>
    </row>
    <row r="976" ht="50.1" customHeight="1" s="3">
      <c r="A976" s="23" t="n"/>
      <c r="B976" s="24" t="inlineStr">
        <is>
          <t>14361</t>
        </is>
      </c>
      <c r="C976" s="23" t="inlineStr">
        <is>
          <t>КЦ</t>
        </is>
      </c>
      <c r="D976" s="23" t="inlineStr">
        <is>
          <t>Константинов Ю.Ю</t>
        </is>
      </c>
      <c r="E976" s="23" t="inlineStr">
        <is>
          <t>Мать-и-мачеха</t>
        </is>
      </c>
      <c r="F976" s="23" t="inlineStr">
        <is>
          <t>        </t>
        </is>
      </c>
      <c r="G976" s="23" t="n">
        <v>150</v>
      </c>
      <c r="H976" s="23" t="n">
        <v>10</v>
      </c>
      <c r="I976" s="23" t="n">
        <v>60</v>
      </c>
      <c r="J976" s="23" t="inlineStr">
        <is>
          <t>978-5-227-04371-9</t>
        </is>
      </c>
      <c r="K976" s="23" t="inlineStr">
        <is>
          <t>70x90 1/32</t>
        </is>
      </c>
      <c r="L976" s="23" t="inlineStr">
        <is>
          <t>мяг</t>
        </is>
      </c>
      <c r="M976" s="23" t="n">
        <v>158</v>
      </c>
      <c r="N976" s="23" t="n">
        <v>2013</v>
      </c>
      <c r="O976" s="23" t="n">
        <v>68</v>
      </c>
      <c r="P976" s="23" t="n"/>
      <c r="Q976" s="23" t="n"/>
      <c r="R976" s="25" t="n"/>
      <c r="S976" s="26">
        <f>HYPERLINK("http://www.cnpol.ru/covers/14361.jpg","фото на сайте")</f>
        <v/>
      </c>
    </row>
    <row r="977" ht="50.1" customHeight="1" s="3">
      <c r="A977" s="23" t="n"/>
      <c r="B977" s="24" t="inlineStr">
        <is>
          <t>17095</t>
        </is>
      </c>
      <c r="C977" s="23" t="inlineStr">
        <is>
          <t>КЦ</t>
        </is>
      </c>
      <c r="D977" s="23" t="inlineStr">
        <is>
          <t>Константинов Ю.Ю</t>
        </is>
      </c>
      <c r="E977" s="23" t="inlineStr">
        <is>
          <t>Мед. Природный целитель</t>
        </is>
      </c>
      <c r="F977" s="23" t="inlineStr">
        <is>
          <t>        </t>
        </is>
      </c>
      <c r="G977" s="23" t="n">
        <v>150</v>
      </c>
      <c r="H977" s="23" t="n">
        <v>10</v>
      </c>
      <c r="I977" s="23" t="n">
        <v>24</v>
      </c>
      <c r="J977" s="23" t="inlineStr">
        <is>
          <t>978-5-227-06661-9</t>
        </is>
      </c>
      <c r="K977" s="23" t="inlineStr">
        <is>
          <t>70x90 1/32</t>
        </is>
      </c>
      <c r="L977" s="23" t="inlineStr">
        <is>
          <t>мяг</t>
        </is>
      </c>
      <c r="M977" s="23" t="n">
        <v>160</v>
      </c>
      <c r="N977" s="23" t="n">
        <v>2016</v>
      </c>
      <c r="O977" s="23" t="n">
        <v>66</v>
      </c>
      <c r="P977" s="23" t="n"/>
      <c r="Q977" s="23" t="n"/>
      <c r="R977" s="25" t="n"/>
      <c r="S977" s="26">
        <f>HYPERLINK("http://www.cnpol.ru/covers/17095.jpg","фото на сайте")</f>
        <v/>
      </c>
    </row>
    <row r="978" ht="50.1" customHeight="1" s="3">
      <c r="A978" s="23" t="n"/>
      <c r="B978" s="24" t="inlineStr">
        <is>
          <t>19490</t>
        </is>
      </c>
      <c r="C978" s="23" t="inlineStr">
        <is>
          <t>КЦ</t>
        </is>
      </c>
      <c r="D978" s="23" t="inlineStr">
        <is>
          <t>Константинов Ю.Ю</t>
        </is>
      </c>
      <c r="E978" s="23" t="inlineStr">
        <is>
          <t>Народные рецепты для здоровья малышей</t>
        </is>
      </c>
      <c r="F978" s="23" t="inlineStr">
        <is>
          <t>        </t>
        </is>
      </c>
      <c r="G978" s="23" t="n">
        <v>150</v>
      </c>
      <c r="H978" s="23" t="n">
        <v>10</v>
      </c>
      <c r="I978" s="23" t="n">
        <v>30</v>
      </c>
      <c r="J978" s="23" t="inlineStr">
        <is>
          <t>978-5-227-09328-8</t>
        </is>
      </c>
      <c r="K978" s="23" t="inlineStr">
        <is>
          <t>70x90 1/32</t>
        </is>
      </c>
      <c r="L978" s="23" t="inlineStr">
        <is>
          <t>мяг</t>
        </is>
      </c>
      <c r="M978" s="23" t="n">
        <v>160</v>
      </c>
      <c r="N978" s="23" t="n">
        <v>2021</v>
      </c>
      <c r="O978" s="23" t="n">
        <v>68</v>
      </c>
      <c r="P978" s="23" t="n"/>
      <c r="Q978" s="23" t="n"/>
      <c r="R978" s="25" t="n"/>
      <c r="S978" s="26">
        <f>HYPERLINK("http://www.cnpol.ru/covers/19490.jpg","фото на сайте")</f>
        <v/>
      </c>
    </row>
    <row r="979" ht="50.1" customHeight="1" s="3">
      <c r="A979" s="23" t="n"/>
      <c r="B979" s="24" t="inlineStr">
        <is>
          <t>14397</t>
        </is>
      </c>
      <c r="C979" s="23" t="inlineStr">
        <is>
          <t>КЦ</t>
        </is>
      </c>
      <c r="D979" s="23" t="inlineStr">
        <is>
          <t>Константинов Ю.Ю</t>
        </is>
      </c>
      <c r="E979" s="23" t="inlineStr">
        <is>
          <t>Народные рецепты молодости и красоты</t>
        </is>
      </c>
      <c r="F979" s="23" t="inlineStr">
        <is>
          <t>        </t>
        </is>
      </c>
      <c r="G979" s="23" t="n">
        <v>150</v>
      </c>
      <c r="H979" s="23" t="n">
        <v>10</v>
      </c>
      <c r="I979" s="23" t="n">
        <v>40</v>
      </c>
      <c r="J979" s="23" t="inlineStr">
        <is>
          <t>978-5-227-04271-2</t>
        </is>
      </c>
      <c r="K979" s="23" t="inlineStr">
        <is>
          <t>70x90 1/32</t>
        </is>
      </c>
      <c r="L979" s="23" t="inlineStr">
        <is>
          <t>мяг</t>
        </is>
      </c>
      <c r="M979" s="23" t="n">
        <v>159</v>
      </c>
      <c r="N979" s="23" t="n">
        <v>2013</v>
      </c>
      <c r="O979" s="23" t="n">
        <v>74</v>
      </c>
      <c r="P979" s="23" t="n"/>
      <c r="Q979" s="23" t="n"/>
      <c r="R979" s="25" t="n"/>
      <c r="S979" s="26">
        <f>HYPERLINK("http://www.cnpol.ru/covers/14397.jpg","фото на сайте")</f>
        <v/>
      </c>
    </row>
    <row r="980" ht="50.1" customHeight="1" s="3">
      <c r="A980" s="23" t="n"/>
      <c r="B980" s="24" t="inlineStr">
        <is>
          <t>16536</t>
        </is>
      </c>
      <c r="C980" s="23" t="inlineStr">
        <is>
          <t>КЦ</t>
        </is>
      </c>
      <c r="D980" s="23" t="inlineStr">
        <is>
          <t>Константинов Ю.Ю</t>
        </is>
      </c>
      <c r="E980" s="23" t="inlineStr">
        <is>
          <t>Народные рецепты молодости и красоты</t>
        </is>
      </c>
      <c r="F980" s="23" t="inlineStr">
        <is>
          <t>        </t>
        </is>
      </c>
      <c r="G980" s="23" t="n">
        <v>150</v>
      </c>
      <c r="H980" s="23" t="n">
        <v>10</v>
      </c>
      <c r="I980" s="23" t="n">
        <v>20</v>
      </c>
      <c r="J980" s="23" t="inlineStr">
        <is>
          <t>978-5-227-06463-9</t>
        </is>
      </c>
      <c r="K980" s="23" t="inlineStr">
        <is>
          <t>70x90 1/32</t>
        </is>
      </c>
      <c r="L980" s="23" t="inlineStr">
        <is>
          <t>мяг</t>
        </is>
      </c>
      <c r="M980" s="23" t="n">
        <v>160</v>
      </c>
      <c r="N980" s="23" t="n">
        <v>2016</v>
      </c>
      <c r="O980" s="23" t="n">
        <v>66</v>
      </c>
      <c r="P980" s="23" t="n"/>
      <c r="Q980" s="23" t="n"/>
      <c r="R980" s="25" t="n"/>
      <c r="S980" s="26">
        <f>HYPERLINK("http://www.cnpol.ru/covers/16536.jpg","фото на сайте")</f>
        <v/>
      </c>
    </row>
    <row r="981" ht="50.1" customHeight="1" s="3">
      <c r="A981" s="23" t="n"/>
      <c r="B981" s="24" t="inlineStr">
        <is>
          <t>19589</t>
        </is>
      </c>
      <c r="C981" s="23" t="inlineStr">
        <is>
          <t>КЦ</t>
        </is>
      </c>
      <c r="D981" s="23" t="inlineStr">
        <is>
          <t>Константинов Ю.Ю</t>
        </is>
      </c>
      <c r="E981" s="23" t="inlineStr">
        <is>
          <t>Народные рецепты против пьянства</t>
        </is>
      </c>
      <c r="F981" s="23" t="inlineStr">
        <is>
          <t>        </t>
        </is>
      </c>
      <c r="G981" s="23" t="n">
        <v>150</v>
      </c>
      <c r="H981" s="23" t="n">
        <v>10</v>
      </c>
      <c r="I981" s="23" t="n">
        <v>40</v>
      </c>
      <c r="J981" s="23" t="inlineStr">
        <is>
          <t>978-5-227-09335-6</t>
        </is>
      </c>
      <c r="K981" s="23" t="inlineStr">
        <is>
          <t>70x90 1/32</t>
        </is>
      </c>
      <c r="L981" s="23" t="inlineStr">
        <is>
          <t>мяг</t>
        </is>
      </c>
      <c r="M981" s="23" t="n">
        <v>160</v>
      </c>
      <c r="N981" s="23" t="n">
        <v>2021</v>
      </c>
      <c r="O981" s="23" t="n">
        <v>68</v>
      </c>
      <c r="P981" s="23" t="n"/>
      <c r="Q981" s="23" t="n"/>
      <c r="R981" s="25" t="n"/>
      <c r="S981" s="26">
        <f>HYPERLINK("http://www.cnpol.ru/covers/19589.jpg","фото на сайте")</f>
        <v/>
      </c>
    </row>
    <row r="982" ht="50.1" customHeight="1" s="3">
      <c r="A982" s="23" t="n"/>
      <c r="B982" s="24" t="inlineStr">
        <is>
          <t>17972</t>
        </is>
      </c>
      <c r="C982" s="23" t="inlineStr">
        <is>
          <t>КЦ</t>
        </is>
      </c>
      <c r="D982" s="23" t="inlineStr">
        <is>
          <t>Константинов Ю.Ю</t>
        </is>
      </c>
      <c r="E982" s="23" t="inlineStr">
        <is>
          <t>Облепиха от атеросклероза, бесплодия, гастрита, инфаркта, инсульта, онкологии, псориаза…</t>
        </is>
      </c>
      <c r="F982" s="23" t="inlineStr">
        <is>
          <t>        </t>
        </is>
      </c>
      <c r="G982" s="23" t="n">
        <v>150</v>
      </c>
      <c r="H982" s="23" t="n">
        <v>10</v>
      </c>
      <c r="I982" s="23" t="n">
        <v>32</v>
      </c>
      <c r="J982" s="23" t="inlineStr">
        <is>
          <t>978-5-227-07540-6</t>
        </is>
      </c>
      <c r="K982" s="23" t="inlineStr">
        <is>
          <t>70x90 1/32</t>
        </is>
      </c>
      <c r="L982" s="23" t="inlineStr">
        <is>
          <t>мяг</t>
        </is>
      </c>
      <c r="M982" s="23" t="n">
        <v>160</v>
      </c>
      <c r="N982" s="23" t="n">
        <v>2018</v>
      </c>
      <c r="O982" s="23" t="n">
        <v>68</v>
      </c>
      <c r="P982" s="23" t="n"/>
      <c r="Q982" s="23" t="n"/>
      <c r="R982" s="25" t="n"/>
      <c r="S982" s="26">
        <f>HYPERLINK("http://www.cnpol.ru/covers/17972.jpg","фото на сайте")</f>
        <v/>
      </c>
    </row>
    <row r="983" ht="50.1" customHeight="1" s="3">
      <c r="A983" s="23" t="n"/>
      <c r="B983" s="24" t="inlineStr">
        <is>
          <t>17688</t>
        </is>
      </c>
      <c r="C983" s="23" t="inlineStr">
        <is>
          <t>КЦ</t>
        </is>
      </c>
      <c r="D983" s="23" t="inlineStr">
        <is>
          <t>Константинов Ю.Ю</t>
        </is>
      </c>
      <c r="E983" s="23" t="inlineStr">
        <is>
          <t>Природное лекарство жимолость. При гипертонии, псориазе, стенокардии, бессоннице, язве, гастрите…</t>
        </is>
      </c>
      <c r="F983" s="23" t="inlineStr">
        <is>
          <t>        </t>
        </is>
      </c>
      <c r="G983" s="23" t="n">
        <v>150</v>
      </c>
      <c r="H983" s="23" t="n">
        <v>10</v>
      </c>
      <c r="I983" s="23" t="n">
        <v>20</v>
      </c>
      <c r="J983" s="23" t="inlineStr">
        <is>
          <t>978-5-227-07643-4</t>
        </is>
      </c>
      <c r="K983" s="23" t="inlineStr">
        <is>
          <t>70x90 1/32</t>
        </is>
      </c>
      <c r="L983" s="23" t="inlineStr">
        <is>
          <t>мяг</t>
        </is>
      </c>
      <c r="M983" s="23" t="n">
        <v>160</v>
      </c>
      <c r="N983" s="23" t="n">
        <v>2017</v>
      </c>
      <c r="O983" s="23" t="n">
        <v>68</v>
      </c>
      <c r="P983" s="23" t="n"/>
      <c r="Q983" s="23" t="n"/>
      <c r="R983" s="25" t="n"/>
      <c r="S983" s="26">
        <f>HYPERLINK("http://www.cnpol.ru/covers/17688.jpg","фото на сайте")</f>
        <v/>
      </c>
    </row>
    <row r="984" ht="50.1" customHeight="1" s="3">
      <c r="A984" s="23" t="n"/>
      <c r="B984" s="24" t="inlineStr">
        <is>
          <t>17631</t>
        </is>
      </c>
      <c r="C984" s="23" t="inlineStr">
        <is>
          <t>КЦ</t>
        </is>
      </c>
      <c r="D984" s="23" t="inlineStr">
        <is>
          <t>Константинов Ю.Ю</t>
        </is>
      </c>
      <c r="E984" s="23" t="inlineStr">
        <is>
          <t>Природный целитель барбарис. При болезнях сердца, почек, печени, туберкулёзе, ревматизме, геморрое, гипертонии, авитаминозе, пневмонии, артрите, радикулите...</t>
        </is>
      </c>
      <c r="F984" s="23" t="inlineStr">
        <is>
          <t>        </t>
        </is>
      </c>
      <c r="G984" s="23" t="n">
        <v>150</v>
      </c>
      <c r="H984" s="23" t="n">
        <v>10</v>
      </c>
      <c r="I984" s="23" t="n">
        <v>28</v>
      </c>
      <c r="J984" s="23" t="inlineStr">
        <is>
          <t>978-5-227-07522-2</t>
        </is>
      </c>
      <c r="K984" s="23" t="inlineStr">
        <is>
          <t>70x90 1/32</t>
        </is>
      </c>
      <c r="L984" s="23" t="inlineStr">
        <is>
          <t>мяг</t>
        </is>
      </c>
      <c r="M984" s="23" t="n">
        <v>160</v>
      </c>
      <c r="N984" s="23" t="n">
        <v>2017</v>
      </c>
      <c r="O984" s="23" t="n">
        <v>68</v>
      </c>
      <c r="P984" s="23" t="n"/>
      <c r="Q984" s="23" t="n"/>
      <c r="R984" s="25" t="n"/>
      <c r="S984" s="26">
        <f>HYPERLINK("http://www.cnpol.ru/covers/17631.jpg","фото на сайте")</f>
        <v/>
      </c>
    </row>
    <row r="985" ht="50.1" customHeight="1" s="3">
      <c r="A985" s="23" t="n"/>
      <c r="B985" s="24" t="inlineStr">
        <is>
          <t>17019</t>
        </is>
      </c>
      <c r="C985" s="23" t="inlineStr">
        <is>
          <t>КЦ</t>
        </is>
      </c>
      <c r="D985" s="23" t="inlineStr">
        <is>
          <t>Константинов Ю.Ю</t>
        </is>
      </c>
      <c r="E985" s="23" t="inlineStr">
        <is>
          <t>Родиола розовая, или Золотой корень</t>
        </is>
      </c>
      <c r="F985" s="23" t="inlineStr">
        <is>
          <t>        </t>
        </is>
      </c>
      <c r="G985" s="23" t="n">
        <v>150</v>
      </c>
      <c r="H985" s="23" t="n">
        <v>10</v>
      </c>
      <c r="I985" s="23" t="n">
        <v>20</v>
      </c>
      <c r="J985" s="23" t="inlineStr">
        <is>
          <t>978-5-227-07084-5</t>
        </is>
      </c>
      <c r="K985" s="23" t="inlineStr">
        <is>
          <t>70x90 1/32</t>
        </is>
      </c>
      <c r="L985" s="23" t="inlineStr">
        <is>
          <t>мяг</t>
        </is>
      </c>
      <c r="M985" s="23" t="n">
        <v>160</v>
      </c>
      <c r="N985" s="23" t="n">
        <v>2016</v>
      </c>
      <c r="O985" s="23" t="n">
        <v>68</v>
      </c>
      <c r="P985" s="23" t="n"/>
      <c r="Q985" s="23" t="n"/>
      <c r="R985" s="25" t="n"/>
      <c r="S985" s="26">
        <f>HYPERLINK("http://www.cnpol.ru/covers/17019.jpg","фото на сайте")</f>
        <v/>
      </c>
    </row>
    <row r="986" ht="50.1" customHeight="1" s="3">
      <c r="A986" s="23" t="n"/>
      <c r="B986" s="24" t="inlineStr">
        <is>
          <t>14478</t>
        </is>
      </c>
      <c r="C986" s="23" t="inlineStr">
        <is>
          <t>КЦ</t>
        </is>
      </c>
      <c r="D986" s="23" t="inlineStr">
        <is>
          <t>Константинов Ю.Ю</t>
        </is>
      </c>
      <c r="E986" s="23" t="inlineStr">
        <is>
          <t>Ромашка, календула. Природные лекарства</t>
        </is>
      </c>
      <c r="F986" s="23" t="inlineStr">
        <is>
          <t>        </t>
        </is>
      </c>
      <c r="G986" s="23" t="n">
        <v>150</v>
      </c>
      <c r="H986" s="23" t="n">
        <v>10</v>
      </c>
      <c r="I986" s="23" t="n">
        <v>56</v>
      </c>
      <c r="J986" s="23" t="inlineStr">
        <is>
          <t>978-5-227-04402-0</t>
        </is>
      </c>
      <c r="K986" s="23" t="inlineStr">
        <is>
          <t>70x90 1/32</t>
        </is>
      </c>
      <c r="L986" s="23" t="inlineStr">
        <is>
          <t>мяг</t>
        </is>
      </c>
      <c r="M986" s="23" t="n">
        <v>158</v>
      </c>
      <c r="N986" s="23" t="n">
        <v>2013</v>
      </c>
      <c r="O986" s="23" t="n">
        <v>72</v>
      </c>
      <c r="P986" s="23" t="n"/>
      <c r="Q986" s="23" t="n"/>
      <c r="R986" s="25" t="n"/>
      <c r="S986" s="26">
        <f>HYPERLINK("http://www.cnpol.ru/covers/14478.jpg","фото на сайте")</f>
        <v/>
      </c>
    </row>
    <row r="987" ht="50.1" customHeight="1" s="3">
      <c r="A987" s="23" t="n"/>
      <c r="B987" s="24" t="inlineStr">
        <is>
          <t>19852</t>
        </is>
      </c>
      <c r="C987" s="23" t="inlineStr">
        <is>
          <t>КЦ</t>
        </is>
      </c>
      <c r="D987" s="23" t="inlineStr">
        <is>
          <t>Константинов Ю.Ю</t>
        </is>
      </c>
      <c r="E987" s="23" t="inlineStr">
        <is>
          <t>Русская баня — целитель</t>
        </is>
      </c>
      <c r="F987" s="23" t="inlineStr">
        <is>
          <t>        </t>
        </is>
      </c>
      <c r="G987" s="23" t="n">
        <v>150</v>
      </c>
      <c r="H987" s="23" t="n">
        <v>10</v>
      </c>
      <c r="I987" s="23" t="n">
        <v>30</v>
      </c>
      <c r="J987" s="23" t="inlineStr">
        <is>
          <t>978-5-227-09544-2</t>
        </is>
      </c>
      <c r="K987" s="23" t="inlineStr">
        <is>
          <t>70x100 1/32</t>
        </is>
      </c>
      <c r="L987" s="23" t="inlineStr">
        <is>
          <t>мяг</t>
        </is>
      </c>
      <c r="M987" s="23" t="n">
        <v>160</v>
      </c>
      <c r="N987" s="23" t="n">
        <v>2021</v>
      </c>
      <c r="O987" s="23" t="n">
        <v>76</v>
      </c>
      <c r="P987" s="23" t="n"/>
      <c r="Q987" s="23" t="n"/>
      <c r="R987" s="25" t="n"/>
      <c r="S987" s="26">
        <f>HYPERLINK("http://www.cnpol.ru/covers/19852.jpg","фото на сайте")</f>
        <v/>
      </c>
    </row>
    <row r="988" ht="50.1" customHeight="1" s="3">
      <c r="A988" s="23" t="n"/>
      <c r="B988" s="24" t="inlineStr">
        <is>
          <t>10827</t>
        </is>
      </c>
      <c r="C988" s="23" t="inlineStr">
        <is>
          <t>КЦ</t>
        </is>
      </c>
      <c r="D988" s="23" t="inlineStr">
        <is>
          <t>Константинов Ю.Ю</t>
        </is>
      </c>
      <c r="E988" s="23" t="inlineStr">
        <is>
          <t>Секреты целительной силы алоэ</t>
        </is>
      </c>
      <c r="F988" s="23" t="inlineStr">
        <is>
          <t>        </t>
        </is>
      </c>
      <c r="G988" s="23" t="n">
        <v>150</v>
      </c>
      <c r="H988" s="23" t="n">
        <v>10</v>
      </c>
      <c r="I988" s="23" t="n">
        <v>60</v>
      </c>
      <c r="J988" s="23" t="inlineStr">
        <is>
          <t>978-5-9524-3915-3</t>
        </is>
      </c>
      <c r="K988" s="23" t="inlineStr">
        <is>
          <t>70x90 1/32</t>
        </is>
      </c>
      <c r="L988" s="23" t="inlineStr">
        <is>
          <t>мяг</t>
        </is>
      </c>
      <c r="M988" s="23" t="n">
        <v>125</v>
      </c>
      <c r="N988" s="23" t="n">
        <v>2008</v>
      </c>
      <c r="O988" s="23" t="n">
        <v>58</v>
      </c>
      <c r="P988" s="23" t="n"/>
      <c r="Q988" s="23" t="n"/>
      <c r="R988" s="25" t="n"/>
      <c r="S988" s="26">
        <f>HYPERLINK("http://www.cnpol.ru/covers/10827.jpg","фото на сайте")</f>
        <v/>
      </c>
    </row>
    <row r="989" ht="50.1" customHeight="1" s="3">
      <c r="A989" s="23" t="n"/>
      <c r="B989" s="24" t="inlineStr">
        <is>
          <t>11229</t>
        </is>
      </c>
      <c r="C989" s="23" t="inlineStr">
        <is>
          <t>КЦ</t>
        </is>
      </c>
      <c r="D989" s="23" t="inlineStr">
        <is>
          <t>Константинов Ю.Ю</t>
        </is>
      </c>
      <c r="E989" s="23" t="inlineStr">
        <is>
          <t>Секреты целительной силы алоэ</t>
        </is>
      </c>
      <c r="F989" s="23" t="inlineStr">
        <is>
          <t>        </t>
        </is>
      </c>
      <c r="G989" s="23" t="n">
        <v>150</v>
      </c>
      <c r="H989" s="23" t="n">
        <v>10</v>
      </c>
      <c r="I989" s="23" t="n">
        <v>60</v>
      </c>
      <c r="J989" s="23" t="inlineStr">
        <is>
          <t>978-5-9524-4364-8</t>
        </is>
      </c>
      <c r="K989" s="23" t="inlineStr">
        <is>
          <t>70x90 1/32</t>
        </is>
      </c>
      <c r="L989" s="23" t="inlineStr">
        <is>
          <t>мяг</t>
        </is>
      </c>
      <c r="M989" s="23" t="n">
        <v>125</v>
      </c>
      <c r="N989" s="23" t="n">
        <v>2009</v>
      </c>
      <c r="O989" s="23" t="n">
        <v>58</v>
      </c>
      <c r="P989" s="23" t="n"/>
      <c r="Q989" s="23" t="n"/>
      <c r="R989" s="25" t="n"/>
      <c r="S989" s="26">
        <f>HYPERLINK("http://www.cnpol.ru/covers/11229.jpg","фото на сайте")</f>
        <v/>
      </c>
    </row>
    <row r="990" ht="50.1" customHeight="1" s="3">
      <c r="A990" s="23" t="n"/>
      <c r="B990" s="24" t="inlineStr">
        <is>
          <t>16188</t>
        </is>
      </c>
      <c r="C990" s="23" t="inlineStr">
        <is>
          <t>КЦ</t>
        </is>
      </c>
      <c r="D990" s="23" t="inlineStr">
        <is>
          <t>Константинов Ю.Ю</t>
        </is>
      </c>
      <c r="E990" s="23" t="inlineStr">
        <is>
          <t>Семена чиа. Уникальное природное лекарство</t>
        </is>
      </c>
      <c r="F990" s="23" t="inlineStr">
        <is>
          <t>        </t>
        </is>
      </c>
      <c r="G990" s="23" t="n">
        <v>150</v>
      </c>
      <c r="H990" s="23" t="n">
        <v>10</v>
      </c>
      <c r="I990" s="23" t="n">
        <v>20</v>
      </c>
      <c r="J990" s="23" t="inlineStr">
        <is>
          <t>978-5-227-06045-7</t>
        </is>
      </c>
      <c r="K990" s="23" t="inlineStr">
        <is>
          <t>70x90 1/32</t>
        </is>
      </c>
      <c r="L990" s="23" t="inlineStr">
        <is>
          <t>мяг</t>
        </is>
      </c>
      <c r="M990" s="23" t="n">
        <v>159</v>
      </c>
      <c r="N990" s="23" t="n">
        <v>2015</v>
      </c>
      <c r="O990" s="23" t="n">
        <v>68</v>
      </c>
      <c r="P990" s="23" t="n"/>
      <c r="Q990" s="23" t="n"/>
      <c r="R990" s="25" t="n"/>
      <c r="S990" s="26">
        <f>HYPERLINK("http://www.cnpol.ru/covers/16188.jpg","фото на сайте")</f>
        <v/>
      </c>
    </row>
    <row r="991" ht="50.1" customHeight="1" s="3">
      <c r="A991" s="23" t="n"/>
      <c r="B991" s="24" t="inlineStr">
        <is>
          <t>17057</t>
        </is>
      </c>
      <c r="C991" s="23" t="inlineStr">
        <is>
          <t>КЦ</t>
        </is>
      </c>
      <c r="D991" s="23" t="inlineStr">
        <is>
          <t>Константинов Ю.Ю</t>
        </is>
      </c>
      <c r="E991" s="23" t="inlineStr">
        <is>
          <t>Соя. Уникальный продукт</t>
        </is>
      </c>
      <c r="F991" s="23" t="inlineStr">
        <is>
          <t>        </t>
        </is>
      </c>
      <c r="G991" s="23" t="n">
        <v>150</v>
      </c>
      <c r="H991" s="23" t="n">
        <v>10</v>
      </c>
      <c r="I991" s="23" t="n">
        <v>28</v>
      </c>
      <c r="J991" s="23" t="inlineStr">
        <is>
          <t>978-5-227-07099-9</t>
        </is>
      </c>
      <c r="K991" s="23" t="inlineStr">
        <is>
          <t>70x90 1/32</t>
        </is>
      </c>
      <c r="L991" s="23" t="inlineStr">
        <is>
          <t>мяг</t>
        </is>
      </c>
      <c r="M991" s="23" t="n">
        <v>160</v>
      </c>
      <c r="N991" s="23" t="n">
        <v>2016</v>
      </c>
      <c r="O991" s="23" t="n">
        <v>68</v>
      </c>
      <c r="P991" s="23" t="n"/>
      <c r="Q991" s="23" t="n"/>
      <c r="R991" s="25" t="n"/>
      <c r="S991" s="26">
        <f>HYPERLINK("http://www.cnpol.ru/covers/17057.jpg","фото на сайте")</f>
        <v/>
      </c>
    </row>
    <row r="992" ht="50.1" customHeight="1" s="3">
      <c r="A992" s="23" t="n"/>
      <c r="B992" s="24" t="inlineStr">
        <is>
          <t>16743</t>
        </is>
      </c>
      <c r="C992" s="23" t="inlineStr">
        <is>
          <t>КЦ</t>
        </is>
      </c>
      <c r="D992" s="23" t="inlineStr">
        <is>
          <t>Константинов Ю.Ю</t>
        </is>
      </c>
      <c r="E992" s="23" t="inlineStr">
        <is>
          <t>Стевия. Натуральная замена сахара.</t>
        </is>
      </c>
      <c r="F992" s="23" t="inlineStr">
        <is>
          <t>        </t>
        </is>
      </c>
      <c r="G992" s="23" t="n">
        <v>150</v>
      </c>
      <c r="H992" s="23" t="n">
        <v>10</v>
      </c>
      <c r="I992" s="23" t="n">
        <v>40</v>
      </c>
      <c r="J992" s="23" t="inlineStr">
        <is>
          <t>978-5-227-06676-3</t>
        </is>
      </c>
      <c r="K992" s="23" t="inlineStr">
        <is>
          <t>70x90 1/32</t>
        </is>
      </c>
      <c r="L992" s="23" t="inlineStr">
        <is>
          <t>мяг</t>
        </is>
      </c>
      <c r="M992" s="23" t="n">
        <v>160</v>
      </c>
      <c r="N992" s="23" t="n">
        <v>2016</v>
      </c>
      <c r="O992" s="23" t="n">
        <v>66</v>
      </c>
      <c r="P992" s="23" t="n"/>
      <c r="Q992" s="23" t="n"/>
      <c r="R992" s="25" t="n"/>
      <c r="S992" s="26">
        <f>HYPERLINK("http://www.cnpol.ru/covers/16743.jpg","фото на сайте")</f>
        <v/>
      </c>
    </row>
    <row r="993" ht="50.1" customHeight="1" s="3">
      <c r="A993" s="23" t="n"/>
      <c r="B993" s="24" t="inlineStr">
        <is>
          <t>15144</t>
        </is>
      </c>
      <c r="C993" s="23" t="inlineStr">
        <is>
          <t>КЦ</t>
        </is>
      </c>
      <c r="D993" s="23" t="inlineStr">
        <is>
          <t>Константинов Ю.Ю</t>
        </is>
      </c>
      <c r="E993" s="23" t="inlineStr">
        <is>
          <t>Тысячелистник, кипрей. Природные лекарства</t>
        </is>
      </c>
      <c r="F993" s="23" t="inlineStr">
        <is>
          <t>        </t>
        </is>
      </c>
      <c r="G993" s="23" t="n">
        <v>150</v>
      </c>
      <c r="H993" s="23" t="n">
        <v>10</v>
      </c>
      <c r="I993" s="23" t="n">
        <v>40</v>
      </c>
      <c r="J993" s="23" t="inlineStr">
        <is>
          <t>978-5-227-04763-2</t>
        </is>
      </c>
      <c r="K993" s="23" t="inlineStr">
        <is>
          <t>70x90 1/32</t>
        </is>
      </c>
      <c r="L993" s="23" t="inlineStr">
        <is>
          <t>мяг</t>
        </is>
      </c>
      <c r="M993" s="23" t="n">
        <v>160</v>
      </c>
      <c r="N993" s="23" t="n">
        <v>2014</v>
      </c>
      <c r="O993" s="23" t="n">
        <v>70</v>
      </c>
      <c r="P993" s="23" t="n"/>
      <c r="Q993" s="23" t="n"/>
      <c r="R993" s="25" t="n"/>
      <c r="S993" s="26">
        <f>HYPERLINK("http://www.cnpol.ru/covers/15144.jpg","фото на сайте")</f>
        <v/>
      </c>
    </row>
    <row r="994" ht="50.1" customHeight="1" s="3">
      <c r="A994" s="23" t="n"/>
      <c r="B994" s="24" t="inlineStr">
        <is>
          <t>18171</t>
        </is>
      </c>
      <c r="C994" s="23" t="inlineStr">
        <is>
          <t>КЦ</t>
        </is>
      </c>
      <c r="D994" s="23" t="inlineStr">
        <is>
          <t>Константинов Ю.Ю</t>
        </is>
      </c>
      <c r="E994" s="23" t="inlineStr">
        <is>
          <t>Универсальный лекарь калган. При болезнях сердца, почек, печени, кожи, суставов, половой системы</t>
        </is>
      </c>
      <c r="F994" s="23" t="inlineStr">
        <is>
          <t>        </t>
        </is>
      </c>
      <c r="G994" s="23" t="n">
        <v>150</v>
      </c>
      <c r="H994" s="23" t="n">
        <v>10</v>
      </c>
      <c r="I994" s="23" t="n">
        <v>20</v>
      </c>
      <c r="J994" s="23" t="inlineStr">
        <is>
          <t>978-5-227-07192-7</t>
        </is>
      </c>
      <c r="K994" s="23" t="inlineStr">
        <is>
          <t>70x90 1/32</t>
        </is>
      </c>
      <c r="L994" s="23" t="inlineStr">
        <is>
          <t>мяг</t>
        </is>
      </c>
      <c r="M994" s="23" t="n">
        <v>160</v>
      </c>
      <c r="N994" s="23" t="n">
        <v>2018</v>
      </c>
      <c r="O994" s="23" t="n">
        <v>68</v>
      </c>
      <c r="P994" s="23" t="n"/>
      <c r="Q994" s="23" t="n"/>
      <c r="R994" s="25" t="n"/>
      <c r="S994" s="26">
        <f>HYPERLINK("http://www.cnpol.ru/covers/18171.jpg","фото на сайте")</f>
        <v/>
      </c>
    </row>
    <row r="995" ht="50.1" customHeight="1" s="3">
      <c r="A995" s="23" t="n"/>
      <c r="B995" s="24" t="inlineStr">
        <is>
          <t>17687</t>
        </is>
      </c>
      <c r="C995" s="23" t="inlineStr">
        <is>
          <t>КЦ</t>
        </is>
      </c>
      <c r="D995" s="23" t="inlineStr">
        <is>
          <t>Константинов Ю.Ю</t>
        </is>
      </c>
      <c r="E995" s="23" t="inlineStr">
        <is>
          <t>Уникальное лекарство малина. При атеросклерозе, простуде, бесплодии, гипертонии, ожирении…</t>
        </is>
      </c>
      <c r="F995" s="23" t="inlineStr">
        <is>
          <t>        </t>
        </is>
      </c>
      <c r="G995" s="23" t="n">
        <v>150</v>
      </c>
      <c r="H995" s="23" t="n">
        <v>10</v>
      </c>
      <c r="I995" s="23" t="n">
        <v>20</v>
      </c>
      <c r="J995" s="23" t="inlineStr">
        <is>
          <t>978-5-227-07642-7</t>
        </is>
      </c>
      <c r="K995" s="23" t="inlineStr">
        <is>
          <t>70x90 1/32</t>
        </is>
      </c>
      <c r="L995" s="23" t="inlineStr">
        <is>
          <t>мяг</t>
        </is>
      </c>
      <c r="M995" s="23" t="n">
        <v>160</v>
      </c>
      <c r="N995" s="23" t="n">
        <v>2017</v>
      </c>
      <c r="O995" s="23" t="n">
        <v>68</v>
      </c>
      <c r="P995" s="23" t="n"/>
      <c r="Q995" s="23" t="n"/>
      <c r="R995" s="25" t="n"/>
      <c r="S995" s="26">
        <f>HYPERLINK("http://www.cnpol.ru/covers/17687.jpg","фото на сайте")</f>
        <v/>
      </c>
    </row>
    <row r="996" ht="50.1" customHeight="1" s="3">
      <c r="A996" s="23" t="n"/>
      <c r="B996" s="24" t="inlineStr">
        <is>
          <t>17830</t>
        </is>
      </c>
      <c r="C996" s="23" t="inlineStr">
        <is>
          <t>КЦ</t>
        </is>
      </c>
      <c r="D996" s="23" t="inlineStr">
        <is>
          <t>Константинов Ю.Ю</t>
        </is>
      </c>
      <c r="E996" s="23" t="inlineStr">
        <is>
          <t>Уникальный целитель береза. Чага, сок, дёготь, уголь, эфирное масло, бетулин, ­щёлок, настойки, отвары для вашего здоровья</t>
        </is>
      </c>
      <c r="F996" s="23" t="inlineStr">
        <is>
          <t>        </t>
        </is>
      </c>
      <c r="G996" s="23" t="n">
        <v>150</v>
      </c>
      <c r="H996" s="23" t="n">
        <v>10</v>
      </c>
      <c r="I996" s="23" t="n">
        <v>20</v>
      </c>
      <c r="J996" s="23" t="inlineStr">
        <is>
          <t>978-5-227-07955-8</t>
        </is>
      </c>
      <c r="K996" s="23" t="inlineStr">
        <is>
          <t>70x90 1/32</t>
        </is>
      </c>
      <c r="L996" s="23" t="inlineStr">
        <is>
          <t>мяг</t>
        </is>
      </c>
      <c r="M996" s="23" t="n">
        <v>160</v>
      </c>
      <c r="N996" s="23" t="n">
        <v>2017</v>
      </c>
      <c r="O996" s="23" t="n">
        <v>68</v>
      </c>
      <c r="P996" s="23" t="n"/>
      <c r="Q996" s="23" t="n"/>
      <c r="R996" s="25" t="n"/>
      <c r="S996" s="26">
        <f>HYPERLINK("http://www.cnpol.ru/covers/17830.jpg","фото на сайте")</f>
        <v/>
      </c>
    </row>
    <row r="997" ht="50.1" customHeight="1" s="3">
      <c r="A997" s="23" t="n"/>
      <c r="B997" s="24" t="inlineStr">
        <is>
          <t>17633</t>
        </is>
      </c>
      <c r="C997" s="23" t="inlineStr">
        <is>
          <t>КЦ</t>
        </is>
      </c>
      <c r="D997" s="23" t="inlineStr">
        <is>
          <t>Константинов Ю.Ю</t>
        </is>
      </c>
      <c r="E997" s="23" t="inlineStr">
        <is>
          <t>Целебные свойства топинамбура. При сахарном диабете, ожирении, анемии, желудочно-кишечных заболеваний</t>
        </is>
      </c>
      <c r="F997" s="23" t="inlineStr">
        <is>
          <t>        </t>
        </is>
      </c>
      <c r="G997" s="23" t="n">
        <v>150</v>
      </c>
      <c r="H997" s="23" t="n">
        <v>10</v>
      </c>
      <c r="I997" s="23" t="n">
        <v>28</v>
      </c>
      <c r="J997" s="23" t="inlineStr">
        <is>
          <t>978-5-227-07264-1</t>
        </is>
      </c>
      <c r="K997" s="23" t="inlineStr">
        <is>
          <t>70x90 1/32</t>
        </is>
      </c>
      <c r="L997" s="23" t="inlineStr">
        <is>
          <t>мяг</t>
        </is>
      </c>
      <c r="M997" s="23" t="n">
        <v>160</v>
      </c>
      <c r="N997" s="23" t="n">
        <v>2017</v>
      </c>
      <c r="O997" s="23" t="n">
        <v>68</v>
      </c>
      <c r="P997" s="23" t="n"/>
      <c r="Q997" s="23" t="n"/>
      <c r="R997" s="25" t="n"/>
      <c r="S997" s="26">
        <f>HYPERLINK("http://www.cnpol.ru/covers/17633.jpg","фото на сайте")</f>
        <v/>
      </c>
    </row>
    <row r="998" ht="50.1" customHeight="1" s="3">
      <c r="A998" s="23" t="n"/>
      <c r="B998" s="24" t="inlineStr">
        <is>
          <t>10822</t>
        </is>
      </c>
      <c r="C998" s="23" t="inlineStr">
        <is>
          <t>КЦ</t>
        </is>
      </c>
      <c r="D998" s="23" t="inlineStr">
        <is>
          <t>Константинов Ю.Ю</t>
        </is>
      </c>
      <c r="E998" s="23" t="inlineStr">
        <is>
          <t>Целитель в банке. Чайный гриб</t>
        </is>
      </c>
      <c r="F998" s="23" t="inlineStr">
        <is>
          <t>        </t>
        </is>
      </c>
      <c r="G998" s="23" t="n">
        <v>115</v>
      </c>
      <c r="H998" s="23" t="n">
        <v>10</v>
      </c>
      <c r="I998" s="23" t="n">
        <v>60</v>
      </c>
      <c r="J998" s="23" t="inlineStr">
        <is>
          <t>978-5-9524-3914-6</t>
        </is>
      </c>
      <c r="K998" s="23" t="inlineStr">
        <is>
          <t>70x90 1/32</t>
        </is>
      </c>
      <c r="L998" s="23" t="inlineStr">
        <is>
          <t>мяг</t>
        </is>
      </c>
      <c r="M998" s="23" t="n">
        <v>126</v>
      </c>
      <c r="N998" s="23" t="n">
        <v>2008</v>
      </c>
      <c r="O998" s="23" t="n">
        <v>56</v>
      </c>
      <c r="P998" s="23" t="n"/>
      <c r="Q998" s="23" t="n"/>
      <c r="R998" s="25" t="n"/>
      <c r="S998" s="26">
        <f>HYPERLINK("http://www.cnpol.ru/covers/10822.jpg","фото на сайте")</f>
        <v/>
      </c>
    </row>
    <row r="999" ht="50.1" customHeight="1" s="3">
      <c r="A999" s="23" t="n"/>
      <c r="B999" s="24" t="inlineStr">
        <is>
          <t>12214</t>
        </is>
      </c>
      <c r="C999" s="23" t="inlineStr">
        <is>
          <t>КЦ</t>
        </is>
      </c>
      <c r="D999" s="23" t="inlineStr">
        <is>
          <t>Мудрова А.Ю.</t>
        </is>
      </c>
      <c r="E999" s="23" t="inlineStr">
        <is>
          <t>Чеснок. Чудо-целитель</t>
        </is>
      </c>
      <c r="F999" s="23" t="inlineStr">
        <is>
          <t>        </t>
        </is>
      </c>
      <c r="G999" s="23" t="n">
        <v>150</v>
      </c>
      <c r="H999" s="23" t="n">
        <v>10</v>
      </c>
      <c r="I999" s="23" t="n">
        <v>60</v>
      </c>
      <c r="J999" s="23" t="inlineStr">
        <is>
          <t>978-5-227-02309-4</t>
        </is>
      </c>
      <c r="K999" s="23" t="inlineStr">
        <is>
          <t>70x90 1/32</t>
        </is>
      </c>
      <c r="L999" s="23" t="inlineStr">
        <is>
          <t>мяг</t>
        </is>
      </c>
      <c r="M999" s="23" t="n">
        <v>157</v>
      </c>
      <c r="N999" s="23" t="n">
        <v>2010</v>
      </c>
      <c r="O999" s="23" t="n">
        <v>70</v>
      </c>
      <c r="P999" s="23" t="n"/>
      <c r="Q999" s="23" t="n"/>
      <c r="R999" s="25" t="n"/>
      <c r="S999" s="26">
        <f>HYPERLINK("http://www.cnpol.ru/covers/12214.jpg","фото на сайте")</f>
        <v/>
      </c>
    </row>
    <row r="1000" ht="50.1" customHeight="1" s="3">
      <c r="A1000" s="23" t="n"/>
      <c r="B1000" s="24" t="inlineStr">
        <is>
          <t>12730</t>
        </is>
      </c>
      <c r="C1000" s="23" t="inlineStr">
        <is>
          <t>КЦ</t>
        </is>
      </c>
      <c r="D1000" s="23" t="inlineStr">
        <is>
          <t>Константинов Ю.Ю</t>
        </is>
      </c>
      <c r="E1000" s="23" t="inlineStr">
        <is>
          <t>Чистотел. Лучшее средство от 250 болезней</t>
        </is>
      </c>
      <c r="F1000" s="23" t="inlineStr">
        <is>
          <t>        </t>
        </is>
      </c>
      <c r="G1000" s="23" t="n">
        <v>150</v>
      </c>
      <c r="H1000" s="23" t="n">
        <v>10</v>
      </c>
      <c r="I1000" s="23" t="n">
        <v>60</v>
      </c>
      <c r="J1000" s="23" t="inlineStr">
        <is>
          <t>978-5-227-02580-7</t>
        </is>
      </c>
      <c r="K1000" s="23" t="inlineStr">
        <is>
          <t>70x90 1/32</t>
        </is>
      </c>
      <c r="L1000" s="23" t="inlineStr">
        <is>
          <t>мяг</t>
        </is>
      </c>
      <c r="M1000" s="23" t="n">
        <v>157</v>
      </c>
      <c r="N1000" s="23" t="n">
        <v>2011</v>
      </c>
      <c r="O1000" s="23" t="n">
        <v>70</v>
      </c>
      <c r="P1000" s="23" t="n"/>
      <c r="Q1000" s="23" t="n"/>
      <c r="R1000" s="25" t="n"/>
      <c r="S1000" s="26">
        <f>HYPERLINK("http://www.cnpol.ru/covers/12730.jpg","фото на сайте")</f>
        <v/>
      </c>
    </row>
    <row r="1001" ht="50.1" customHeight="1" s="3">
      <c r="A1001" s="23" t="n"/>
      <c r="B1001" s="24" t="inlineStr">
        <is>
          <t>14469</t>
        </is>
      </c>
      <c r="C1001" s="23" t="inlineStr">
        <is>
          <t>КЦ</t>
        </is>
      </c>
      <c r="D1001" s="23" t="inlineStr">
        <is>
          <t>Константинов Ю.Ю</t>
        </is>
      </c>
      <c r="E1001" s="23" t="inlineStr">
        <is>
          <t>Шалфей от ста болезней</t>
        </is>
      </c>
      <c r="F1001" s="23" t="inlineStr">
        <is>
          <t>        </t>
        </is>
      </c>
      <c r="G1001" s="23" t="n">
        <v>150</v>
      </c>
      <c r="H1001" s="23" t="n">
        <v>10</v>
      </c>
      <c r="I1001" s="23" t="n">
        <v>40</v>
      </c>
      <c r="J1001" s="23" t="inlineStr">
        <is>
          <t>978-5-227-04184-5</t>
        </is>
      </c>
      <c r="K1001" s="23" t="inlineStr">
        <is>
          <t>70x90 1/32</t>
        </is>
      </c>
      <c r="L1001" s="23" t="inlineStr">
        <is>
          <t>мяг</t>
        </is>
      </c>
      <c r="M1001" s="23" t="n">
        <v>158</v>
      </c>
      <c r="N1001" s="23" t="n">
        <v>2013</v>
      </c>
      <c r="O1001" s="23" t="n">
        <v>68</v>
      </c>
      <c r="P1001" s="23" t="n"/>
      <c r="Q1001" s="23" t="n"/>
      <c r="R1001" s="25" t="n"/>
      <c r="S1001" s="26">
        <f>HYPERLINK("http://www.cnpol.ru/covers/14469.jpg","фото на сайте")</f>
        <v/>
      </c>
    </row>
    <row r="1002" ht="50.1" customHeight="1" s="3">
      <c r="A1002" s="23" t="n"/>
      <c r="B1002" s="24" t="inlineStr">
        <is>
          <t>17348</t>
        </is>
      </c>
      <c r="C1002" s="23" t="inlineStr">
        <is>
          <t>КЦ</t>
        </is>
      </c>
      <c r="D1002" s="23" t="inlineStr">
        <is>
          <t>Константинов Ю.Ю</t>
        </is>
      </c>
      <c r="E1002" s="23" t="inlineStr">
        <is>
          <t>Шунгит. Уникальное средство против артира, гастрита, аллергии, псориаза, диабета...</t>
        </is>
      </c>
      <c r="F1002" s="23" t="inlineStr">
        <is>
          <t>        </t>
        </is>
      </c>
      <c r="G1002" s="23" t="n">
        <v>150</v>
      </c>
      <c r="H1002" s="23" t="n">
        <v>10</v>
      </c>
      <c r="I1002" s="23" t="n">
        <v>40</v>
      </c>
      <c r="J1002" s="23" t="inlineStr">
        <is>
          <t>978-5-227-07171-2</t>
        </is>
      </c>
      <c r="K1002" s="23" t="inlineStr">
        <is>
          <t>70x90 1/32</t>
        </is>
      </c>
      <c r="L1002" s="23" t="inlineStr">
        <is>
          <t>мяг</t>
        </is>
      </c>
      <c r="M1002" s="23" t="n">
        <v>160</v>
      </c>
      <c r="N1002" s="23" t="n">
        <v>2017</v>
      </c>
      <c r="O1002" s="23" t="n">
        <v>68</v>
      </c>
      <c r="P1002" s="23" t="n"/>
      <c r="Q1002" s="23" t="n"/>
      <c r="R1002" s="25" t="n"/>
      <c r="S1002" s="26">
        <f>HYPERLINK("http://www.cnpol.ru/covers/17348.jpg","фото на сайте")</f>
        <v/>
      </c>
    </row>
    <row r="1003" ht="50.1" customHeight="1" s="3">
      <c r="A1003" s="23" t="n"/>
      <c r="B1003" s="24" t="inlineStr">
        <is>
          <t>16339</t>
        </is>
      </c>
      <c r="C1003" s="23" t="inlineStr">
        <is>
          <t>КЦ</t>
        </is>
      </c>
      <c r="D1003" s="23" t="inlineStr">
        <is>
          <t>Константинов Ю.Ю</t>
        </is>
      </c>
      <c r="E1003" s="23" t="inlineStr">
        <is>
          <t>Ягоды годжи Эликсир здоровья и долголетия</t>
        </is>
      </c>
      <c r="F1003" s="23" t="inlineStr">
        <is>
          <t>        </t>
        </is>
      </c>
      <c r="G1003" s="23" t="n">
        <v>150</v>
      </c>
      <c r="H1003" s="23" t="n">
        <v>10</v>
      </c>
      <c r="I1003" s="23" t="n">
        <v>40</v>
      </c>
      <c r="J1003" s="23" t="inlineStr">
        <is>
          <t>978-5-227-05549-1</t>
        </is>
      </c>
      <c r="K1003" s="23" t="inlineStr">
        <is>
          <t>70x90 1/32</t>
        </is>
      </c>
      <c r="L1003" s="23" t="inlineStr">
        <is>
          <t>мяг</t>
        </is>
      </c>
      <c r="M1003" s="23" t="n">
        <v>160</v>
      </c>
      <c r="N1003" s="23" t="n">
        <v>2015</v>
      </c>
      <c r="O1003" s="23" t="n">
        <v>68</v>
      </c>
      <c r="P1003" s="23" t="n"/>
      <c r="Q1003" s="23" t="n"/>
      <c r="R1003" s="25" t="n"/>
      <c r="S1003" s="26">
        <f>HYPERLINK("http://www.cnpol.ru/covers/16339.jpg","фото на сайте")</f>
        <v/>
      </c>
    </row>
    <row r="1004" ht="50.1" customHeight="1" s="3">
      <c r="A1004" s="23" t="n"/>
      <c r="B1004" s="24" t="inlineStr">
        <is>
          <t>19408</t>
        </is>
      </c>
      <c r="C1004" s="23" t="inlineStr">
        <is>
          <t>КЦ</t>
        </is>
      </c>
      <c r="D1004" s="23" t="inlineStr">
        <is>
          <t>Константинов Ю.Ю</t>
        </is>
      </c>
      <c r="E1004" s="23" t="inlineStr">
        <is>
          <t>Язва желудка и двенадцатиперстной кишки. Народные методы лечения</t>
        </is>
      </c>
      <c r="F1004" s="23" t="inlineStr">
        <is>
          <t>        </t>
        </is>
      </c>
      <c r="G1004" s="23" t="n">
        <v>150</v>
      </c>
      <c r="H1004" s="23" t="n">
        <v>10</v>
      </c>
      <c r="I1004" s="23" t="n">
        <v>30</v>
      </c>
      <c r="J1004" s="23" t="inlineStr">
        <is>
          <t>978-5-227-07172-9</t>
        </is>
      </c>
      <c r="K1004" s="23" t="inlineStr">
        <is>
          <t>70x90 1/32</t>
        </is>
      </c>
      <c r="L1004" s="23" t="inlineStr">
        <is>
          <t>мяг</t>
        </is>
      </c>
      <c r="M1004" s="23" t="n">
        <v>160</v>
      </c>
      <c r="N1004" s="23" t="n">
        <v>2020</v>
      </c>
      <c r="O1004" s="23" t="n">
        <v>68</v>
      </c>
      <c r="P1004" s="23" t="n"/>
      <c r="Q1004" s="23" t="n"/>
      <c r="R1004" s="25" t="n"/>
      <c r="S1004" s="26">
        <f>HYPERLINK("http://www.cnpol.ru/covers/19408.jpg","фото на сайте")</f>
        <v/>
      </c>
    </row>
    <row r="1005" ht="50.1" customHeight="1" s="3">
      <c r="A1005" s="23" t="n"/>
      <c r="B1005" s="24" t="inlineStr">
        <is>
          <t>10446</t>
        </is>
      </c>
      <c r="C1005" s="23" t="inlineStr">
        <is>
          <t>КЭ+</t>
        </is>
      </c>
      <c r="D1005" s="23" t="inlineStr">
        <is>
          <t>Жукова Ю.</t>
        </is>
      </c>
      <c r="E1005" s="23" t="inlineStr">
        <is>
          <t>Малая энциклопедия консервирования</t>
        </is>
      </c>
      <c r="F1005" s="23" t="inlineStr">
        <is>
          <t>        </t>
        </is>
      </c>
      <c r="G1005" s="23" t="n">
        <v>150</v>
      </c>
      <c r="H1005" s="23" t="n">
        <v>10</v>
      </c>
      <c r="I1005" s="23" t="n">
        <v>30</v>
      </c>
      <c r="J1005" s="23" t="inlineStr">
        <is>
          <t>978-5-9524-3642-8</t>
        </is>
      </c>
      <c r="K1005" s="23" t="inlineStr">
        <is>
          <t>84x108 1/32 (обл)</t>
        </is>
      </c>
      <c r="L1005" s="23" t="inlineStr">
        <is>
          <t>мяг</t>
        </is>
      </c>
      <c r="M1005" s="23" t="n">
        <v>223</v>
      </c>
      <c r="N1005" s="23" t="n">
        <v>2008</v>
      </c>
      <c r="O1005" s="23" t="n">
        <v>138</v>
      </c>
      <c r="P1005" s="23" t="n"/>
      <c r="Q1005" s="23" t="n"/>
      <c r="R1005" s="25" t="inlineStr">
        <is>
          <t>В книге приведены разнообразные, в том числе и старинные, рецепты и технологии консервирования овощей, плодов и ягод, грибов, рыбы и мясных продуктов. Советы, предложенные на страницах этой книги, помогут избежать ошибок при консервировании и тем самым решить проблему сохранения продуктов в течение долгого времени.</t>
        </is>
      </c>
      <c r="S1005" s="26">
        <f>HYPERLINK("http://www.cnpol.ru/covers/10446.jpg","фото на сайте")</f>
        <v/>
      </c>
    </row>
    <row r="1006" ht="50.1" customHeight="1" s="3">
      <c r="A1006" s="23" t="n"/>
      <c r="B1006" s="24" t="inlineStr">
        <is>
          <t>4888</t>
        </is>
      </c>
      <c r="C1006" s="23" t="inlineStr">
        <is>
          <t>КЭП</t>
        </is>
      </c>
      <c r="D1006" s="23" t="inlineStr">
        <is>
          <t>Группа авторов</t>
        </is>
      </c>
      <c r="E1006" s="23" t="inlineStr">
        <is>
          <t>Народные праздники на Руси</t>
        </is>
      </c>
      <c r="F1006" s="23" t="inlineStr">
        <is>
          <t>        </t>
        </is>
      </c>
      <c r="G1006" s="23" t="n">
        <v>123</v>
      </c>
      <c r="H1006" s="23" t="n">
        <v>10</v>
      </c>
      <c r="I1006" s="23" t="n">
        <v>40</v>
      </c>
      <c r="J1006" s="23" t="inlineStr">
        <is>
          <t>5-9524-0991-1</t>
        </is>
      </c>
      <c r="K1006" s="23" t="inlineStr">
        <is>
          <t>84x108 1/32 (обл)</t>
        </is>
      </c>
      <c r="L1006" s="23" t="inlineStr">
        <is>
          <t>мяг</t>
        </is>
      </c>
      <c r="M1006" s="23" t="n">
        <v>157</v>
      </c>
      <c r="N1006" s="23" t="n">
        <v>2004</v>
      </c>
      <c r="O1006" s="23" t="n">
        <v>102</v>
      </c>
      <c r="P1006" s="23" t="n"/>
      <c r="Q1006" s="23" t="n"/>
      <c r="R1006" s="25" t="n"/>
      <c r="S1006" s="26">
        <f>HYPERLINK("http://www.cnpol.ru/covers/4888.jpg","фото на сайте")</f>
        <v/>
      </c>
    </row>
    <row r="1007" ht="50.1" customHeight="1" s="3">
      <c r="A1007" s="23" t="inlineStr">
        <is>
          <t>Д</t>
        </is>
      </c>
      <c r="B1007" s="24" t="inlineStr">
        <is>
          <t>21637</t>
        </is>
      </c>
      <c r="C1007" s="23" t="inlineStr">
        <is>
          <t>ЛАЗЕРСОН</t>
        </is>
      </c>
      <c r="D1007" s="23" t="inlineStr">
        <is>
          <t>Лазерсон И.И.,  Спичка М.А.</t>
        </is>
      </c>
      <c r="E1007" s="23" t="inlineStr">
        <is>
          <t>Скорая кулинарная помощь на вашей кухне. В будни и праздники</t>
        </is>
      </c>
      <c r="F1007" s="23" t="inlineStr">
        <is>
          <t>        </t>
        </is>
      </c>
      <c r="G1007" s="23" t="n">
        <v>550</v>
      </c>
      <c r="H1007" s="23" t="n">
        <v>10</v>
      </c>
      <c r="I1007" s="23" t="n">
        <v>14</v>
      </c>
      <c r="J1007" s="23" t="inlineStr">
        <is>
          <t>978-5-227-11013-8</t>
        </is>
      </c>
      <c r="K1007" s="23" t="inlineStr">
        <is>
          <t>84x108 1/32</t>
        </is>
      </c>
      <c r="L1007" s="23" t="inlineStr">
        <is>
          <t>тв</t>
        </is>
      </c>
      <c r="M1007" s="23" t="n">
        <v>288</v>
      </c>
      <c r="N1007" s="23" t="n">
        <v>2025</v>
      </c>
      <c r="O1007" s="23" t="n">
        <v>298</v>
      </c>
      <c r="P1007" s="23" t="n"/>
      <c r="Q1007" s="23" t="n"/>
      <c r="R1007" s="25" t="inlineStr">
        <is>
          <t>Двадцать лет каждое воскресенье идет в прямом эфире радиопередача «Скорая кулинарная помощь». В ней Михаил Спичка принимает вопросы от слушателей, а Илья Лазерсон на них отвечает. Категории вопросов самые разные. От выбора продуктов до способов и сроков хранения. Как выбрать мясо для шашлыка? Как определить спелость авокадо? Можно ли пить коньяк, купленный еще при Брежневе? Спрашивают, конечно, и о правилах приготовления тех или иных блюд, о составе и соотношении ингредиентов в рецепте..._x000D_
Отвечая на поставленные вопросы, авторы дарят вам необычную, «вкусную» книгу, в которой дают массу полезных кулинарных советов на все случаи жизни в будни и праздники. Вы узнаете о простейших способах приготовления пищи, о новых тенденциях в мире кулинарии, получите оригинальные рецепты. В книге прокомментированы многочисленные ошибки, неточности огромного количества издаваемых нынче кулинарных книг, кулинарных разделов глянцевых журналов, изданий попроще и Интернете..._x000D_
Авторы предлагают отнестись к приготовлению блюд с фантазией и выдумкой. Их простые советы и рекомендации окажут вам скорую и эффективную кулинарную помощь.</t>
        </is>
      </c>
      <c r="S1007" s="26">
        <f>HYPERLINK("http://www.cnpol.ru/covers/21637.jpg","фото на сайте")</f>
        <v/>
      </c>
    </row>
    <row r="1008" ht="50.1" customHeight="1" s="3">
      <c r="A1008" s="23" t="n"/>
      <c r="B1008" s="24" t="inlineStr">
        <is>
          <t>12540</t>
        </is>
      </c>
      <c r="C1008" s="23" t="inlineStr">
        <is>
          <t>ЛЕГЕНДЫ</t>
        </is>
      </c>
      <c r="D1008" s="23" t="inlineStr">
        <is>
          <t>Троиси Л.</t>
        </is>
      </c>
      <c r="E1008" s="23" t="inlineStr">
        <is>
          <t>Дочь по крови</t>
        </is>
      </c>
      <c r="F1008" s="23" t="n">
        <v>2</v>
      </c>
      <c r="G1008" s="23" t="n">
        <v>508</v>
      </c>
      <c r="H1008" s="23" t="n">
        <v>10</v>
      </c>
      <c r="I1008" s="23" t="n">
        <v>14</v>
      </c>
      <c r="J1008" s="23" t="inlineStr">
        <is>
          <t>978-5-227-02610-1</t>
        </is>
      </c>
      <c r="K1008" s="23" t="inlineStr">
        <is>
          <t>82x108 1/32</t>
        </is>
      </c>
      <c r="L1008" s="23" t="inlineStr">
        <is>
          <t>тв</t>
        </is>
      </c>
      <c r="M1008" s="23" t="n">
        <v>318</v>
      </c>
      <c r="N1008" s="23" t="n">
        <v>2011</v>
      </c>
      <c r="O1008" s="23" t="n">
        <v>356</v>
      </c>
      <c r="P1008" s="23" t="n"/>
      <c r="Q1008" s="23" t="n"/>
      <c r="R1008" s="25" t="inlineStr">
        <is>
          <t>Адхара пытается, но не может убежать от своего предназначения. Но однажды ей приходится признать, что оно стоит выше любви, дружбы и счастья, если никто, кроме нее, Посвященной, не может спасти Всплывший Мир от гибели. Рано или поздно придет час решающей битвы между добром и злом, между Адхарой и Амхалом...</t>
        </is>
      </c>
      <c r="S1008" s="26">
        <f>HYPERLINK("http://www.cnpol.ru/covers/12540.jpg","фото на сайте")</f>
        <v/>
      </c>
    </row>
    <row r="1009" ht="50.1" customHeight="1" s="3">
      <c r="A1009" s="23" t="n"/>
      <c r="B1009" s="24" t="inlineStr">
        <is>
          <t>13200</t>
        </is>
      </c>
      <c r="C1009" s="23" t="inlineStr">
        <is>
          <t>ЛЕГЕНДЫ</t>
        </is>
      </c>
      <c r="D1009" s="23" t="inlineStr">
        <is>
          <t>Троиси Л.</t>
        </is>
      </c>
      <c r="E1009" s="23" t="inlineStr">
        <is>
          <t>Последние герои</t>
        </is>
      </c>
      <c r="F1009" s="23" t="n">
        <v>3</v>
      </c>
      <c r="G1009" s="23" t="n">
        <v>508</v>
      </c>
      <c r="H1009" s="23" t="n">
        <v>10</v>
      </c>
      <c r="I1009" s="23" t="n">
        <v>14</v>
      </c>
      <c r="J1009" s="23" t="inlineStr">
        <is>
          <t>978-5-227-03193-8</t>
        </is>
      </c>
      <c r="K1009" s="23" t="inlineStr">
        <is>
          <t>84x108 1/32</t>
        </is>
      </c>
      <c r="L1009" s="23" t="inlineStr">
        <is>
          <t>тв</t>
        </is>
      </c>
      <c r="M1009" s="23" t="n">
        <v>351</v>
      </c>
      <c r="N1009" s="23" t="n">
        <v>2012</v>
      </c>
      <c r="O1009" s="23" t="n">
        <v>290</v>
      </c>
      <c r="P1009" s="23" t="n"/>
      <c r="Q1009" s="23" t="n"/>
      <c r="R1009" s="25" t="n"/>
      <c r="S1009" s="26">
        <f>HYPERLINK("http://www.cnpol.ru/covers/13200.jpg","фото на сайте")</f>
        <v/>
      </c>
    </row>
    <row r="1010" ht="50.1" customHeight="1" s="3">
      <c r="A1010" s="23" t="n"/>
      <c r="B1010" s="24" t="inlineStr">
        <is>
          <t>20681</t>
        </is>
      </c>
      <c r="C1010" s="23" t="inlineStr">
        <is>
          <t>ЛИРИКА</t>
        </is>
      </c>
      <c r="D1010" s="23" t="inlineStr">
        <is>
          <t>Есенин С.А</t>
        </is>
      </c>
      <c r="E1010" s="23" t="inlineStr">
        <is>
          <t>Как умеет любить хулиган…</t>
        </is>
      </c>
      <c r="F1010" s="23" t="inlineStr">
        <is>
          <t>        </t>
        </is>
      </c>
      <c r="G1010" s="23" t="n">
        <v>379</v>
      </c>
      <c r="H1010" s="23" t="n">
        <v>10</v>
      </c>
      <c r="I1010" s="23" t="n">
        <v>20</v>
      </c>
      <c r="J1010" s="23" t="inlineStr">
        <is>
          <t>978-5-227-10340-6</t>
        </is>
      </c>
      <c r="K1010" s="23" t="inlineStr">
        <is>
          <t>70x90 1/32</t>
        </is>
      </c>
      <c r="L1010" s="23" t="inlineStr">
        <is>
          <t>тв</t>
        </is>
      </c>
      <c r="M1010" s="23" t="n">
        <v>192</v>
      </c>
      <c r="N1010" s="23" t="n">
        <v>2023</v>
      </c>
      <c r="O1010" s="23" t="n">
        <v>170</v>
      </c>
      <c r="P1010" s="23" t="n"/>
      <c r="Q1010" s="23" t="n"/>
      <c r="R1010" s="25" t="inlineStr">
        <is>
          <t>«Сергей Есенин не столько человек, сколько орган, созданный природой исключительно для поэзии, для выражения неисчерпаемой „печали полей“, любви ко всему живому в мире и милосердия, которое — более всего иного — заслужено человеком», — писал Максим Горький о прекрасном русском поэте, сборник произведений которого мы предлагаем вам сегодня. Читайте неповторимую любовную лирику Есенина, ведь она занимает особое место в его поэзии. За недолгие тридцать лет жизни автор создал великие произведения, которые вошли в жизнь каждого человека, любящего прекрасное…</t>
        </is>
      </c>
      <c r="S1010" s="26">
        <f>HYPERLINK("http://www.cnpol.ru/covers/20681.jpg","фото на сайте")</f>
        <v/>
      </c>
    </row>
    <row r="1011" ht="50.1" customHeight="1" s="3">
      <c r="A1011" s="23" t="n"/>
      <c r="B1011" s="24" t="inlineStr">
        <is>
          <t>19480</t>
        </is>
      </c>
      <c r="C1011" s="23" t="inlineStr">
        <is>
          <t>ЛИРИКА</t>
        </is>
      </c>
      <c r="D1011" s="23" t="inlineStr">
        <is>
          <t>Байрон Д.Г.</t>
        </is>
      </c>
      <c r="E1011" s="23" t="inlineStr">
        <is>
          <t>Когда я прижимал тебя к груди своей…</t>
        </is>
      </c>
      <c r="F1011" s="23" t="inlineStr">
        <is>
          <t>        </t>
        </is>
      </c>
      <c r="G1011" s="23" t="n">
        <v>428</v>
      </c>
      <c r="H1011" s="23" t="n">
        <v>10</v>
      </c>
      <c r="I1011" s="23" t="n">
        <v>18</v>
      </c>
      <c r="J1011" s="23" t="inlineStr">
        <is>
          <t>978-5-227-09184-0</t>
        </is>
      </c>
      <c r="K1011" s="23" t="inlineStr">
        <is>
          <t>70x90 1/32</t>
        </is>
      </c>
      <c r="L1011" s="23" t="inlineStr">
        <is>
          <t>тв</t>
        </is>
      </c>
      <c r="M1011" s="23" t="n">
        <v>287</v>
      </c>
      <c r="N1011" s="23" t="n">
        <v>2020</v>
      </c>
      <c r="O1011" s="23" t="n">
        <v>220</v>
      </c>
      <c r="P1011" s="23" t="n"/>
      <c r="Q1011" s="23" t="n"/>
      <c r="R1011" s="25" t="inlineStr">
        <is>
          <t>«Поэзия Байрона, — это вопль страдания, это жалоба, но жалоба гордая, которая скорее дает, чем просит, скорее снисходит, чем умоляет…» — писал Виссарион Белинский о творчестве великого английского поэта, родоначальника названного в его честь течения в европейской литературе XIX в._x000D_
В России Байрона любят с первых дней, как только его творчество стало у нас известно. Им взахлеб зачитывались лучшие умы нашей страны, и лучшие поэты переводили его произведения. Сегодня мы предлагаем вашему вниманию сборник лирики Байрона в переводах русских поэтов: Лермонтова, Блока, Брюсова, Плещеева, Фета…</t>
        </is>
      </c>
      <c r="S1011" s="26">
        <f>HYPERLINK("http://www.cnpol.ru/covers/19480.jpg","фото на сайте")</f>
        <v/>
      </c>
    </row>
    <row r="1012" ht="50.1" customHeight="1" s="3">
      <c r="A1012" s="23" t="n"/>
      <c r="B1012" s="24" t="inlineStr">
        <is>
          <t>20314</t>
        </is>
      </c>
      <c r="C1012" s="23" t="inlineStr">
        <is>
          <t>ЛИРИКА</t>
        </is>
      </c>
      <c r="D1012" s="23" t="inlineStr">
        <is>
          <t>Пастернак Б.Л.</t>
        </is>
      </c>
      <c r="E1012" s="23" t="inlineStr">
        <is>
          <t>Любить иных тяжелый крест…</t>
        </is>
      </c>
      <c r="F1012" s="23" t="inlineStr">
        <is>
          <t>        </t>
        </is>
      </c>
      <c r="G1012" s="23" t="n">
        <v>512</v>
      </c>
      <c r="H1012" s="23" t="n">
        <v>10</v>
      </c>
      <c r="I1012" s="23" t="n">
        <v>16</v>
      </c>
      <c r="J1012" s="23" t="inlineStr">
        <is>
          <t>978-5-227-09523-7</t>
        </is>
      </c>
      <c r="K1012" s="23" t="inlineStr">
        <is>
          <t>70x90 1/32</t>
        </is>
      </c>
      <c r="L1012" s="23" t="inlineStr">
        <is>
          <t>тв</t>
        </is>
      </c>
      <c r="M1012" s="23" t="n">
        <v>319</v>
      </c>
      <c r="N1012" s="23" t="n">
        <v>2022</v>
      </c>
      <c r="O1012" s="23" t="n">
        <v>246</v>
      </c>
      <c r="P1012" s="23" t="n"/>
      <c r="Q1012" s="23" t="n"/>
      <c r="R1012" s="25" t="inlineStr">
        <is>
          <t>«Где человек, до конца понявший Пастернака? Пастернак — это тайность, иносказание, шифр», — сказала про Пастернака Марина Цветаева. Борис Пастернак — великий русский поэт, прозаик, писатель, лауреат Нобелевской премии по литературе. Несмотря на колоссальный вклад, который Борис Леонидович внес в советскую литературу, после написания романа «Доктор Живаго» на него началась настоящая травля… Позже, в 1987 году, был реабилитирован, и его посмертно вернули в Союз писателей СССР. Творчество этого поэта вызывало изумление у современников. Его поэтика одновременно проста и сложна, сдержанна и эмоциональна, понятна и изысканна. Она восхищает многообразием ассоциаций и звуков… Борис Пастернак всегда нравился женщинам, а они ему. Он был влюбчив и не мог творить без романтического флера. Легкого, возвышенного, окрыляющего и всегда чуточку нового. Он был увлекающимся человеком, Поэтом с большой буквы, ему нужно было гореть, любить. Любовь в лирике Пастернака присутствует повсеместно. Прочтите, прикоснитесь к строкам, которые хочется повторять снова и снова…</t>
        </is>
      </c>
      <c r="S1012" s="26">
        <f>HYPERLINK("http://www.cnpol.ru/covers/20314.jpg","фото на сайте")</f>
        <v/>
      </c>
    </row>
    <row r="1013" ht="50.1" customHeight="1" s="3">
      <c r="A1013" s="23" t="n"/>
      <c r="B1013" s="24" t="inlineStr">
        <is>
          <t>18985</t>
        </is>
      </c>
      <c r="C1013" s="23" t="inlineStr">
        <is>
          <t>ЛИРИКА</t>
        </is>
      </c>
      <c r="D1013" s="23" t="inlineStr">
        <is>
          <t>Лермонтов М.Ю.</t>
        </is>
      </c>
      <c r="E1013" s="23" t="inlineStr">
        <is>
          <t>Люблю, люблю одну!</t>
        </is>
      </c>
      <c r="F1013" s="23" t="inlineStr">
        <is>
          <t>        </t>
        </is>
      </c>
      <c r="G1013" s="23" t="n">
        <v>350</v>
      </c>
      <c r="H1013" s="23" t="n">
        <v>10</v>
      </c>
      <c r="I1013" s="23" t="n">
        <v>24</v>
      </c>
      <c r="J1013" s="23" t="inlineStr">
        <is>
          <t>978-5-227-08856-7</t>
        </is>
      </c>
      <c r="K1013" s="23" t="inlineStr">
        <is>
          <t>70x90 1/32</t>
        </is>
      </c>
      <c r="L1013" s="23" t="inlineStr">
        <is>
          <t>тв</t>
        </is>
      </c>
      <c r="M1013" s="23" t="n">
        <v>192</v>
      </c>
      <c r="N1013" s="23" t="n">
        <v>2019</v>
      </c>
      <c r="O1013" s="23" t="n">
        <v>166</v>
      </c>
      <c r="P1013" s="23" t="n"/>
      <c r="Q1013" s="23" t="n"/>
      <c r="R1013" s="25" t="inlineStr">
        <is>
          <t>«Какие силы были у этого человека… Каждое его слово было словом человека власть имеющего… Вот в ком было это вечное, сильное искание истины._x000D_
Если бы этот мальчик остался жив, не нужны были бы ни я, ни Достоевский…» — сказал о Лермонтове Лев Толстой. Сегодня мы вновь и вновь обращаемся к неповторимой любовной лирике одного из великих гениев русской литературы…_x000D_
Любовь в стихах Михаила Юрьевича Лермонтова так возвышенна и чиста, что каждый человек, прочитавший его бессмертные произведения, переполняется удивительными возвышенными чувствами и неизбежно влюбляется в ту, о ком говорит автор. Любовная лирика Лермонтова — это вечный поиск идеала в любви и бесконечная, сладкая мука, которая наполняет жизнь разнообразием красок.</t>
        </is>
      </c>
      <c r="S1013" s="26">
        <f>HYPERLINK("http://www.cnpol.ru/covers/18985.jpg","фото на сайте")</f>
        <v/>
      </c>
    </row>
    <row r="1014" ht="50.1" customHeight="1" s="3">
      <c r="A1014" s="23" t="n"/>
      <c r="B1014" s="24" t="inlineStr">
        <is>
          <t>18984</t>
        </is>
      </c>
      <c r="C1014" s="23" t="inlineStr">
        <is>
          <t>ЛИРИКА</t>
        </is>
      </c>
      <c r="D1014" s="23" t="inlineStr">
        <is>
          <t>Пушкин А.С.</t>
        </is>
      </c>
      <c r="E1014" s="23" t="inlineStr">
        <is>
          <t>Мой ангел, как я вас люблю!</t>
        </is>
      </c>
      <c r="F1014" s="23" t="inlineStr">
        <is>
          <t>        </t>
        </is>
      </c>
      <c r="G1014" s="23" t="n">
        <v>350</v>
      </c>
      <c r="H1014" s="23" t="n">
        <v>10</v>
      </c>
      <c r="I1014" s="23" t="n">
        <v>24</v>
      </c>
      <c r="J1014" s="23" t="inlineStr">
        <is>
          <t>978-5-227-08759-1</t>
        </is>
      </c>
      <c r="K1014" s="23" t="inlineStr">
        <is>
          <t>70x90 1/32</t>
        </is>
      </c>
      <c r="L1014" s="23" t="inlineStr">
        <is>
          <t>тв</t>
        </is>
      </c>
      <c r="M1014" s="23" t="n">
        <v>192</v>
      </c>
      <c r="N1014" s="23" t="n">
        <v>2019</v>
      </c>
      <c r="O1014" s="23" t="n">
        <v>166</v>
      </c>
      <c r="P1014" s="23" t="n"/>
      <c r="Q1014" s="23" t="n"/>
      <c r="R1014" s="25" t="n"/>
      <c r="S1014" s="26">
        <f>HYPERLINK("http://www.cnpol.ru/covers/18984.jpg","фото на сайте")</f>
        <v/>
      </c>
    </row>
    <row r="1015" ht="50.1" customHeight="1" s="3">
      <c r="A1015" s="23" t="n"/>
      <c r="B1015" s="24" t="inlineStr">
        <is>
          <t>19380</t>
        </is>
      </c>
      <c r="C1015" s="23" t="inlineStr">
        <is>
          <t>ЛИРИКА</t>
        </is>
      </c>
      <c r="D1015" s="23" t="inlineStr">
        <is>
          <t>Тютчев Ф.И.</t>
        </is>
      </c>
      <c r="E1015" s="23" t="inlineStr">
        <is>
          <t>Не раз ты слышала признанье…</t>
        </is>
      </c>
      <c r="F1015" s="23" t="inlineStr">
        <is>
          <t>        </t>
        </is>
      </c>
      <c r="G1015" s="23" t="n">
        <v>428</v>
      </c>
      <c r="H1015" s="23" t="n">
        <v>10</v>
      </c>
      <c r="I1015" s="23" t="n">
        <v>32</v>
      </c>
      <c r="J1015" s="23" t="inlineStr">
        <is>
          <t>978-5-227-09018-8</t>
        </is>
      </c>
      <c r="K1015" s="23" t="inlineStr">
        <is>
          <t>70x90 1/32</t>
        </is>
      </c>
      <c r="L1015" s="23" t="inlineStr">
        <is>
          <t>тв</t>
        </is>
      </c>
      <c r="M1015" s="23" t="n">
        <v>288</v>
      </c>
      <c r="N1015" s="23" t="n">
        <v>2020</v>
      </c>
      <c r="O1015" s="23" t="n">
        <v>220</v>
      </c>
      <c r="P1015" s="23" t="n"/>
      <c r="Q1015" s="23" t="n"/>
      <c r="R1015" s="25" t="n"/>
      <c r="S1015" s="26">
        <f>HYPERLINK("http://www.cnpol.ru/covers/19380.jpg","фото на сайте")</f>
        <v/>
      </c>
    </row>
    <row r="1016" ht="50.1" customHeight="1" s="3">
      <c r="A1016" s="23" t="n"/>
      <c r="B1016" s="24" t="inlineStr">
        <is>
          <t>19570</t>
        </is>
      </c>
      <c r="C1016" s="23" t="inlineStr">
        <is>
          <t>ЛИРИКА</t>
        </is>
      </c>
      <c r="D1016" s="23" t="inlineStr">
        <is>
          <t>Ахматова А.А.</t>
        </is>
      </c>
      <c r="E1016" s="23" t="inlineStr">
        <is>
          <t>О, не вздыхайте обо мне</t>
        </is>
      </c>
      <c r="F1016" s="23" t="inlineStr">
        <is>
          <t>        </t>
        </is>
      </c>
      <c r="G1016" s="23" t="n">
        <v>428</v>
      </c>
      <c r="H1016" s="23" t="n">
        <v>10</v>
      </c>
      <c r="I1016" s="23" t="n">
        <v>16</v>
      </c>
      <c r="J1016" s="23" t="inlineStr">
        <is>
          <t>978-5-227-09448-3</t>
        </is>
      </c>
      <c r="K1016" s="23" t="inlineStr">
        <is>
          <t>70x90 1/32</t>
        </is>
      </c>
      <c r="L1016" s="23" t="inlineStr">
        <is>
          <t>тв</t>
        </is>
      </c>
      <c r="M1016" s="23" t="n">
        <v>320</v>
      </c>
      <c r="N1016" s="23" t="n">
        <v>2021</v>
      </c>
      <c r="O1016" s="23" t="n">
        <v>230</v>
      </c>
      <c r="P1016" s="23" t="n"/>
      <c r="Q1016" s="23" t="n"/>
      <c r="R1016" s="25" t="n"/>
      <c r="S1016" s="26">
        <f>HYPERLINK("http://www.cnpol.ru/covers/19570.jpg","фото на сайте")</f>
        <v/>
      </c>
    </row>
    <row r="1017" ht="50.1" customHeight="1" s="3">
      <c r="A1017" s="23" t="n"/>
      <c r="B1017" s="24" t="inlineStr">
        <is>
          <t>18983</t>
        </is>
      </c>
      <c r="C1017" s="23" t="inlineStr">
        <is>
          <t>ЛИРИКА</t>
        </is>
      </c>
      <c r="D1017" s="23" t="inlineStr">
        <is>
          <t>Блок А.А.</t>
        </is>
      </c>
      <c r="E1017" s="23" t="inlineStr">
        <is>
          <t>Предчувствую тебя…</t>
        </is>
      </c>
      <c r="F1017" s="23" t="inlineStr">
        <is>
          <t>        </t>
        </is>
      </c>
      <c r="G1017" s="23" t="n">
        <v>428</v>
      </c>
      <c r="H1017" s="23" t="n">
        <v>10</v>
      </c>
      <c r="I1017" s="23" t="n">
        <v>18</v>
      </c>
      <c r="J1017" s="23" t="inlineStr">
        <is>
          <t>978-5-227-08844-4</t>
        </is>
      </c>
      <c r="K1017" s="23" t="inlineStr">
        <is>
          <t>70x90 1/32</t>
        </is>
      </c>
      <c r="L1017" s="23" t="inlineStr">
        <is>
          <t>тв</t>
        </is>
      </c>
      <c r="M1017" s="23" t="n">
        <v>288</v>
      </c>
      <c r="N1017" s="23" t="n">
        <v>2019</v>
      </c>
      <c r="O1017" s="23" t="n">
        <v>220</v>
      </c>
      <c r="P1017" s="23" t="n"/>
      <c r="Q1017" s="23" t="n"/>
      <c r="R1017" s="25" t="n"/>
      <c r="S1017" s="26">
        <f>HYPERLINK("http://www.cnpol.ru/covers/18983.jpg","фото на сайте")</f>
        <v/>
      </c>
    </row>
    <row r="1018" ht="50.1" customHeight="1" s="3">
      <c r="A1018" s="23" t="n"/>
      <c r="B1018" s="24" t="inlineStr">
        <is>
          <t>19289</t>
        </is>
      </c>
      <c r="C1018" s="23" t="inlineStr">
        <is>
          <t>ЛИРИКА</t>
        </is>
      </c>
      <c r="D1018" s="23" t="inlineStr">
        <is>
          <t>Фет А.А.</t>
        </is>
      </c>
      <c r="E1018" s="23" t="inlineStr">
        <is>
          <t>Тебя, одну тебя люблю я и желаю!</t>
        </is>
      </c>
      <c r="F1018" s="23" t="inlineStr">
        <is>
          <t>        </t>
        </is>
      </c>
      <c r="G1018" s="23" t="n">
        <v>428</v>
      </c>
      <c r="H1018" s="23" t="n">
        <v>10</v>
      </c>
      <c r="I1018" s="23" t="n">
        <v>18</v>
      </c>
      <c r="J1018" s="23" t="inlineStr">
        <is>
          <t>978-5-227-08991-5</t>
        </is>
      </c>
      <c r="K1018" s="23" t="inlineStr">
        <is>
          <t>70x90 1/32</t>
        </is>
      </c>
      <c r="L1018" s="23" t="inlineStr">
        <is>
          <t>тв</t>
        </is>
      </c>
      <c r="M1018" s="23" t="n">
        <v>288</v>
      </c>
      <c r="N1018" s="23" t="n">
        <v>2020</v>
      </c>
      <c r="O1018" s="23" t="n">
        <v>214</v>
      </c>
      <c r="P1018" s="23" t="n"/>
      <c r="Q1018" s="23" t="n"/>
      <c r="R1018" s="25" t="n"/>
      <c r="S1018" s="26">
        <f>HYPERLINK("http://www.cnpol.ru/covers/19289.jpg","фото на сайте")</f>
        <v/>
      </c>
    </row>
    <row r="1019" ht="50.1" customHeight="1" s="3">
      <c r="A1019" s="23" t="n"/>
      <c r="B1019" s="24" t="inlineStr">
        <is>
          <t>19571</t>
        </is>
      </c>
      <c r="C1019" s="23" t="inlineStr">
        <is>
          <t>ЛИРИКА</t>
        </is>
      </c>
      <c r="D1019" s="23" t="inlineStr">
        <is>
          <t>Гумилев Н.С.</t>
        </is>
      </c>
      <c r="E1019" s="23" t="inlineStr">
        <is>
          <t>Я буду думать лишь о вас, о вас…</t>
        </is>
      </c>
      <c r="F1019" s="23" t="inlineStr">
        <is>
          <t>        </t>
        </is>
      </c>
      <c r="G1019" s="23" t="n">
        <v>428</v>
      </c>
      <c r="H1019" s="23" t="n">
        <v>10</v>
      </c>
      <c r="I1019" s="23" t="n">
        <v>16</v>
      </c>
      <c r="J1019" s="23" t="inlineStr">
        <is>
          <t>978-5-227-09445-2</t>
        </is>
      </c>
      <c r="K1019" s="23" t="inlineStr">
        <is>
          <t>70x90 1/32</t>
        </is>
      </c>
      <c r="L1019" s="23" t="inlineStr">
        <is>
          <t>тв</t>
        </is>
      </c>
      <c r="M1019" s="23" t="n">
        <v>320</v>
      </c>
      <c r="N1019" s="23" t="n">
        <v>2021</v>
      </c>
      <c r="O1019" s="23" t="n">
        <v>230</v>
      </c>
      <c r="P1019" s="23" t="n"/>
      <c r="Q1019" s="23" t="n"/>
      <c r="R1019" s="25" t="n"/>
      <c r="S1019" s="26">
        <f>HYPERLINK("http://www.cnpol.ru/covers/19571.jpg","фото на сайте")</f>
        <v/>
      </c>
    </row>
    <row r="1020" ht="50.1" customHeight="1" s="3">
      <c r="A1020" s="23" t="inlineStr">
        <is>
          <t>Д</t>
        </is>
      </c>
      <c r="B1020" s="24" t="inlineStr">
        <is>
          <t>21037</t>
        </is>
      </c>
      <c r="C1020" s="23" t="inlineStr">
        <is>
          <t>ЛИРИКА</t>
        </is>
      </c>
      <c r="D1020" s="23" t="inlineStr">
        <is>
          <t>Цветаева М.А</t>
        </is>
      </c>
      <c r="E1020" s="23" t="inlineStr">
        <is>
          <t>Я Вас люблю всю жизнь и каждый день</t>
        </is>
      </c>
      <c r="F1020" s="23" t="inlineStr">
        <is>
          <t>        </t>
        </is>
      </c>
      <c r="G1020" s="23" t="n">
        <v>512</v>
      </c>
      <c r="H1020" s="23" t="n">
        <v>10</v>
      </c>
      <c r="I1020" s="23" t="n">
        <v>18</v>
      </c>
      <c r="J1020" s="23" t="inlineStr">
        <is>
          <t>978-5-227-10589-9</t>
        </is>
      </c>
      <c r="K1020" s="23" t="inlineStr">
        <is>
          <t>70x90 1/32</t>
        </is>
      </c>
      <c r="L1020" s="23" t="inlineStr">
        <is>
          <t>тв</t>
        </is>
      </c>
      <c r="M1020" s="23" t="n">
        <v>288</v>
      </c>
      <c r="N1020" s="23" t="n">
        <v>2024</v>
      </c>
      <c r="O1020" s="23" t="n">
        <v>220</v>
      </c>
      <c r="P1020" s="23" t="n"/>
      <c r="Q1020" s="23" t="n"/>
      <c r="R1020" s="25" t="inlineStr">
        <is>
          <t>«Все дело в том, чтобы мы любили, чтобы у нас билось сердце — хотя бы разбивалось вдребезги! Я всегда разбивалась вдребезги, и все мои стихи — те самые серебряные сердечные дребезги» — слова одного из самых ярких и талантливых поэтов XX века Марины Цветаевой. Трогательные и дерзкие, кричащие и чуть слышные в звенящей тишине стихи Цветаевой написаны не разумом, а душой и сердцем. Ее бессмертные строфы полны внутренней свободы, лирической силы и неподдельной искренности. «Крупнее Цветаевой в нашем столетии нет поэта», — сказал Иосиф Бродский. Ее творчество знают и любят миллионы людей, и не только в России, но и по всему миру. Откройте книгу, окунитесь в волшебный мир поэзии Марины Цветаевой и насладитесь неповторимой любовной лирикой.</t>
        </is>
      </c>
      <c r="S1020" s="26">
        <f>HYPERLINK("http://www.cnpol.ru/covers/21037.jpg","фото на сайте")</f>
        <v/>
      </c>
    </row>
    <row r="1021" ht="50.1" customHeight="1" s="3">
      <c r="A1021" s="23" t="n"/>
      <c r="B1021" s="24" t="inlineStr">
        <is>
          <t>4460</t>
        </is>
      </c>
      <c r="C1021" s="23" t="inlineStr">
        <is>
          <t>ЛИС</t>
        </is>
      </c>
      <c r="D1021" s="23" t="inlineStr">
        <is>
          <t>Алмазов Б.</t>
        </is>
      </c>
      <c r="E1021" s="23" t="inlineStr">
        <is>
          <t>Не только музыка к словам Мемуары под гитару</t>
        </is>
      </c>
      <c r="F1021" s="23" t="inlineStr">
        <is>
          <t>        </t>
        </is>
      </c>
      <c r="G1021" s="23" t="n">
        <v>408</v>
      </c>
      <c r="H1021" s="23" t="n">
        <v>10</v>
      </c>
      <c r="I1021" s="23" t="n">
        <v>10</v>
      </c>
      <c r="J1021" s="23" t="inlineStr">
        <is>
          <t>5-9524-0669-6</t>
        </is>
      </c>
      <c r="K1021" s="23" t="inlineStr">
        <is>
          <t>84x108 1/32</t>
        </is>
      </c>
      <c r="L1021" s="23" t="inlineStr">
        <is>
          <t>тв</t>
        </is>
      </c>
      <c r="M1021" s="23" t="n">
        <v>543</v>
      </c>
      <c r="N1021" s="23" t="n">
        <v>2003</v>
      </c>
      <c r="O1021" s="23" t="n">
        <v>532</v>
      </c>
      <c r="P1021" s="23" t="n"/>
      <c r="Q1021" s="23" t="n"/>
      <c r="R1021" s="25" t="n"/>
      <c r="S1021" s="26">
        <f>HYPERLINK("http://www.cnpol.ru/covers/4460.jpg","фото на сайте")</f>
        <v/>
      </c>
    </row>
    <row r="1022" ht="50.1" customHeight="1" s="3">
      <c r="A1022" s="23" t="inlineStr">
        <is>
          <t>Д</t>
        </is>
      </c>
      <c r="B1022" s="24" t="inlineStr">
        <is>
          <t>21552</t>
        </is>
      </c>
      <c r="C1022" s="23" t="inlineStr">
        <is>
          <t>ЛИС НОВ</t>
        </is>
      </c>
      <c r="D1022" s="23" t="inlineStr">
        <is>
          <t>Альджеранов Х.</t>
        </is>
      </c>
      <c r="E1022" s="23" t="inlineStr">
        <is>
          <t>Анна Павлова. Десять лет из жизни звезды русского балета</t>
        </is>
      </c>
      <c r="F1022" s="23" t="inlineStr">
        <is>
          <t>        </t>
        </is>
      </c>
      <c r="G1022" s="27" t="n">
        <v>1033</v>
      </c>
      <c r="H1022" s="23" t="n">
        <v>10</v>
      </c>
      <c r="I1022" s="23" t="n">
        <v>12</v>
      </c>
      <c r="J1022" s="23" t="inlineStr">
        <is>
          <t>978-5-9524-6351-6</t>
        </is>
      </c>
      <c r="K1022" s="23" t="inlineStr">
        <is>
          <t>84x108 1/32</t>
        </is>
      </c>
      <c r="L1022" s="23" t="inlineStr">
        <is>
          <t>тв</t>
        </is>
      </c>
      <c r="M1022" s="23" t="n">
        <v>287</v>
      </c>
      <c r="N1022" s="23" t="n">
        <v>2025</v>
      </c>
      <c r="O1022" s="23" t="n">
        <v>467</v>
      </c>
      <c r="P1022" s="23" t="n"/>
      <c r="Q1022" s="23" t="n"/>
      <c r="R1022" s="25" t="inlineStr">
        <is>
          <t>Известный английский танцовщик Харкурт Альджеранов, выступавший с Анной Павловой на одной сцене, вспоминает о десяти последних годах жизни великой балерины, о шедеврах, на которые она вдохновляла композиторов и балетмейстеров, о том, какой божественная Анна была в жизни. Альджеранов рассказывает о ее труппе и совместных гастролях по странам Европы, Америки и Азии.</t>
        </is>
      </c>
      <c r="S1022" s="26">
        <f>HYPERLINK("http://www.cnpol.ru/covers/21552.jpg","фото на сайте")</f>
        <v/>
      </c>
    </row>
    <row r="1023" ht="50.1" customHeight="1" s="3">
      <c r="A1023" s="23" t="inlineStr">
        <is>
          <t>Д</t>
        </is>
      </c>
      <c r="B1023" s="24" t="inlineStr">
        <is>
          <t>21864</t>
        </is>
      </c>
      <c r="C1023" s="23" t="inlineStr">
        <is>
          <t>ЛИС НОВ</t>
        </is>
      </c>
      <c r="D1023" s="23" t="inlineStr">
        <is>
          <t>Плевицкая Н.В.</t>
        </is>
      </c>
      <c r="E1023" s="23" t="inlineStr">
        <is>
          <t>Мой путь с песней: Воспоминания звезды эстрады начала ХХ века, исполнительницы народных песен</t>
        </is>
      </c>
      <c r="F1023" s="23" t="inlineStr">
        <is>
          <t>        </t>
        </is>
      </c>
      <c r="G1023" s="23" t="n">
        <v>745</v>
      </c>
      <c r="H1023" s="23" t="n">
        <v>10</v>
      </c>
      <c r="I1023" s="23" t="n">
        <v>5</v>
      </c>
      <c r="J1023" s="23" t="inlineStr">
        <is>
          <t>978-5-227-10878-4</t>
        </is>
      </c>
      <c r="K1023" s="23" t="inlineStr">
        <is>
          <t>84x108 1/32</t>
        </is>
      </c>
      <c r="L1023" s="23" t="inlineStr">
        <is>
          <t>тв</t>
        </is>
      </c>
      <c r="M1023" s="23" t="n">
        <v>191</v>
      </c>
      <c r="N1023" s="23" t="n">
        <v>2025</v>
      </c>
      <c r="O1023" s="23" t="n">
        <v>212</v>
      </c>
      <c r="P1023" s="23" t="n"/>
      <c r="Q1023" s="23" t="n"/>
      <c r="R1023" s="25" t="inlineStr">
        <is>
          <t>Воспоминания уникальной певицы, самородка, исполнительницы русской народной песни Надежды Плевицкой-Винниковой, сумевшей подняться в начале ХХ века от сельских хороводов до столичной сцены, стать любимой певицей императора Николая II и примой петербургской эстрады. Оглушительный успех, поклонники, головокружительные романы — все это было в жизни Плевицкой, но верность своему родному селу и семейному кругу она сохранила навсегда. Революция многое изменила — Надежда Плевицкая с мужем, белым генералом Николаем Скоблиным, оказалась  в эмиграции, но и там благодаря таланту ее ждал большой успех, гастроли по европейским столицам, толпы почитателей – прежних, из Российской империи, и новых… Поэтому настоящим взрывом для парижского общества оказался арест знаменитой певицы за… шпионаж в пользу СССР. Она не смогла забыть родину и отказаться от нее._x000D_
В своих мемуарах, опубликованных в эмиграции, Надежда Плевицкая с юмором и душевным теплом рассказала о своем пути на большую эстраду, родном доме, матери, близких, встречах с императором и его семьей, Первой мировой войне, ставшей началом всех бед и потерь… Вот только агентурная работа певицы осталась за рамками повествования.</t>
        </is>
      </c>
      <c r="S1023" s="26">
        <f>HYPERLINK("http://www.cnpol.ru/covers/21864.jpg","фото на сайте")</f>
        <v/>
      </c>
    </row>
    <row r="1024" ht="50.1" customHeight="1" s="3">
      <c r="A1024" s="23" t="inlineStr">
        <is>
          <t>Д</t>
        </is>
      </c>
      <c r="B1024" s="24" t="inlineStr">
        <is>
          <t>21453</t>
        </is>
      </c>
      <c r="C1024" s="23" t="inlineStr">
        <is>
          <t>ЛИС НОВ</t>
        </is>
      </c>
      <c r="D1024" s="23" t="inlineStr">
        <is>
          <t>Дункан А.</t>
        </is>
      </c>
      <c r="E1024" s="23" t="inlineStr">
        <is>
          <t>Моя жизнь</t>
        </is>
      </c>
      <c r="F1024" s="23" t="inlineStr">
        <is>
          <t>        </t>
        </is>
      </c>
      <c r="G1024" s="27" t="n">
        <v>1069</v>
      </c>
      <c r="H1024" s="23" t="n">
        <v>10</v>
      </c>
      <c r="I1024" s="23" t="n">
        <v>5</v>
      </c>
      <c r="J1024" s="23" t="inlineStr">
        <is>
          <t>978-5-9524-6334-9</t>
        </is>
      </c>
      <c r="K1024" s="23" t="inlineStr">
        <is>
          <t>84x108 1/32</t>
        </is>
      </c>
      <c r="L1024" s="23" t="inlineStr">
        <is>
          <t>тв</t>
        </is>
      </c>
      <c r="M1024" s="23" t="n">
        <v>351</v>
      </c>
      <c r="N1024" s="23" t="n">
        <v>2025</v>
      </c>
      <c r="O1024" s="23" t="n">
        <v>344</v>
      </c>
      <c r="P1024" s="23" t="n"/>
      <c r="Q1024" s="23" t="n"/>
      <c r="R1024" s="25" t="inlineStr">
        <is>
          <t>В этой книге неповторимая Айседора Дункан рассказывает о себе, о конце XIX века — времени рождения нового, изменения привычных форм. Она смело ломала признанные каноны рафинированного искусства балета, создавая невиданный доселе танец. Духовная свобода, способность выразить в танце внутренние переживания — вот чем жила эта удивительная женщина._x000D_
Страстные романы, трагическая гибель детей, приезд в Советскую Россию... Как танец Айседоры, так и ее судьба напоминала костер на ветру. Чем сильнее ветер, тем ярче пламя и короче жизнь...</t>
        </is>
      </c>
      <c r="S1024" s="26">
        <f>HYPERLINK("http://www.cnpol.ru/covers/21453.jpg","фото на сайте")</f>
        <v/>
      </c>
    </row>
    <row r="1025" ht="50.1" customHeight="1" s="3">
      <c r="A1025" s="23" t="inlineStr">
        <is>
          <t>Д</t>
        </is>
      </c>
      <c r="B1025" s="24" t="inlineStr">
        <is>
          <t>21231</t>
        </is>
      </c>
      <c r="C1025" s="23" t="inlineStr">
        <is>
          <t>ЛИС НОВ</t>
        </is>
      </c>
      <c r="D1025" s="23" t="inlineStr">
        <is>
          <t>Тэффи Н.А.</t>
        </is>
      </c>
      <c r="E1025" s="23" t="inlineStr">
        <is>
          <t>Моя летопись. Воспоминания</t>
        </is>
      </c>
      <c r="F1025" s="23" t="inlineStr">
        <is>
          <t>        </t>
        </is>
      </c>
      <c r="G1025" s="27" t="n">
        <v>1110</v>
      </c>
      <c r="H1025" s="23" t="n">
        <v>10</v>
      </c>
      <c r="I1025" s="23" t="n">
        <v>10</v>
      </c>
      <c r="J1025" s="23" t="inlineStr">
        <is>
          <t>978-5-227-10436-6</t>
        </is>
      </c>
      <c r="K1025" s="23" t="inlineStr">
        <is>
          <t>84x108 1/32</t>
        </is>
      </c>
      <c r="L1025" s="23" t="inlineStr">
        <is>
          <t>тв</t>
        </is>
      </c>
      <c r="M1025" s="23" t="n">
        <v>383</v>
      </c>
      <c r="N1025" s="23" t="n">
        <v>2024</v>
      </c>
      <c r="O1025" s="23" t="n">
        <v>424</v>
      </c>
      <c r="P1025" s="23" t="n"/>
      <c r="Q1025" s="23" t="n"/>
      <c r="R1025" s="25" t="inlineStr">
        <is>
          <t>Надежда Александровна Тэффи (настоящая фамилия Лохвицкая) была настоящей литературной звездой в России начала ХХ века. Острый ум, элегантный стиль, способность видеть яркие стороны жизни и делиться своими наблюдениями с читателем делали ее произведения буквально всенародно любимыми. Но как это часто бывает у мастеров ироничной прозы, смех Тэффи был смешан со слезами. Особенно заметно это в воспоминаниях писательницы — о старой, навсегда ушедшей России, о Гражданской войне, о вынужденном пути в эмиграцию, о друзьях и знакомых из числа творческой интеллигенции и их душевных метаниях и непростом выборе своей судьбы в революционной России…</t>
        </is>
      </c>
      <c r="S1025" s="26">
        <f>HYPERLINK("http://www.cnpol.ru/covers/21231.jpg","фото на сайте")</f>
        <v/>
      </c>
    </row>
    <row r="1026" ht="50.1" customHeight="1" s="3">
      <c r="A1026" s="23" t="inlineStr">
        <is>
          <t>Д</t>
        </is>
      </c>
      <c r="B1026" s="24" t="inlineStr">
        <is>
          <t>22292</t>
        </is>
      </c>
      <c r="C1026" s="23" t="inlineStr">
        <is>
          <t>ЛИС НОВ</t>
        </is>
      </c>
      <c r="D1026" s="23" t="inlineStr">
        <is>
          <t>Богуславская З.Б.</t>
        </is>
      </c>
      <c r="E1026" s="23" t="inlineStr">
        <is>
          <t>Предсказание</t>
        </is>
      </c>
      <c r="F1026" s="23" t="inlineStr">
        <is>
          <t>        </t>
        </is>
      </c>
      <c r="G1026" s="27" t="n">
        <v>1762</v>
      </c>
      <c r="H1026" s="23" t="n">
        <v>10</v>
      </c>
      <c r="I1026" s="23" t="n">
        <v>6</v>
      </c>
      <c r="J1026" s="23" t="inlineStr">
        <is>
          <t>978-5-227-11411-2</t>
        </is>
      </c>
      <c r="K1026" s="23" t="inlineStr">
        <is>
          <t>60x90 1/16</t>
        </is>
      </c>
      <c r="L1026" s="23" t="inlineStr">
        <is>
          <t>тв</t>
        </is>
      </c>
      <c r="M1026" s="23" t="n">
        <v>623</v>
      </c>
      <c r="N1026" s="23" t="n">
        <v>2026</v>
      </c>
      <c r="O1026" s="23" t="n">
        <v>750</v>
      </c>
      <c r="P1026" s="23" t="n"/>
      <c r="Q1026" s="23" t="n"/>
      <c r="R1026" s="25" t="inlineStr">
        <is>
          <t>Зоя Богуславская — прозаик, драматург, автор многих культурных проектов, создатель премии «Триумф», муза поэта Андрея Вознесенского. Она встречалась со многими талантливыми людьми ХХ века, много писала и о своих друзьях-товарищах. Огромную популярность имели ее знаменитые эссе «Барышников и Лайза. Миннелли и Миша», «Время Любимова и Высоцкий», воспоминания о встречах с Марком Шагалом, Брижит Бардо, Аркадием Райкиным и многими другими.</t>
        </is>
      </c>
      <c r="S1026" s="26">
        <f>HYPERLINK("http://www.cnpol.ru/covers/22292.jpg","фото на сайте")</f>
        <v/>
      </c>
    </row>
    <row r="1027" ht="50.1" customHeight="1" s="3">
      <c r="A1027" s="23" t="inlineStr">
        <is>
          <t>Д</t>
        </is>
      </c>
      <c r="B1027" s="24" t="inlineStr">
        <is>
          <t>21975</t>
        </is>
      </c>
      <c r="C1027" s="23" t="inlineStr">
        <is>
          <t>ЛИС НОВ</t>
        </is>
      </c>
      <c r="D1027" s="23" t="inlineStr">
        <is>
          <t>Карсавина Т.П.</t>
        </is>
      </c>
      <c r="E1027" s="23" t="inlineStr">
        <is>
          <t>Театральная улица. Воспоминания великой русской балерины</t>
        </is>
      </c>
      <c r="F1027" s="23" t="inlineStr">
        <is>
          <t>        </t>
        </is>
      </c>
      <c r="G1027" s="27" t="n">
        <v>1026</v>
      </c>
      <c r="H1027" s="23" t="n">
        <v>10</v>
      </c>
      <c r="I1027" s="23" t="n">
        <v>10</v>
      </c>
      <c r="J1027" s="23" t="inlineStr">
        <is>
          <t>978-5-9524-6608-1</t>
        </is>
      </c>
      <c r="K1027" s="23" t="inlineStr">
        <is>
          <t>84x108 1/32</t>
        </is>
      </c>
      <c r="L1027" s="23" t="inlineStr">
        <is>
          <t>тв</t>
        </is>
      </c>
      <c r="M1027" s="23" t="n">
        <v>319</v>
      </c>
      <c r="N1027" s="23" t="n">
        <v>2026</v>
      </c>
      <c r="O1027" s="23" t="n">
        <v>370</v>
      </c>
      <c r="P1027" s="23" t="n"/>
      <c r="Q1027" s="23" t="n"/>
      <c r="R1027" s="25" t="inlineStr">
        <is>
          <t>Воспоминания Тамары Карсавиной, одной из звезд легендарной труппы Сергея Дягилева, в составе которой были Нижинский и Павлова, стали признанной классикой литературы о балете. Детство, уроки танцев, годы обучения в Императорском балетном училище и последовавшие за ними триумфальные выступления в Мариинском, а затем в лучших театрах европейских столиц — все, что повлияло на становление величайшей балерины мира, отражено на этих страницах. Ярко и образно рассказывает балерина о своей жизни и замечательных людях, окружавших ее.</t>
        </is>
      </c>
      <c r="S1027" s="26">
        <f>HYPERLINK("http://www.cnpol.ru/covers/21975.jpg","фото на сайте")</f>
        <v/>
      </c>
    </row>
    <row r="1028" ht="50.1" customHeight="1" s="3">
      <c r="A1028" s="23" t="n"/>
      <c r="B1028" s="24" t="inlineStr">
        <is>
          <t>11337</t>
        </is>
      </c>
      <c r="C1028" s="23" t="inlineStr">
        <is>
          <t>ЛИССИМ</t>
        </is>
      </c>
      <c r="D1028" s="23" t="inlineStr">
        <is>
          <t>Мусса Л.</t>
        </is>
      </c>
      <c r="E1028" s="23" t="inlineStr">
        <is>
          <t>Все-все-все в твоих руках! ОксЮМОРон-БОЛЬШАЯ ИГРА</t>
        </is>
      </c>
      <c r="F1028" s="23" t="inlineStr">
        <is>
          <t>        </t>
        </is>
      </c>
      <c r="G1028" s="27" t="n">
        <v>1057</v>
      </c>
      <c r="H1028" s="23" t="n">
        <v>10</v>
      </c>
      <c r="I1028" s="23" t="n">
        <v>6</v>
      </c>
      <c r="J1028" s="23" t="inlineStr">
        <is>
          <t>978-5-9524-4455-3</t>
        </is>
      </c>
      <c r="K1028" s="23" t="inlineStr">
        <is>
          <t>70x100 1/16</t>
        </is>
      </c>
      <c r="L1028" s="23" t="inlineStr">
        <is>
          <t>тв</t>
        </is>
      </c>
      <c r="M1028" s="23" t="n">
        <v>494</v>
      </c>
      <c r="N1028" s="23" t="n">
        <v>2009</v>
      </c>
      <c r="O1028" s="23" t="n">
        <v>732</v>
      </c>
      <c r="P1028" s="23" t="n"/>
      <c r="Q1028" s="23" t="n"/>
      <c r="R1028" s="25" t="inlineStr">
        <is>
          <t>Перед вами собрание лучших трудов непревзойденного мастера Волшебной Игры ОК'сЮМОРон - Лисси Муссы. Эта книга - бесценный поДАРок для всех, кто хочет стать настоящим Волшебником, который может воплотить в жизнь самые смелые мечты! На страницах этого поистине чудодейственного сборника вы найдете уникальные практические советы, которыми давно уже пользуются опытные ОК'сЮМОРонисты. Рецепты настолько пРОСТы и понятны, что их с легкостью освоят даже начинающие Волшебники. Открыв для себя мир игры ОК'сЮМОРон и ее правила, вы обретете способность управлять своей жизнью, научитесь позитивно мыслить, извлекать пользу из негативного опыта и выходить победителем из любой ситуации. Освоив правила Волшебной игры, вы поразитесь, как скоро мир начнет крутиться по вашему велению и хотению, как по вашему велению и хотению в вашу жизнь постучатся удача, успех, счастье и благосостояние, не оставив ни малейшей надежды нужде, страху и сомнениям.</t>
        </is>
      </c>
      <c r="S1028" s="26">
        <f>HYPERLINK("http://www.cnpol.ru/covers/11337.jpg","фото на сайте")</f>
        <v/>
      </c>
    </row>
    <row r="1029" ht="50.1" customHeight="1" s="3">
      <c r="A1029" s="23" t="n"/>
      <c r="B1029" s="24" t="inlineStr">
        <is>
          <t>11355</t>
        </is>
      </c>
      <c r="C1029" s="23" t="inlineStr">
        <is>
          <t>ЛКГ</t>
        </is>
      </c>
      <c r="D1029" s="23" t="inlineStr">
        <is>
          <t>Шэйкин К.</t>
        </is>
      </c>
      <c r="E1029" s="23" t="inlineStr">
        <is>
          <t>Соблазн</t>
        </is>
      </c>
      <c r="F1029" s="23" t="inlineStr">
        <is>
          <t>        </t>
        </is>
      </c>
      <c r="G1029" s="23" t="n">
        <v>428</v>
      </c>
      <c r="H1029" s="23" t="n">
        <v>10</v>
      </c>
      <c r="I1029" s="23" t="n">
        <v>20</v>
      </c>
      <c r="J1029" s="23" t="inlineStr">
        <is>
          <t>978-5-9524-4065-4</t>
        </is>
      </c>
      <c r="K1029" s="23" t="inlineStr">
        <is>
          <t>84x108 1/32</t>
        </is>
      </c>
      <c r="L1029" s="23" t="inlineStr">
        <is>
          <t>тв</t>
        </is>
      </c>
      <c r="M1029" s="23" t="n">
        <v>222</v>
      </c>
      <c r="N1029" s="23" t="n">
        <v>2009</v>
      </c>
      <c r="O1029" s="23" t="n">
        <v>236</v>
      </c>
      <c r="P1029" s="23" t="n"/>
      <c r="Q1029" s="23" t="n"/>
      <c r="R1029" s="25" t="n"/>
      <c r="S1029" s="26">
        <f>HYPERLINK("http://www.cnpol.ru/covers/11355.jpg","фото на сайте")</f>
        <v/>
      </c>
    </row>
    <row r="1030" ht="50.1" customHeight="1" s="3">
      <c r="A1030" s="23" t="n"/>
      <c r="B1030" s="24" t="inlineStr">
        <is>
          <t>10066</t>
        </is>
      </c>
      <c r="C1030" s="23" t="inlineStr">
        <is>
          <t>ЛМ</t>
        </is>
      </c>
      <c r="D1030" s="23" t="inlineStr">
        <is>
          <t>Скрябина Лидия</t>
        </is>
      </c>
      <c r="E1030" s="23" t="inlineStr">
        <is>
          <t>Клетка</t>
        </is>
      </c>
      <c r="F1030" s="23" t="inlineStr">
        <is>
          <t>        </t>
        </is>
      </c>
      <c r="G1030" s="23" t="n">
        <v>574</v>
      </c>
      <c r="H1030" s="23" t="n">
        <v>10</v>
      </c>
      <c r="I1030" s="23" t="n">
        <v>14</v>
      </c>
      <c r="J1030" s="23" t="inlineStr">
        <is>
          <t>978-5-9524-3254-3</t>
        </is>
      </c>
      <c r="K1030" s="23" t="inlineStr">
        <is>
          <t>76x108 1/32</t>
        </is>
      </c>
      <c r="L1030" s="23" t="inlineStr">
        <is>
          <t>тв</t>
        </is>
      </c>
      <c r="M1030" s="23" t="n">
        <v>365</v>
      </c>
      <c r="N1030" s="23" t="n">
        <v>2008</v>
      </c>
      <c r="O1030" s="23" t="n">
        <v>336</v>
      </c>
      <c r="P1030" s="23" t="n"/>
      <c r="Q1030" s="23" t="n"/>
      <c r="R1030" s="25" t="n"/>
      <c r="S1030" s="26">
        <f>HYPERLINK("http://www.cnpol.ru/covers/10066.jpg","фото на сайте")</f>
        <v/>
      </c>
    </row>
    <row r="1031" ht="50.1" customHeight="1" s="3">
      <c r="A1031" s="23" t="n"/>
      <c r="B1031" s="24" t="inlineStr">
        <is>
          <t>7838</t>
        </is>
      </c>
      <c r="C1031" s="23" t="inlineStr">
        <is>
          <t>ЛМ</t>
        </is>
      </c>
      <c r="D1031" s="23" t="inlineStr">
        <is>
          <t>Скрябина Лидия</t>
        </is>
      </c>
      <c r="E1031" s="23" t="inlineStr">
        <is>
          <t>Моль для гламура</t>
        </is>
      </c>
      <c r="F1031" s="23" t="inlineStr">
        <is>
          <t>        </t>
        </is>
      </c>
      <c r="G1031" s="23" t="n">
        <v>574</v>
      </c>
      <c r="H1031" s="23" t="n">
        <v>10</v>
      </c>
      <c r="I1031" s="23" t="n">
        <v>14</v>
      </c>
      <c r="J1031" s="23" t="inlineStr">
        <is>
          <t>978-5-9524-2706-8</t>
        </is>
      </c>
      <c r="K1031" s="23" t="inlineStr">
        <is>
          <t>76x108 1/32</t>
        </is>
      </c>
      <c r="L1031" s="23" t="inlineStr">
        <is>
          <t>тв</t>
        </is>
      </c>
      <c r="M1031" s="23" t="n">
        <v>399</v>
      </c>
      <c r="N1031" s="23" t="n">
        <v>2008</v>
      </c>
      <c r="O1031" s="23" t="n">
        <v>362</v>
      </c>
      <c r="P1031" s="23" t="n"/>
      <c r="Q1031" s="23" t="n"/>
      <c r="R1031" s="25" t="n"/>
      <c r="S1031" s="26">
        <f>HYPERLINK("http://www.cnpol.ru/covers/7838.jpg","фото на сайте")</f>
        <v/>
      </c>
    </row>
    <row r="1032" ht="50.1" customHeight="1" s="3">
      <c r="A1032" s="23" t="n"/>
      <c r="B1032" s="24" t="inlineStr">
        <is>
          <t>18154</t>
        </is>
      </c>
      <c r="C1032" s="23" t="inlineStr">
        <is>
          <t>ЛР</t>
        </is>
      </c>
      <c r="D1032" s="23" t="inlineStr">
        <is>
          <t>Коллинз Д.</t>
        </is>
      </c>
      <c r="E1032" s="23" t="inlineStr">
        <is>
          <t>А как же любовь?</t>
        </is>
      </c>
      <c r="F1032" s="23" t="n">
        <v>810</v>
      </c>
      <c r="G1032" s="23" t="n">
        <v>94</v>
      </c>
      <c r="H1032" s="23" t="n">
        <v>10</v>
      </c>
      <c r="I1032" s="23" t="n">
        <v>30</v>
      </c>
      <c r="J1032" s="23" t="inlineStr">
        <is>
          <t>978-5-227-08129-2</t>
        </is>
      </c>
      <c r="K1032" s="23" t="inlineStr">
        <is>
          <t>70x100 1/32</t>
        </is>
      </c>
      <c r="L1032" s="23" t="inlineStr">
        <is>
          <t>мяг</t>
        </is>
      </c>
      <c r="M1032" s="23" t="n">
        <v>160</v>
      </c>
      <c r="N1032" s="23" t="n">
        <v>2018</v>
      </c>
      <c r="O1032" s="23" t="n">
        <v>76</v>
      </c>
      <c r="P1032" s="23" t="n"/>
      <c r="Q1032" s="23" t="n"/>
      <c r="R1032" s="25" t="inlineStr">
        <is>
          <t>Жизнь знаменитого гонщика Рамона и его родных проходит под прицелом фотокамер, поэтому, не желая никого подвергать подобной участи, он избегает серьезных отношений и привязанностей. Много лет назад Рамон отверг юную Исидору, с детских лет безответно влюбленную в него, но теперь, когда она стала молодой красивой женщиной, он больше не может игнорировать свои истинные чувства к ней…</t>
        </is>
      </c>
      <c r="S1032" s="26">
        <f>HYPERLINK("http://www.cnpol.ru/covers/18154.jpg","фото на сайте")</f>
        <v/>
      </c>
    </row>
    <row r="1033" ht="50.1" customHeight="1" s="3">
      <c r="A1033" s="23" t="n"/>
      <c r="B1033" s="24" t="inlineStr">
        <is>
          <t>18518</t>
        </is>
      </c>
      <c r="C1033" s="23" t="inlineStr">
        <is>
          <t>ЛР</t>
        </is>
      </c>
      <c r="D1033" s="23" t="inlineStr">
        <is>
          <t>Фей Д.</t>
        </is>
      </c>
      <c r="E1033" s="23" t="inlineStr">
        <is>
          <t>Анонимная страсть</t>
        </is>
      </c>
      <c r="F1033" s="23" t="n">
        <v>868</v>
      </c>
      <c r="G1033" s="23" t="n">
        <v>94</v>
      </c>
      <c r="H1033" s="23" t="n">
        <v>10</v>
      </c>
      <c r="I1033" s="23" t="n">
        <v>30</v>
      </c>
      <c r="J1033" s="23" t="inlineStr">
        <is>
          <t>978-5-227-08411-8</t>
        </is>
      </c>
      <c r="K1033" s="23" t="inlineStr">
        <is>
          <t>70x100 1/32</t>
        </is>
      </c>
      <c r="L1033" s="23" t="inlineStr">
        <is>
          <t>мяг</t>
        </is>
      </c>
      <c r="M1033" s="23" t="n">
        <v>160</v>
      </c>
      <c r="N1033" s="23" t="n">
        <v>2019</v>
      </c>
      <c r="O1033" s="23" t="n">
        <v>76</v>
      </c>
      <c r="P1033" s="23" t="n"/>
      <c r="Q1033" s="23" t="n"/>
      <c r="R1033" s="25" t="inlineStr">
        <is>
          <t>Главный редактор журнала «Кью ТР» Сейдж Уайт отчаянно старается спасти свое дело, которое находится на грани закрытия. А ее новый босс Трей хочет сделать все, чтобы издание перестало существовать. Сейдж ничего не знает о планах Трея, который устраивается к ней в качестве персонального ассистента: так он рассчитывает собрать больше информации о его компании и помешать Сейдж спасти журнал. Но в его планы неожиданно вмешивается любовь…</t>
        </is>
      </c>
      <c r="S1033" s="26">
        <f>HYPERLINK("http://www.cnpol.ru/covers/18518.jpg","фото на сайте")</f>
        <v/>
      </c>
    </row>
    <row r="1034" ht="50.1" customHeight="1" s="3">
      <c r="A1034" s="23" t="n"/>
      <c r="B1034" s="24" t="inlineStr">
        <is>
          <t>16233</t>
        </is>
      </c>
      <c r="C1034" s="23" t="inlineStr">
        <is>
          <t>ЛР</t>
        </is>
      </c>
      <c r="D1034" s="23" t="inlineStr">
        <is>
          <t>Эндрюс Э.</t>
        </is>
      </c>
      <c r="E1034" s="23" t="inlineStr">
        <is>
          <t>Аромат желаний</t>
        </is>
      </c>
      <c r="F1034" s="23" t="n">
        <v>552</v>
      </c>
      <c r="G1034" s="23" t="n">
        <v>94</v>
      </c>
      <c r="H1034" s="23" t="n">
        <v>10</v>
      </c>
      <c r="I1034" s="23" t="n">
        <v>30</v>
      </c>
      <c r="J1034" s="23" t="inlineStr">
        <is>
          <t>978-5-227-06162-1</t>
        </is>
      </c>
      <c r="K1034" s="23" t="inlineStr">
        <is>
          <t>70x100 1/32</t>
        </is>
      </c>
      <c r="L1034" s="23" t="inlineStr">
        <is>
          <t>мяг</t>
        </is>
      </c>
      <c r="M1034" s="23" t="n">
        <v>158</v>
      </c>
      <c r="N1034" s="23" t="n">
        <v>2015</v>
      </c>
      <c r="O1034" s="23" t="n">
        <v>76</v>
      </c>
      <c r="P1034" s="23" t="n"/>
      <c r="Q1034" s="23" t="n"/>
      <c r="R1034" s="25" t="inlineStr">
        <is>
          <t>Давние друзья Стелла и Рик отправляются на поиски затонувшего пиратского корабля. Рик выполняет волю покойного отца Стеллы, а ей нужно написать роман, который давно ждет издательство. Солнце, звезды, океанские просторы делают свое дело — фантазии Рика и Стеллы воплощаются в жизнь…</t>
        </is>
      </c>
      <c r="S1034" s="26">
        <f>HYPERLINK("http://www.cnpol.ru/covers/16233.jpg","фото на сайте")</f>
        <v/>
      </c>
    </row>
    <row r="1035" ht="50.1" customHeight="1" s="3">
      <c r="A1035" s="23" t="n"/>
      <c r="B1035" s="24" t="inlineStr">
        <is>
          <t>18523</t>
        </is>
      </c>
      <c r="C1035" s="23" t="inlineStr">
        <is>
          <t>ЛР</t>
        </is>
      </c>
      <c r="D1035" s="23" t="inlineStr">
        <is>
          <t>Логан Н.</t>
        </is>
      </c>
      <c r="E1035" s="23" t="inlineStr">
        <is>
          <t>Афродита из Корал-Бэй</t>
        </is>
      </c>
      <c r="F1035" s="23" t="n">
        <v>871</v>
      </c>
      <c r="G1035" s="23" t="n">
        <v>94</v>
      </c>
      <c r="H1035" s="23" t="n">
        <v>10</v>
      </c>
      <c r="I1035" s="23" t="n">
        <v>30</v>
      </c>
      <c r="J1035" s="23" t="inlineStr">
        <is>
          <t>978-5-227-08414-9</t>
        </is>
      </c>
      <c r="K1035" s="23" t="inlineStr">
        <is>
          <t>70x100 1/32</t>
        </is>
      </c>
      <c r="L1035" s="23" t="inlineStr">
        <is>
          <t>мяг</t>
        </is>
      </c>
      <c r="M1035" s="23" t="n">
        <v>160</v>
      </c>
      <c r="N1035" s="23" t="n">
        <v>2019</v>
      </c>
      <c r="O1035" s="23" t="n">
        <v>74</v>
      </c>
      <c r="P1035" s="23" t="n"/>
      <c r="Q1035" s="23" t="n"/>
      <c r="R1035" s="25" t="inlineStr">
        <is>
          <t>Необычная девушка Мила Накано живет в городке на австралийском Коралловом побережье. Она обладает редкой способностью видеть звуки и слышать цвета. Мила работает смотрителем в заповеднике, знает подводный риф и лагуну как свои пять пальцев и готова на все, чтобы защитить свой мир. Даже на то, чтобы забыть неотразимого миллионера Ричарда Гранди. Он появляется под видом туриста, и Мила показывает ему красоты побережья и раскрывает секреты подводного царства. Узнав, что он собирается превратить береговую полосу в модный курорт и тем самым нанести непоправимый урон природе, Мила не выносит такого предательства и старается выбросить Рича из своей жизни. А Рич, хоть и очарован прелестной русалкой, тоже не готов пожертвовать ради нее интересами бизнеса…</t>
        </is>
      </c>
      <c r="S1035" s="26">
        <f>HYPERLINK("http://www.cnpol.ru/covers/18523.jpg","фото на сайте")</f>
        <v/>
      </c>
    </row>
    <row r="1036" ht="50.1" customHeight="1" s="3">
      <c r="A1036" s="23" t="n"/>
      <c r="B1036" s="24" t="inlineStr">
        <is>
          <t>19499</t>
        </is>
      </c>
      <c r="C1036" s="23" t="inlineStr">
        <is>
          <t>ЛР</t>
        </is>
      </c>
      <c r="D1036" s="23" t="inlineStr">
        <is>
          <t>Пэмми Т.</t>
        </is>
      </c>
      <c r="E1036" s="23" t="inlineStr">
        <is>
          <t>Безрассудная страсть</t>
        </is>
      </c>
      <c r="F1036" s="23" t="n">
        <v>1014</v>
      </c>
      <c r="G1036" s="23" t="n">
        <v>94</v>
      </c>
      <c r="H1036" s="23" t="n">
        <v>10</v>
      </c>
      <c r="I1036" s="23" t="n">
        <v>30</v>
      </c>
      <c r="J1036" s="23" t="inlineStr">
        <is>
          <t>978-5-227-09152-9</t>
        </is>
      </c>
      <c r="K1036" s="23" t="inlineStr">
        <is>
          <t>70x100 1/32</t>
        </is>
      </c>
      <c r="L1036" s="23" t="inlineStr">
        <is>
          <t>мяг</t>
        </is>
      </c>
      <c r="M1036" s="23" t="n">
        <v>160</v>
      </c>
      <c r="N1036" s="23" t="n">
        <v>2021</v>
      </c>
      <c r="O1036" s="23" t="n">
        <v>76</v>
      </c>
      <c r="P1036" s="23" t="n"/>
      <c r="Q1036" s="23" t="n"/>
      <c r="R1036" s="25" t="inlineStr">
        <is>
          <t>У Леонардо Брунетти и Нехи Фернандес было много общего – оба возглавляли крупные фирмы, имели семейные тайны прошлого, отравлявшие их жизни, и оба тайно испытывали сильное влечение друг к другу. Когда Неха озаботилась своим будущим и решила родить ребенка, то решила, что самым лучшим кандидатом на роль отца будет ее самый лучший друг Лео. Оба подошли очень ответственно и рационально к тому, чтобы стать родителями. Казалось бы, они все спланировали, но не учли одной небольшой, но очень важной детали: любовь — неистовое и всепоглощающее, а главное, взаимное чувство — является самой прочной основой для создания семьи и воспитания детей, а значит, и для простого человеческого счастья.</t>
        </is>
      </c>
      <c r="S1036" s="26">
        <f>HYPERLINK("http://www.cnpol.ru/covers/19499.jpg","фото на сайте")</f>
        <v/>
      </c>
    </row>
    <row r="1037" ht="50.1" customHeight="1" s="3">
      <c r="A1037" s="23" t="n"/>
      <c r="B1037" s="24" t="inlineStr">
        <is>
          <t>19967</t>
        </is>
      </c>
      <c r="C1037" s="23" t="inlineStr">
        <is>
          <t>ЛР</t>
        </is>
      </c>
      <c r="D1037" s="23" t="inlineStr">
        <is>
          <t>Пауэр Э.</t>
        </is>
      </c>
      <c r="E1037" s="23" t="inlineStr">
        <is>
          <t>Битва двух сердец</t>
        </is>
      </c>
      <c r="F1037" s="23" t="n">
        <v>1070</v>
      </c>
      <c r="G1037" s="23" t="n">
        <v>94</v>
      </c>
      <c r="H1037" s="23" t="n">
        <v>10</v>
      </c>
      <c r="I1037" s="23" t="n">
        <v>30</v>
      </c>
      <c r="J1037" s="23" t="inlineStr">
        <is>
          <t>978-5-227-09520-6</t>
        </is>
      </c>
      <c r="K1037" s="23" t="inlineStr">
        <is>
          <t>70x100 1/32</t>
        </is>
      </c>
      <c r="L1037" s="23" t="inlineStr">
        <is>
          <t>мяг</t>
        </is>
      </c>
      <c r="M1037" s="23" t="n">
        <v>159</v>
      </c>
      <c r="N1037" s="23" t="n">
        <v>2021</v>
      </c>
      <c r="O1037" s="23" t="n">
        <v>76</v>
      </c>
      <c r="P1037" s="23" t="n"/>
      <c r="Q1037" s="23" t="n"/>
      <c r="R1037" s="25" t="inlineStr">
        <is>
          <t>Итальянский миллиардер Эмилиано Каннаваро расчетлив и непримирим в решении деловых вопросов. Что касается отношений с женщинами... сейчас его волнует только коварная Лорен Вествуд, которая добилась единоличной опеки над его маленьким племянником. Брат Эмилиано вместе с женой погиб в автокатастрофе, и теперь мальчик остался сиротой. Эмилиано уверен, что любого человека можно купить, но Лорен не нужны никакие деньги. Она собирается растить племянника сама, не прося ни у кого помощи. Пойдет ли она на уступки властному богачу? Тем более сейчас, когда они оба с трудом скрывают взаимный интерес друг к другу...</t>
        </is>
      </c>
      <c r="S1037" s="26">
        <f>HYPERLINK("http://www.cnpol.ru/covers/19967.jpg","фото на сайте")</f>
        <v/>
      </c>
    </row>
    <row r="1038" ht="50.1" customHeight="1" s="3">
      <c r="A1038" s="23" t="n"/>
      <c r="B1038" s="24" t="inlineStr">
        <is>
          <t>20089</t>
        </is>
      </c>
      <c r="C1038" s="23" t="inlineStr">
        <is>
          <t>ЛР</t>
        </is>
      </c>
      <c r="D1038" s="23" t="inlineStr">
        <is>
          <t>Шоу Ш.</t>
        </is>
      </c>
      <c r="E1038" s="23" t="inlineStr">
        <is>
          <t>Битва на арене любви</t>
        </is>
      </c>
      <c r="F1038" s="23" t="n">
        <v>1079</v>
      </c>
      <c r="G1038" s="23" t="n">
        <v>94</v>
      </c>
      <c r="H1038" s="23" t="n">
        <v>10</v>
      </c>
      <c r="I1038" s="23" t="n">
        <v>30</v>
      </c>
      <c r="J1038" s="23" t="inlineStr">
        <is>
          <t>978-5-227-09618-0</t>
        </is>
      </c>
      <c r="K1038" s="23" t="inlineStr">
        <is>
          <t>70x100 1/32</t>
        </is>
      </c>
      <c r="L1038" s="23" t="inlineStr">
        <is>
          <t>мяг</t>
        </is>
      </c>
      <c r="M1038" s="23" t="n">
        <v>159</v>
      </c>
      <c r="N1038" s="23" t="n">
        <v>2022</v>
      </c>
      <c r="O1038" s="23" t="n">
        <v>76</v>
      </c>
      <c r="P1038" s="23" t="n"/>
      <c r="Q1038" s="23" t="n"/>
      <c r="R1038" s="25" t="inlineStr">
        <is>
          <t>Миллионер Драго Кассари уверен в том, что Джесс Харпер — воровка и лгунья, обманувшая его сестру. Желая обезопасить семью, Драго выслеживает Джесс и отправляется за ней в Грецию. Но дерзкая Джесс так сильно очаровывает его самого, что он забывает обо всем на свете…</t>
        </is>
      </c>
      <c r="S1038" s="26">
        <f>HYPERLINK("http://www.cnpol.ru/covers/20089.jpg","фото на сайте")</f>
        <v/>
      </c>
    </row>
    <row r="1039" ht="50.1" customHeight="1" s="3">
      <c r="A1039" s="23" t="n"/>
      <c r="B1039" s="24" t="inlineStr">
        <is>
          <t>17083</t>
        </is>
      </c>
      <c r="C1039" s="23" t="inlineStr">
        <is>
          <t>ЛР</t>
        </is>
      </c>
      <c r="D1039" s="23" t="inlineStr">
        <is>
          <t>Кондер М.</t>
        </is>
      </c>
      <c r="E1039" s="23" t="inlineStr">
        <is>
          <t>Больше ни слова лжи</t>
        </is>
      </c>
      <c r="F1039" s="23" t="n">
        <v>663</v>
      </c>
      <c r="G1039" s="23" t="n">
        <v>94</v>
      </c>
      <c r="H1039" s="23" t="n">
        <v>10</v>
      </c>
      <c r="I1039" s="23" t="n">
        <v>30</v>
      </c>
      <c r="J1039" s="23" t="inlineStr">
        <is>
          <t>978-5-227-07072-2</t>
        </is>
      </c>
      <c r="K1039" s="23" t="inlineStr">
        <is>
          <t>70x100 1/32</t>
        </is>
      </c>
      <c r="L1039" s="23" t="inlineStr">
        <is>
          <t>мяг</t>
        </is>
      </c>
      <c r="M1039" s="23" t="n">
        <v>160</v>
      </c>
      <c r="N1039" s="23" t="n">
        <v>2016</v>
      </c>
      <c r="O1039" s="23" t="n">
        <v>76</v>
      </c>
      <c r="P1039" s="23" t="n"/>
      <c r="Q1039" s="23" t="n"/>
      <c r="R1039" s="25" t="inlineStr">
        <is>
          <t>Лукас Кузнецов строит в Санкт­Петербурге удивительный отель изо льда. За месяц до завершения проекта он остается без дизайнера. Старый друг рекомендует ему Элеанор Харрингтон, только что завершившую работу над ледяным баром в Сингапуре. Элеанор и Лукаса тянет друг к другу, но они не собираются портить рабочие отношения…</t>
        </is>
      </c>
      <c r="S1039" s="26">
        <f>HYPERLINK("http://www.cnpol.ru/covers/17083.jpg","фото на сайте")</f>
        <v/>
      </c>
    </row>
    <row r="1040" ht="50.1" customHeight="1" s="3">
      <c r="A1040" s="23" t="n"/>
      <c r="B1040" s="24" t="inlineStr">
        <is>
          <t>16949</t>
        </is>
      </c>
      <c r="C1040" s="23" t="inlineStr">
        <is>
          <t>ЛР</t>
        </is>
      </c>
      <c r="D1040" s="23" t="inlineStr">
        <is>
          <t>Лукас Д.</t>
        </is>
      </c>
      <c r="E1040" s="23" t="inlineStr">
        <is>
          <t>Больше никаких измен</t>
        </is>
      </c>
      <c r="F1040" s="23" t="n">
        <v>642</v>
      </c>
      <c r="G1040" s="23" t="n">
        <v>94</v>
      </c>
      <c r="H1040" s="23" t="n">
        <v>10</v>
      </c>
      <c r="I1040" s="23" t="n">
        <v>30</v>
      </c>
      <c r="J1040" s="23" t="inlineStr">
        <is>
          <t>978-5-227-06856-9</t>
        </is>
      </c>
      <c r="K1040" s="23" t="inlineStr">
        <is>
          <t>70x100 1/32</t>
        </is>
      </c>
      <c r="L1040" s="23" t="inlineStr">
        <is>
          <t>мяг</t>
        </is>
      </c>
      <c r="M1040" s="23" t="n">
        <v>160</v>
      </c>
      <c r="N1040" s="23" t="n">
        <v>2016</v>
      </c>
      <c r="O1040" s="23" t="n">
        <v>76</v>
      </c>
      <c r="P1040" s="23" t="n"/>
      <c r="Q1040" s="23" t="n"/>
      <c r="R1040" s="25" t="inlineStr">
        <is>
          <t>Когда Шариф Бен Нази Ал­Актум, миллиардер и эмир Махтара, впервые увидел Ирэн, его охватило непреодолимое желание сделать ее своей. Известный плейбой, он привык к тому, что женщины сами бросаются ему на шею. Тем удивительнее было для него то, что Ирэн отвергла его ухаживания. Но он невольно проникается уважением к ее принципам и идеалам, хотя и не может разделить их. Приглашая Ирэн занять место компаньонки его сестры, Шариф надеется завоевать расположение девушки. Но его жизнь омрачена тайной, которой он не спешит поделиться с Ирэн…</t>
        </is>
      </c>
      <c r="S1040" s="26">
        <f>HYPERLINK("http://www.cnpol.ru/covers/16949.jpg","фото на сайте")</f>
        <v/>
      </c>
    </row>
    <row r="1041" ht="50.1" customHeight="1" s="3">
      <c r="A1041" s="23" t="n"/>
      <c r="B1041" s="24" t="inlineStr">
        <is>
          <t>17268</t>
        </is>
      </c>
      <c r="C1041" s="23" t="inlineStr">
        <is>
          <t>ЛР</t>
        </is>
      </c>
      <c r="D1041" s="23" t="inlineStr">
        <is>
          <t>Эйтс М.</t>
        </is>
      </c>
      <c r="E1041" s="23" t="inlineStr">
        <is>
          <t>Брак поневоле</t>
        </is>
      </c>
      <c r="F1041" s="23" t="n">
        <v>684</v>
      </c>
      <c r="G1041" s="23" t="n">
        <v>94</v>
      </c>
      <c r="H1041" s="23" t="n">
        <v>10</v>
      </c>
      <c r="I1041" s="23" t="n">
        <v>30</v>
      </c>
      <c r="J1041" s="23" t="inlineStr">
        <is>
          <t>978-5-227-07282-5</t>
        </is>
      </c>
      <c r="K1041" s="23" t="inlineStr">
        <is>
          <t>70x100 1/32</t>
        </is>
      </c>
      <c r="L1041" s="23" t="inlineStr">
        <is>
          <t>мяг</t>
        </is>
      </c>
      <c r="M1041" s="23" t="n">
        <v>160</v>
      </c>
      <c r="N1041" s="23" t="n">
        <v>2017</v>
      </c>
      <c r="O1041" s="23" t="n">
        <v>76</v>
      </c>
      <c r="P1041" s="23" t="n"/>
      <c r="Q1041" s="23" t="n"/>
      <c r="R1041" s="25" t="inlineStr">
        <is>
          <t>Элисон Уитмен — успешный юрист, молода, хороша собой, но одинока. Она не стремится к замужеству, желая остаться независимой, но очень хочет ребенка. Элисон решается на искусственное оплодотворение. Через некоторое время она случайно узнает, что отец ребенка – принц Турана Максимо Росси. И ради блага малыша им придется пожениться. Соединит ли их не только обязательство перед будущим общим ребенком, но и зародившаяся любовь друг к другу?</t>
        </is>
      </c>
      <c r="S1041" s="26">
        <f>HYPERLINK("http://www.cnpol.ru/covers/17268.jpg","фото на сайте")</f>
        <v/>
      </c>
    </row>
    <row r="1042" ht="50.1" customHeight="1" s="3">
      <c r="A1042" s="23" t="n"/>
      <c r="B1042" s="24" t="inlineStr">
        <is>
          <t>19597</t>
        </is>
      </c>
      <c r="C1042" s="23" t="inlineStr">
        <is>
          <t>ЛР</t>
        </is>
      </c>
      <c r="D1042" s="23" t="inlineStr">
        <is>
          <t>Сен­Джон Я.</t>
        </is>
      </c>
      <c r="E1042" s="23" t="inlineStr">
        <is>
          <t>Брак ради мести</t>
        </is>
      </c>
      <c r="F1042" s="23" t="n">
        <v>1029</v>
      </c>
      <c r="G1042" s="23" t="n">
        <v>94</v>
      </c>
      <c r="H1042" s="23" t="n">
        <v>10</v>
      </c>
      <c r="I1042" s="23" t="n">
        <v>30</v>
      </c>
      <c r="J1042" s="23" t="inlineStr">
        <is>
          <t>978-5-227-09273-1</t>
        </is>
      </c>
      <c r="K1042" s="23" t="inlineStr">
        <is>
          <t>70x100 1/32</t>
        </is>
      </c>
      <c r="L1042" s="23" t="inlineStr">
        <is>
          <t>мяг</t>
        </is>
      </c>
      <c r="M1042" s="23" t="n">
        <v>160</v>
      </c>
      <c r="N1042" s="23" t="n">
        <v>2021</v>
      </c>
      <c r="O1042" s="23" t="n">
        <v>76</v>
      </c>
      <c r="P1042" s="23" t="n"/>
      <c r="Q1042" s="23" t="n"/>
      <c r="R1042" s="25" t="inlineStr">
        <is>
          <t>Фэллон Стюарт трудится не жалея сил, безуспешно пытаясь спасти от разорения семейный бизнес. Внезапно в ее жизни снова появляется Гейдж Кэмпбелл — ее первая любовь, и предлагает крупную сумму в обмен на брак с ним. Она соглашается, понимая, что это единственная возможность спасти компанию Стюартов. Постепенно Фэллон осознает, что любит Гейджа, не подозревая, что он женился на ней с целью отомстить ее семье за давнюю обиду…</t>
        </is>
      </c>
      <c r="S1042" s="26">
        <f>HYPERLINK("http://www.cnpol.ru/covers/19597.jpg","фото на сайте")</f>
        <v/>
      </c>
    </row>
    <row r="1043" ht="50.1" customHeight="1" s="3">
      <c r="A1043" s="23" t="n"/>
      <c r="B1043" s="24" t="inlineStr">
        <is>
          <t>17565</t>
        </is>
      </c>
      <c r="C1043" s="23" t="inlineStr">
        <is>
          <t>ЛР</t>
        </is>
      </c>
      <c r="D1043" s="23" t="inlineStr">
        <is>
          <t>Лоренс К.</t>
        </is>
      </c>
      <c r="E1043" s="23" t="inlineStr">
        <is>
          <t>Брачная ночь перед разводом</t>
        </is>
      </c>
      <c r="F1043" s="23" t="n">
        <v>731</v>
      </c>
      <c r="G1043" s="23" t="n">
        <v>94</v>
      </c>
      <c r="H1043" s="23" t="n">
        <v>10</v>
      </c>
      <c r="I1043" s="23" t="n">
        <v>30</v>
      </c>
      <c r="J1043" s="23" t="inlineStr">
        <is>
          <t>978-5-227-07610-6</t>
        </is>
      </c>
      <c r="K1043" s="23" t="inlineStr">
        <is>
          <t>70x100 1/32</t>
        </is>
      </c>
      <c r="L1043" s="23" t="inlineStr">
        <is>
          <t>мяг</t>
        </is>
      </c>
      <c r="M1043" s="23" t="n">
        <v>160</v>
      </c>
      <c r="N1043" s="23" t="n">
        <v>2017</v>
      </c>
      <c r="O1043" s="23" t="n">
        <v>76</v>
      </c>
      <c r="P1043" s="23" t="n"/>
      <c r="Q1043" s="23" t="n"/>
      <c r="R1043" s="25" t="inlineStr">
        <is>
          <t>Брак итальянского аристократа Рауля и Лары, романтичной красавицы, мечтающей о встрече с принцем, заключен по расчету. Их договоренность действует полгода — именно такой срок жизни отведен властному деду Рауля, Серджо Ди Витторио, который настаивает, чтобы внук женился и продолжил род. Не в силах противостоять харизме Рауля, Лара соглашается. Но вскоре понимает, что попала в ловушку, потому что влюбилась в Рауля, а ее любовь ему не нужна. Но так ли это на самом деле? Удастся ли рыжеволосой красавице завоевать сердце надменного аристократа?</t>
        </is>
      </c>
      <c r="S1043" s="26">
        <f>HYPERLINK("http://www.cnpol.ru/covers/17565.jpg","фото на сайте")</f>
        <v/>
      </c>
    </row>
    <row r="1044" ht="50.1" customHeight="1" s="3">
      <c r="A1044" s="23" t="n"/>
      <c r="B1044" s="24" t="inlineStr">
        <is>
          <t>16464</t>
        </is>
      </c>
      <c r="C1044" s="23" t="inlineStr">
        <is>
          <t>ЛР</t>
        </is>
      </c>
      <c r="D1044" s="23" t="inlineStr">
        <is>
          <t>Маринелли К.</t>
        </is>
      </c>
      <c r="E1044" s="23" t="inlineStr">
        <is>
          <t>Брачное уравнение</t>
        </is>
      </c>
      <c r="F1044" s="23" t="n">
        <v>580</v>
      </c>
      <c r="G1044" s="23" t="n">
        <v>94</v>
      </c>
      <c r="H1044" s="23" t="n">
        <v>10</v>
      </c>
      <c r="I1044" s="23" t="n">
        <v>30</v>
      </c>
      <c r="J1044" s="23" t="inlineStr">
        <is>
          <t>978-5-227-06388-5</t>
        </is>
      </c>
      <c r="K1044" s="23" t="inlineStr">
        <is>
          <t>70x100 1/32</t>
        </is>
      </c>
      <c r="L1044" s="23" t="inlineStr">
        <is>
          <t>мяг</t>
        </is>
      </c>
      <c r="M1044" s="23" t="n">
        <v>158</v>
      </c>
      <c r="N1044" s="23" t="n">
        <v>2016</v>
      </c>
      <c r="O1044" s="23" t="n">
        <v>76</v>
      </c>
      <c r="P1044" s="23" t="n"/>
      <c r="Q1044" s="23" t="n"/>
      <c r="R1044" s="25" t="inlineStr">
        <is>
          <t>Тринити Фостер знала принца Фахида с детства, ведь он был приятелем ее брата. А когда подросла, то влюбилась в него. Но законы восточной страны диктовали следующие правила: он должен заключить равный брак с принцессой соседней страны, и Тринити ему не пара…</t>
        </is>
      </c>
      <c r="S1044" s="26">
        <f>HYPERLINK("http://www.cnpol.ru/covers/16464.jpg","фото на сайте")</f>
        <v/>
      </c>
    </row>
    <row r="1045" ht="50.1" customHeight="1" s="3">
      <c r="A1045" s="23" t="n"/>
      <c r="B1045" s="24" t="inlineStr">
        <is>
          <t>18452</t>
        </is>
      </c>
      <c r="C1045" s="23" t="inlineStr">
        <is>
          <t>ЛР</t>
        </is>
      </c>
      <c r="D1045" s="23" t="inlineStr">
        <is>
          <t>Хантер К.</t>
        </is>
      </c>
      <c r="E1045" s="23" t="inlineStr">
        <is>
          <t>Брачный капкан для повесы</t>
        </is>
      </c>
      <c r="F1045" s="23" t="n">
        <v>861</v>
      </c>
      <c r="G1045" s="23" t="n">
        <v>94</v>
      </c>
      <c r="H1045" s="23" t="n">
        <v>10</v>
      </c>
      <c r="I1045" s="23" t="n">
        <v>30</v>
      </c>
      <c r="J1045" s="23" t="inlineStr">
        <is>
          <t>978-5-227-08387-6</t>
        </is>
      </c>
      <c r="K1045" s="23" t="inlineStr">
        <is>
          <t>70x100 1/32</t>
        </is>
      </c>
      <c r="L1045" s="23" t="inlineStr">
        <is>
          <t>мяг</t>
        </is>
      </c>
      <c r="M1045" s="23" t="n">
        <v>160</v>
      </c>
      <c r="N1045" s="23" t="n">
        <v>2019</v>
      </c>
      <c r="O1045" s="23" t="n">
        <v>76</v>
      </c>
      <c r="P1045" s="23" t="n"/>
      <c r="Q1045" s="23" t="n"/>
      <c r="R1045" s="25" t="inlineStr">
        <is>
          <t>Король Теодосий должен найти себе королеву, чтобы сохранить трон, но его лишенное романтики предложение оставляет принцессу Мориану равнодушной. Тогда Тео решает заполучить ее хитростью и предлагает научить премудростям любви, от чего она не в силах отказаться. С каждым днем страсть, которую он пробуждает в Мориане, разгорается все сильнее, и все­таки отношения, в которых нет доверия, обречены. Или же у Теодосия и Морианы все же есть шанс на счастье?</t>
        </is>
      </c>
      <c r="S1045" s="26">
        <f>HYPERLINK("http://www.cnpol.ru/covers/18452.jpg","фото на сайте")</f>
        <v/>
      </c>
    </row>
    <row r="1046" ht="50.1" customHeight="1" s="3">
      <c r="A1046" s="23" t="n"/>
      <c r="B1046" s="24" t="inlineStr">
        <is>
          <t>17058</t>
        </is>
      </c>
      <c r="C1046" s="23" t="inlineStr">
        <is>
          <t>ЛР</t>
        </is>
      </c>
      <c r="D1046" s="23" t="inlineStr">
        <is>
          <t>Грин Э.</t>
        </is>
      </c>
      <c r="E1046" s="23" t="inlineStr">
        <is>
          <t>Брачный контракт с сюрпризом</t>
        </is>
      </c>
      <c r="F1046" s="23" t="n">
        <v>658</v>
      </c>
      <c r="G1046" s="23" t="n">
        <v>94</v>
      </c>
      <c r="H1046" s="23" t="n">
        <v>10</v>
      </c>
      <c r="I1046" s="23" t="n">
        <v>30</v>
      </c>
      <c r="J1046" s="23" t="inlineStr">
        <is>
          <t>978-5-227-07067-8</t>
        </is>
      </c>
      <c r="K1046" s="23" t="inlineStr">
        <is>
          <t>70x100 1/32</t>
        </is>
      </c>
      <c r="L1046" s="23" t="inlineStr">
        <is>
          <t>мяг</t>
        </is>
      </c>
      <c r="M1046" s="23" t="n">
        <v>160</v>
      </c>
      <c r="N1046" s="23" t="n">
        <v>2016</v>
      </c>
      <c r="O1046" s="23" t="n">
        <v>76</v>
      </c>
      <c r="P1046" s="23" t="n"/>
      <c r="Q1046" s="23" t="n"/>
      <c r="R1046" s="25" t="inlineStr">
        <is>
          <t>Килин О’Коннор мечтает возглавить компанию отца, но тот не желает видеть своей преемницей женщину. Вместо этого он намерен выдать ее замуж за итальянского бизнесмена Джанкарло Делюкка, закрепив слияние двух компаний. Килин намерена изобразить перед женихом избалованную пустышку, чтобы он отказался от нее сам. Как далеко заведет ее эта игра?</t>
        </is>
      </c>
      <c r="S1046" s="26">
        <f>HYPERLINK("http://www.cnpol.ru/covers/17058.jpg","фото на сайте")</f>
        <v/>
      </c>
    </row>
    <row r="1047" ht="50.1" customHeight="1" s="3">
      <c r="A1047" s="23" t="n"/>
      <c r="B1047" s="24" t="inlineStr">
        <is>
          <t>15839</t>
        </is>
      </c>
      <c r="C1047" s="23" t="inlineStr">
        <is>
          <t>ЛР</t>
        </is>
      </c>
      <c r="D1047" s="23" t="inlineStr">
        <is>
          <t>Стивенс С.</t>
        </is>
      </c>
      <c r="E1047" s="23" t="inlineStr">
        <is>
          <t>Бриллиант твоей души</t>
        </is>
      </c>
      <c r="F1047" s="23" t="n">
        <v>496</v>
      </c>
      <c r="G1047" s="23" t="n">
        <v>94</v>
      </c>
      <c r="H1047" s="23" t="n">
        <v>10</v>
      </c>
      <c r="I1047" s="23" t="n">
        <v>30</v>
      </c>
      <c r="J1047" s="23" t="inlineStr">
        <is>
          <t>978-5-227-05719-8</t>
        </is>
      </c>
      <c r="K1047" s="23" t="inlineStr">
        <is>
          <t>70x100 1/32</t>
        </is>
      </c>
      <c r="L1047" s="23" t="inlineStr">
        <is>
          <t>мяг</t>
        </is>
      </c>
      <c r="M1047" s="23" t="n">
        <v>158</v>
      </c>
      <c r="N1047" s="23" t="n">
        <v>2015</v>
      </c>
      <c r="O1047" s="23" t="n">
        <v>76</v>
      </c>
      <c r="P1047" s="23" t="n"/>
      <c r="Q1047" s="23" t="n"/>
      <c r="R1047" s="25" t="inlineStr">
        <is>
          <t>Ева Скаванга ненавидит графа Романа Квисваду. По ее мнению, добывая алмазы, он разрушает экологию ее родных мест. Поскольку граф отказался встретиться с ней, она летит на принадлежащий ему остров, чтобы заставить его выслушать ее. Однако визит проходит не так, как запланировала Ева…</t>
        </is>
      </c>
      <c r="S1047" s="26">
        <f>HYPERLINK("http://www.cnpol.ru/covers/15839.jpg","фото на сайте")</f>
        <v/>
      </c>
    </row>
    <row r="1048" ht="50.1" customHeight="1" s="3">
      <c r="A1048" s="23" t="n"/>
      <c r="B1048" s="24" t="inlineStr">
        <is>
          <t>16521</t>
        </is>
      </c>
      <c r="C1048" s="23" t="inlineStr">
        <is>
          <t>ЛР</t>
        </is>
      </c>
      <c r="D1048" s="23" t="inlineStr">
        <is>
          <t>Маринелли К.</t>
        </is>
      </c>
      <c r="E1048" s="23" t="inlineStr">
        <is>
          <t>Бросить вызов своему счастью</t>
        </is>
      </c>
      <c r="F1048" s="23" t="n">
        <v>586</v>
      </c>
      <c r="G1048" s="23" t="n">
        <v>94</v>
      </c>
      <c r="H1048" s="23" t="n">
        <v>10</v>
      </c>
      <c r="I1048" s="23" t="n">
        <v>30</v>
      </c>
      <c r="J1048" s="23" t="inlineStr">
        <is>
          <t>978-5-227-06394-6</t>
        </is>
      </c>
      <c r="K1048" s="23" t="inlineStr">
        <is>
          <t>70x100 1/32</t>
        </is>
      </c>
      <c r="L1048" s="23" t="inlineStr">
        <is>
          <t>мяг</t>
        </is>
      </c>
      <c r="M1048" s="23" t="n">
        <v>158</v>
      </c>
      <c r="N1048" s="23" t="n">
        <v>2016</v>
      </c>
      <c r="O1048" s="23" t="n">
        <v>76</v>
      </c>
      <c r="P1048" s="23" t="n"/>
      <c r="Q1048" s="23" t="n"/>
      <c r="R1048" s="25" t="inlineStr">
        <is>
          <t>Бизнесмену Демьяну Жукову требовалась секретарша. Алине Ритчи была нужна работа. Так и произошла встреча застенчивой красотки и самоуверенного дельца. Сможет ли Алина противостоять угрюмому, но невероятно привлекательному мужчине?</t>
        </is>
      </c>
      <c r="S1048" s="26">
        <f>HYPERLINK("http://www.cnpol.ru/covers/16521.jpg","фото на сайте")</f>
        <v/>
      </c>
    </row>
    <row r="1049" ht="50.1" customHeight="1" s="3">
      <c r="A1049" s="23" t="n"/>
      <c r="B1049" s="24" t="inlineStr">
        <is>
          <t>15595</t>
        </is>
      </c>
      <c r="C1049" s="23" t="inlineStr">
        <is>
          <t>ЛР</t>
        </is>
      </c>
      <c r="D1049" s="23" t="inlineStr">
        <is>
          <t>Грэхам П.</t>
        </is>
      </c>
      <c r="E1049" s="23" t="inlineStr">
        <is>
          <t>Брошенный вызов</t>
        </is>
      </c>
      <c r="F1049" s="23" t="n">
        <v>466</v>
      </c>
      <c r="G1049" s="23" t="n">
        <v>94</v>
      </c>
      <c r="H1049" s="23" t="n">
        <v>10</v>
      </c>
      <c r="I1049" s="23" t="n">
        <v>30</v>
      </c>
      <c r="J1049" s="23" t="inlineStr">
        <is>
          <t>978-5-227-05051-9</t>
        </is>
      </c>
      <c r="K1049" s="23" t="inlineStr">
        <is>
          <t>70x100 1/32</t>
        </is>
      </c>
      <c r="L1049" s="23" t="inlineStr">
        <is>
          <t>мяг</t>
        </is>
      </c>
      <c r="M1049" s="23" t="n">
        <v>158</v>
      </c>
      <c r="N1049" s="23" t="n">
        <v>2014</v>
      </c>
      <c r="O1049" s="23" t="n">
        <v>76</v>
      </c>
      <c r="P1049" s="23" t="n"/>
      <c r="Q1049" s="23" t="n"/>
      <c r="R1049" s="25" t="inlineStr">
        <is>
          <t>Топси покинула любящую, но чересчур ее опекающую семью, чтобы пожить самостоятельно и раскрыть тайну своего происхождения. Однако, отправляясь из туманного Лондона в солнечную Италию, Топси не представляла, что работа в поместье немолодой графини принесет ей куда больше, чем она ожидала. Встреча с высокомерным и невероятно красивым графом ломает все ее планы… и переворачивает всю жизнь.</t>
        </is>
      </c>
      <c r="S1049" s="26">
        <f>HYPERLINK("http://www.cnpol.ru/covers/15595.jpg","фото на сайте")</f>
        <v/>
      </c>
    </row>
    <row r="1050" ht="50.1" customHeight="1" s="3">
      <c r="A1050" s="23" t="n"/>
      <c r="B1050" s="24" t="inlineStr">
        <is>
          <t>18711</t>
        </is>
      </c>
      <c r="C1050" s="23" t="inlineStr">
        <is>
          <t>ЛР</t>
        </is>
      </c>
      <c r="D1050" s="23" t="inlineStr">
        <is>
          <t>Смарт М.</t>
        </is>
      </c>
      <c r="E1050" s="23" t="inlineStr">
        <is>
          <t>Бунт страсти на острове</t>
        </is>
      </c>
      <c r="F1050" s="23" t="n">
        <v>900</v>
      </c>
      <c r="G1050" s="23" t="n">
        <v>94</v>
      </c>
      <c r="H1050" s="23" t="n">
        <v>10</v>
      </c>
      <c r="I1050" s="23" t="n">
        <v>30</v>
      </c>
      <c r="J1050" s="23" t="inlineStr">
        <is>
          <t>978-5-227-08575-7</t>
        </is>
      </c>
      <c r="K1050" s="23" t="inlineStr">
        <is>
          <t>70x100 1/32</t>
        </is>
      </c>
      <c r="L1050" s="23" t="inlineStr">
        <is>
          <t>мяг</t>
        </is>
      </c>
      <c r="M1050" s="23" t="n">
        <v>160</v>
      </c>
      <c r="N1050" s="23" t="n">
        <v>2019</v>
      </c>
      <c r="O1050" s="23" t="n">
        <v>78</v>
      </c>
      <c r="P1050" s="23" t="n"/>
      <c r="Q1050" s="23" t="n"/>
      <c r="R1050" s="25" t="inlineStr">
        <is>
          <t>Хлоя Гиллем представить не могла, что Луис Касиллас, ее юношеская любовь и лучший друг ее старшего брата, Бенджамина, так бессовестно обманет и предаст их обоих. Она, не колеблясь, помогла Бенджамину отомстить Луису и его близнецу, Хавьеру. Разве могла она предугадать, что и ей  будет уготована необычная месть…</t>
        </is>
      </c>
      <c r="S1050" s="26">
        <f>HYPERLINK("http://www.cnpol.ru/covers/18711.jpg","фото на сайте")</f>
        <v/>
      </c>
    </row>
    <row r="1051" ht="50.1" customHeight="1" s="3">
      <c r="A1051" s="23" t="n"/>
      <c r="B1051" s="24" t="inlineStr">
        <is>
          <t>20295</t>
        </is>
      </c>
      <c r="C1051" s="23" t="inlineStr">
        <is>
          <t>ЛР</t>
        </is>
      </c>
      <c r="D1051" s="23" t="inlineStr">
        <is>
          <t>Джордан П.</t>
        </is>
      </c>
      <c r="E1051" s="23" t="inlineStr">
        <is>
          <t>Буря страсти</t>
        </is>
      </c>
      <c r="F1051" s="23" t="n">
        <v>1096</v>
      </c>
      <c r="G1051" s="23" t="n">
        <v>94</v>
      </c>
      <c r="H1051" s="23" t="n">
        <v>10</v>
      </c>
      <c r="I1051" s="23" t="n">
        <v>30</v>
      </c>
      <c r="J1051" s="23" t="inlineStr">
        <is>
          <t>978-5-227-09827-6</t>
        </is>
      </c>
      <c r="K1051" s="23" t="inlineStr">
        <is>
          <t>70x100 1/32</t>
        </is>
      </c>
      <c r="L1051" s="23" t="inlineStr">
        <is>
          <t>мяг</t>
        </is>
      </c>
      <c r="M1051" s="23" t="n">
        <v>159</v>
      </c>
      <c r="N1051" s="23" t="n">
        <v>2022</v>
      </c>
      <c r="O1051" s="23" t="n">
        <v>76</v>
      </c>
      <c r="P1051" s="23" t="n"/>
      <c r="Q1051" s="23" t="n"/>
      <c r="R1051" s="25" t="inlineStr">
        <is>
          <t>Эмили и Мэтт познакомились во время снежной бури. Они оказались в машине на занесенной снегом дороге и решили сделать все возможное, чтобы не замерзнуть за ночь. Стараясь согреться возможными способами, они вдруг почувствовали такое желание друг к другу, что, забыв обо всем, сразу уступили ему.</t>
        </is>
      </c>
      <c r="S1051" s="26">
        <f>HYPERLINK("http://www.cnpol.ru/covers/20295.jpg","фото на сайте")</f>
        <v/>
      </c>
    </row>
    <row r="1052" ht="50.1" customHeight="1" s="3">
      <c r="A1052" s="23" t="n"/>
      <c r="B1052" s="24" t="inlineStr">
        <is>
          <t>16160</t>
        </is>
      </c>
      <c r="C1052" s="23" t="inlineStr">
        <is>
          <t>ЛР</t>
        </is>
      </c>
      <c r="D1052" s="23" t="inlineStr">
        <is>
          <t>Смарт М.</t>
        </is>
      </c>
      <c r="E1052" s="23" t="inlineStr">
        <is>
          <t>Бывшая любовница</t>
        </is>
      </c>
      <c r="F1052" s="23" t="n">
        <v>540</v>
      </c>
      <c r="G1052" s="23" t="n">
        <v>94</v>
      </c>
      <c r="H1052" s="23" t="n">
        <v>10</v>
      </c>
      <c r="I1052" s="23" t="n">
        <v>30</v>
      </c>
      <c r="J1052" s="23" t="inlineStr">
        <is>
          <t>978-5-227-06139-3</t>
        </is>
      </c>
      <c r="K1052" s="23" t="inlineStr">
        <is>
          <t>70x100 1/32</t>
        </is>
      </c>
      <c r="L1052" s="23" t="inlineStr">
        <is>
          <t>мяг</t>
        </is>
      </c>
      <c r="M1052" s="23" t="n">
        <v>158</v>
      </c>
      <c r="N1052" s="23" t="n">
        <v>2015</v>
      </c>
      <c r="O1052" s="23" t="n">
        <v>76</v>
      </c>
      <c r="P1052" s="23" t="n"/>
      <c r="Q1052" s="23" t="n"/>
      <c r="R1052" s="25" t="inlineStr">
        <is>
          <t>Кара проводит потрясающую ночь с Пепе Мастранджело — богачом и известным плейбоем. Наутро он исчезает, а через некоторое время Кара обнаруживает, что беременна. Могла ли она предположить, что всего одна ночь станет прелюдией к невероятной любви?</t>
        </is>
      </c>
      <c r="S1052" s="26">
        <f>HYPERLINK("http://www.cnpol.ru/covers/16160.jpg","фото на сайте")</f>
        <v/>
      </c>
    </row>
    <row r="1053" ht="50.1" customHeight="1" s="3">
      <c r="A1053" s="23" t="n"/>
      <c r="B1053" s="24" t="inlineStr">
        <is>
          <t>17117</t>
        </is>
      </c>
      <c r="C1053" s="23" t="inlineStr">
        <is>
          <t>ЛР</t>
        </is>
      </c>
      <c r="D1053" s="23" t="inlineStr">
        <is>
          <t>Мейер С.</t>
        </is>
      </c>
      <c r="E1053" s="23" t="inlineStr">
        <is>
          <t>Быть только твоей</t>
        </is>
      </c>
      <c r="F1053" s="23" t="n">
        <v>667</v>
      </c>
      <c r="G1053" s="23" t="n">
        <v>94</v>
      </c>
      <c r="H1053" s="23" t="n">
        <v>10</v>
      </c>
      <c r="I1053" s="23" t="n">
        <v>30</v>
      </c>
      <c r="J1053" s="23" t="inlineStr">
        <is>
          <t>978-5-227-07117-0</t>
        </is>
      </c>
      <c r="K1053" s="23" t="inlineStr">
        <is>
          <t>70x100 1/32</t>
        </is>
      </c>
      <c r="L1053" s="23" t="inlineStr">
        <is>
          <t>мяг</t>
        </is>
      </c>
      <c r="M1053" s="23" t="n">
        <v>160</v>
      </c>
      <c r="N1053" s="23" t="n">
        <v>2016</v>
      </c>
      <c r="O1053" s="23" t="n">
        <v>76</v>
      </c>
      <c r="P1053" s="23" t="n"/>
      <c r="Q1053" s="23" t="n"/>
      <c r="R1053" s="25" t="inlineStr">
        <is>
          <t>У Макса Монтгомери есть все: он владелец семейного бизнеса, харизматичен и привлекателен. Брак с Кейт Хантер должен был стать последним штрихом. Но постыдная тайна разрушила весь его мир. Чтобы исправить содеянное, Максу придется приложить много усилий.</t>
        </is>
      </c>
      <c r="S1053" s="26">
        <f>HYPERLINK("http://www.cnpol.ru/covers/17117.jpg","фото на сайте")</f>
        <v/>
      </c>
    </row>
    <row r="1054" ht="50.1" customHeight="1" s="3">
      <c r="A1054" s="23" t="n"/>
      <c r="B1054" s="24" t="inlineStr">
        <is>
          <t>18749</t>
        </is>
      </c>
      <c r="C1054" s="23" t="inlineStr">
        <is>
          <t>ЛР</t>
        </is>
      </c>
      <c r="D1054" s="23" t="inlineStr">
        <is>
          <t>Кенан Л.</t>
        </is>
      </c>
      <c r="E1054" s="23" t="inlineStr">
        <is>
          <t>В вихре искушений</t>
        </is>
      </c>
      <c r="F1054" s="23" t="n">
        <v>907</v>
      </c>
      <c r="G1054" s="23" t="n">
        <v>94</v>
      </c>
      <c r="H1054" s="23" t="n">
        <v>10</v>
      </c>
      <c r="I1054" s="23" t="n">
        <v>30</v>
      </c>
      <c r="J1054" s="23" t="inlineStr">
        <is>
          <t>978-5-227-08658-7</t>
        </is>
      </c>
      <c r="K1054" s="23" t="inlineStr">
        <is>
          <t>70x100 1/32</t>
        </is>
      </c>
      <c r="L1054" s="23" t="inlineStr">
        <is>
          <t>мяг</t>
        </is>
      </c>
      <c r="M1054" s="23" t="n">
        <v>160</v>
      </c>
      <c r="N1054" s="23" t="n">
        <v>2019</v>
      </c>
      <c r="O1054" s="23" t="n">
        <v>76</v>
      </c>
      <c r="P1054" s="23" t="n"/>
      <c r="Q1054" s="23" t="n"/>
      <c r="R1054" s="25" t="inlineStr">
        <is>
          <t>Когда они были детьми, Чэнс был самым популярным парнем в округе, а Холли — тощей девочкой с белесыми хвостиками. Спустя двенадцать лет герой спецназа приезжает домой в отпуск и встречает повзрослевшую подругу. Теперь ему придется выбирать между нею и армией.</t>
        </is>
      </c>
      <c r="S1054" s="26">
        <f>HYPERLINK("http://www.cnpol.ru/covers/18749.jpg","фото на сайте")</f>
        <v/>
      </c>
    </row>
    <row r="1055" ht="50.1" customHeight="1" s="3">
      <c r="A1055" s="23" t="n"/>
      <c r="B1055" s="24" t="inlineStr">
        <is>
          <t>18687</t>
        </is>
      </c>
      <c r="C1055" s="23" t="inlineStr">
        <is>
          <t>ЛР</t>
        </is>
      </c>
      <c r="D1055" s="23" t="inlineStr">
        <is>
          <t>Райан Р.</t>
        </is>
      </c>
      <c r="E1055" s="23" t="inlineStr">
        <is>
          <t>В доме нашей любви</t>
        </is>
      </c>
      <c r="F1055" s="23" t="n">
        <v>897</v>
      </c>
      <c r="G1055" s="23" t="n">
        <v>94</v>
      </c>
      <c r="H1055" s="23" t="n">
        <v>10</v>
      </c>
      <c r="I1055" s="23" t="n">
        <v>30</v>
      </c>
      <c r="J1055" s="23" t="inlineStr">
        <is>
          <t>978-5-227-08550-4</t>
        </is>
      </c>
      <c r="K1055" s="23" t="inlineStr">
        <is>
          <t>70x100 1/32</t>
        </is>
      </c>
      <c r="L1055" s="23" t="inlineStr">
        <is>
          <t>мяг</t>
        </is>
      </c>
      <c r="M1055" s="23" t="n">
        <v>160</v>
      </c>
      <c r="N1055" s="23" t="n">
        <v>2019</v>
      </c>
      <c r="O1055" s="23" t="n">
        <v>78</v>
      </c>
      <c r="P1055" s="23" t="n"/>
      <c r="Q1055" s="23" t="n"/>
      <c r="R1055" s="25" t="inlineStr">
        <is>
          <t>Бенджи влюбился в Слоан, когда был застенчивым, неуклюжим подростком, а она была звездой школы. Но теперь звездой стал он — молодой, красивый миллиардер, за которым охотятся женщины. Они встретились случайно, провели вместе волшебную ночь и расстались. Когда Бен разыскал ее спустя полгода, оказалось, что Слоан беременна от него. Теперь он сомневается в ее бескорыстности, а она не уверена, сможет ли научить его доверять…</t>
        </is>
      </c>
      <c r="S1055" s="26">
        <f>HYPERLINK("http://www.cnpol.ru/covers/18687.jpg","фото на сайте")</f>
        <v/>
      </c>
    </row>
    <row r="1056" ht="50.1" customHeight="1" s="3">
      <c r="A1056" s="23" t="n"/>
      <c r="B1056" s="24" t="inlineStr">
        <is>
          <t>18674</t>
        </is>
      </c>
      <c r="C1056" s="23" t="inlineStr">
        <is>
          <t>ЛР</t>
        </is>
      </c>
      <c r="D1056" s="23" t="inlineStr">
        <is>
          <t>Мейнард Д.</t>
        </is>
      </c>
      <c r="E1056" s="23" t="inlineStr">
        <is>
          <t>В капкане искушений с шотландцем</t>
        </is>
      </c>
      <c r="F1056" s="23" t="n">
        <v>894</v>
      </c>
      <c r="G1056" s="23" t="n">
        <v>94</v>
      </c>
      <c r="H1056" s="23" t="n">
        <v>10</v>
      </c>
      <c r="I1056" s="23" t="n">
        <v>30</v>
      </c>
      <c r="J1056" s="23" t="inlineStr">
        <is>
          <t>978-5-227-08547-4</t>
        </is>
      </c>
      <c r="K1056" s="23" t="inlineStr">
        <is>
          <t>70x100 1/32</t>
        </is>
      </c>
      <c r="L1056" s="23" t="inlineStr">
        <is>
          <t>мяг</t>
        </is>
      </c>
      <c r="M1056" s="23" t="n">
        <v>160</v>
      </c>
      <c r="N1056" s="23" t="n">
        <v>2019</v>
      </c>
      <c r="O1056" s="23" t="n">
        <v>78</v>
      </c>
      <c r="P1056" s="23" t="n"/>
      <c r="Q1056" s="23" t="n"/>
      <c r="R1056" s="25" t="inlineStr">
        <is>
          <t>Приехав в маленький городок Северной Каролины, красавец Дункан Стюарт разрывается между желанием помочь бабушке в ведении дел и отчаянной тоской по просторам родной Шотландии. Неожиданно бабуля объявляет, что спустя некоторое время он может вернуться домой, и в это же время ему сообщают, что компанию, которой управляет старая дама, можно продать. Дункан стыдится своих желаний, а то, что адвокат оказывается сногсшибательной красоткой, лишь усугубляет ситуацию…</t>
        </is>
      </c>
      <c r="S1056" s="26">
        <f>HYPERLINK("http://www.cnpol.ru/covers/18674.jpg","фото на сайте")</f>
        <v/>
      </c>
    </row>
    <row r="1057" ht="50.1" customHeight="1" s="3">
      <c r="A1057" s="23" t="n"/>
      <c r="B1057" s="24" t="inlineStr">
        <is>
          <t>15877</t>
        </is>
      </c>
      <c r="C1057" s="23" t="inlineStr">
        <is>
          <t>ЛР</t>
        </is>
      </c>
      <c r="D1057" s="23" t="inlineStr">
        <is>
          <t>Фэй Дж.</t>
        </is>
      </c>
      <c r="E1057" s="23" t="inlineStr">
        <is>
          <t>В крепких объятиях</t>
        </is>
      </c>
      <c r="F1057" s="23" t="n">
        <v>502</v>
      </c>
      <c r="G1057" s="23" t="n">
        <v>94</v>
      </c>
      <c r="H1057" s="23" t="n">
        <v>10</v>
      </c>
      <c r="I1057" s="23" t="n">
        <v>30</v>
      </c>
      <c r="J1057" s="23" t="inlineStr">
        <is>
          <t>978-5-227-05834-8</t>
        </is>
      </c>
      <c r="K1057" s="23" t="inlineStr">
        <is>
          <t>70x100 1/32</t>
        </is>
      </c>
      <c r="L1057" s="23" t="inlineStr">
        <is>
          <t>мяг</t>
        </is>
      </c>
      <c r="M1057" s="23" t="n">
        <v>158</v>
      </c>
      <c r="N1057" s="23" t="n">
        <v>2015</v>
      </c>
      <c r="O1057" s="23" t="n">
        <v>78</v>
      </c>
      <c r="P1057" s="23" t="n"/>
      <c r="Q1057" s="23" t="n"/>
      <c r="R1057" s="25" t="inlineStr">
        <is>
          <t>У Кейт нет ничего, кроме обожаемой маленькой дочери, и для спасения ее жизни нужна дорогостоящая операция. В отчаянных поисках средств Кейт находит помощь там, где не ожидала, — у таинственного красавца и богача Лукаса, в особняке которого случайно оказалась. Ей предстоит вернуть старинный дом из забвения, отогреть сердце Лукаса и обрести веру в людей — а возможно, и счастливое будущее.</t>
        </is>
      </c>
      <c r="S1057" s="26">
        <f>HYPERLINK("http://www.cnpol.ru/covers/15877.jpg","фото на сайте")</f>
        <v/>
      </c>
    </row>
    <row r="1058" ht="50.1" customHeight="1" s="3">
      <c r="A1058" s="23" t="n"/>
      <c r="B1058" s="24" t="inlineStr">
        <is>
          <t>17724</t>
        </is>
      </c>
      <c r="C1058" s="23" t="inlineStr">
        <is>
          <t>ЛР</t>
        </is>
      </c>
      <c r="D1058" s="23" t="inlineStr">
        <is>
          <t>Мэтер Э.</t>
        </is>
      </c>
      <c r="E1058" s="23" t="inlineStr">
        <is>
          <t>В лавине тропической страсти</t>
        </is>
      </c>
      <c r="F1058" s="23" t="n">
        <v>756</v>
      </c>
      <c r="G1058" s="23" t="n">
        <v>94</v>
      </c>
      <c r="H1058" s="23" t="n">
        <v>10</v>
      </c>
      <c r="I1058" s="23" t="n">
        <v>30</v>
      </c>
      <c r="J1058" s="23" t="inlineStr">
        <is>
          <t>978-5-227-07718-9</t>
        </is>
      </c>
      <c r="K1058" s="23" t="inlineStr">
        <is>
          <t>70x100 1/32</t>
        </is>
      </c>
      <c r="L1058" s="23" t="inlineStr">
        <is>
          <t>мяг</t>
        </is>
      </c>
      <c r="M1058" s="23" t="n">
        <v>160</v>
      </c>
      <c r="N1058" s="23" t="n">
        <v>2017</v>
      </c>
      <c r="O1058" s="23" t="n">
        <v>76</v>
      </c>
      <c r="P1058" s="23" t="n"/>
      <c r="Q1058" s="23" t="n"/>
      <c r="R1058" s="25" t="inlineStr">
        <is>
          <t>Жизнь Лили Филдинг, сотрудницы фирмы по прокату яхт, ­круто меняется, когда на небольшом островке в Карибском море, где она родилась и выросла, появляется таинственный незнакомец. От доброжелателей девушка узнает, что в Нью­Йорке у Рафаэля Оливейры возникли проблемы с законом, и он приобрел дом на Оркид­Кей, чтобы скрыться от полиции. Лили понимает, что ей, дочери пастора, следует держаться подальше от мужчины с подобной репутацией, к тому же Раф намного старше. Однако ее так сильно влечет к нему, что Лили теряет голову и оказывается втянутой в водоворот опасных приключений.</t>
        </is>
      </c>
      <c r="S1058" s="26">
        <f>HYPERLINK("http://www.cnpol.ru/covers/17724.jpg","фото на сайте")</f>
        <v/>
      </c>
    </row>
    <row r="1059" ht="50.1" customHeight="1" s="3">
      <c r="A1059" s="23" t="n"/>
      <c r="B1059" s="24" t="inlineStr">
        <is>
          <t>18907</t>
        </is>
      </c>
      <c r="C1059" s="23" t="inlineStr">
        <is>
          <t>ЛР</t>
        </is>
      </c>
      <c r="D1059" s="23" t="inlineStr">
        <is>
          <t>Болтер А.</t>
        </is>
      </c>
      <c r="E1059" s="23" t="inlineStr">
        <is>
          <t>В неге жарких ощущений</t>
        </is>
      </c>
      <c r="F1059" s="23" t="n">
        <v>934</v>
      </c>
      <c r="G1059" s="23" t="n">
        <v>94</v>
      </c>
      <c r="H1059" s="23" t="n">
        <v>10</v>
      </c>
      <c r="I1059" s="23" t="n">
        <v>30</v>
      </c>
      <c r="J1059" s="23" t="inlineStr">
        <is>
          <t>978-5-227-08772-0</t>
        </is>
      </c>
      <c r="K1059" s="23" t="inlineStr">
        <is>
          <t>70x100 1/32</t>
        </is>
      </c>
      <c r="L1059" s="23" t="inlineStr">
        <is>
          <t>мяг</t>
        </is>
      </c>
      <c r="M1059" s="23" t="n">
        <v>160</v>
      </c>
      <c r="N1059" s="23" t="n">
        <v>2019</v>
      </c>
      <c r="O1059" s="23" t="n">
        <v>76</v>
      </c>
      <c r="P1059" s="23" t="n"/>
      <c r="Q1059" s="23" t="n"/>
      <c r="R1059" s="25" t="inlineStr">
        <is>
          <t>Кэти Уиттейкер – богатая, капризная девушка. Она своевольна, упряма и несамостоятельна. А еще она безответно влюблена в совершенно неподходящего мужчину – Джареда Кейн, своего телохранителя…</t>
        </is>
      </c>
      <c r="S1059" s="26">
        <f>HYPERLINK("http://www.cnpol.ru/covers/18907.jpg","фото на сайте")</f>
        <v/>
      </c>
    </row>
    <row r="1060" ht="50.1" customHeight="1" s="3">
      <c r="A1060" s="23" t="n"/>
      <c r="B1060" s="24" t="inlineStr">
        <is>
          <t>16792</t>
        </is>
      </c>
      <c r="C1060" s="23" t="inlineStr">
        <is>
          <t>ЛР</t>
        </is>
      </c>
      <c r="D1060" s="23" t="inlineStr">
        <is>
          <t>Мейер С.</t>
        </is>
      </c>
      <c r="E1060" s="23" t="inlineStr">
        <is>
          <t>В неге объятий</t>
        </is>
      </c>
      <c r="F1060" s="23" t="n">
        <v>622</v>
      </c>
      <c r="G1060" s="23" t="n">
        <v>94</v>
      </c>
      <c r="H1060" s="23" t="n">
        <v>10</v>
      </c>
      <c r="I1060" s="23" t="n">
        <v>30</v>
      </c>
      <c r="J1060" s="23" t="inlineStr">
        <is>
          <t>978-5-227-06783-8</t>
        </is>
      </c>
      <c r="K1060" s="23" t="inlineStr">
        <is>
          <t>70x100 1/32</t>
        </is>
      </c>
      <c r="L1060" s="23" t="inlineStr">
        <is>
          <t>мяг</t>
        </is>
      </c>
      <c r="M1060" s="23" t="n">
        <v>160</v>
      </c>
      <c r="N1060" s="23" t="n">
        <v>2016</v>
      </c>
      <c r="O1060" s="23" t="n">
        <v>76</v>
      </c>
      <c r="P1060" s="23" t="n"/>
      <c r="Q1060" s="23" t="n"/>
      <c r="R1060" s="25" t="inlineStr">
        <is>
          <t>У беременной и всеми брошенной Лауры Бэт есть лишь один выход – она должна стать личной помощницей художника­миллиардера Антонио Бартулоччи, но смуглый итальянец хоть и чертовски красив, оказывается совсем не простым начальником. Так и не смирившись с предательством жены, Антонио больше не в силах взять в руки кисти, но завороженный тихой, неброской красотой Лауры Бэт он вдруг понимает, что еще не все потеряно и в его талант можно вдохнуть новую жизнь.</t>
        </is>
      </c>
      <c r="S1060" s="26">
        <f>HYPERLINK("http://www.cnpol.ru/covers/16792.jpg","фото на сайте")</f>
        <v/>
      </c>
    </row>
    <row r="1061" ht="50.1" customHeight="1" s="3">
      <c r="A1061" s="23" t="n"/>
      <c r="B1061" s="24" t="inlineStr">
        <is>
          <t>19572</t>
        </is>
      </c>
      <c r="C1061" s="23" t="inlineStr">
        <is>
          <t>ЛР</t>
        </is>
      </c>
      <c r="D1061" s="23" t="inlineStr">
        <is>
          <t>Коллинз Д.</t>
        </is>
      </c>
      <c r="E1061" s="23" t="inlineStr">
        <is>
          <t>В неге светлых чувств</t>
        </is>
      </c>
      <c r="F1061" s="23" t="n">
        <v>1024</v>
      </c>
      <c r="G1061" s="23" t="n">
        <v>94</v>
      </c>
      <c r="H1061" s="23" t="n">
        <v>10</v>
      </c>
      <c r="I1061" s="23" t="n">
        <v>30</v>
      </c>
      <c r="J1061" s="23" t="inlineStr">
        <is>
          <t>978-5-227-09203-8</t>
        </is>
      </c>
      <c r="K1061" s="23" t="inlineStr">
        <is>
          <t>70x100 1/32</t>
        </is>
      </c>
      <c r="L1061" s="23" t="inlineStr">
        <is>
          <t>мяг</t>
        </is>
      </c>
      <c r="M1061" s="23" t="n">
        <v>160</v>
      </c>
      <c r="N1061" s="23" t="n">
        <v>2021</v>
      </c>
      <c r="O1061" s="23" t="n">
        <v>76</v>
      </c>
      <c r="P1061" s="23" t="n"/>
      <c r="Q1061" s="23" t="n"/>
      <c r="R1061" s="25" t="inlineStr">
        <is>
          <t>Странно, как иногда от банального столкновения с незнакомцем может поменяться вся жизнь. Жизнь Пии Монтеро была распланирована на много лет вперед. Представительнице богатейшего аристократического рода Испании предстоял брак по договоренности, устроенный родителями, и жизнь, посвященная заботам о семье и благотворительным мероприятиям. Только в эти планы совершенно не вписывались настойчивое желание Пии защитить докторскую степень по биологии, а еще влюбиться. Влюбиться так, чтобы испытать страсть и забыть все вокруг! Влюбиться не в того, кого нашла ей мать. Планы сбылись, но лишь частично. Пиа стала доктором наук и испытала головокружительную страсть с загадочным незнакомцем. Осталось лишь влюбиться!</t>
        </is>
      </c>
      <c r="S1061" s="26">
        <f>HYPERLINK("http://www.cnpol.ru/covers/19572.jpg","фото на сайте")</f>
        <v/>
      </c>
    </row>
    <row r="1062" ht="50.1" customHeight="1" s="3">
      <c r="A1062" s="23" t="n"/>
      <c r="B1062" s="24" t="inlineStr">
        <is>
          <t>18818</t>
        </is>
      </c>
      <c r="C1062" s="23" t="inlineStr">
        <is>
          <t>ЛР</t>
        </is>
      </c>
      <c r="D1062" s="23" t="inlineStr">
        <is>
          <t>Лукас Д.</t>
        </is>
      </c>
      <c r="E1062" s="23" t="inlineStr">
        <is>
          <t>В неге чувственного тумана</t>
        </is>
      </c>
      <c r="F1062" s="23" t="n">
        <v>916</v>
      </c>
      <c r="G1062" s="23" t="n">
        <v>94</v>
      </c>
      <c r="H1062" s="23" t="n">
        <v>10</v>
      </c>
      <c r="I1062" s="23" t="n">
        <v>30</v>
      </c>
      <c r="J1062" s="23" t="inlineStr">
        <is>
          <t>978-5-227-08693-8</t>
        </is>
      </c>
      <c r="K1062" s="23" t="inlineStr">
        <is>
          <t>70x100 1/32</t>
        </is>
      </c>
      <c r="L1062" s="23" t="inlineStr">
        <is>
          <t>мяг</t>
        </is>
      </c>
      <c r="M1062" s="23" t="n">
        <v>160</v>
      </c>
      <c r="N1062" s="23" t="n">
        <v>2019</v>
      </c>
      <c r="O1062" s="23" t="n">
        <v>76</v>
      </c>
      <c r="P1062" s="23" t="n"/>
      <c r="Q1062" s="23" t="n"/>
      <c r="R1062" s="25" t="inlineStr">
        <is>
          <t>Родриго Кабрера узнает, что у него есть ребенок от женщины, которую год назад он вычеркнул из своей жизни. Чтобы не лишить своего сына нормального детства, он решает жениться на его матери, Лоле Прайс. Пережив в своей жизни целых три предательства, Родриго надеется, что брак без любви не принесет ему новых страданий, только вскоре влечение к жене перерастает в более серьезные чувства, которые грозят поглотить его. И он в который раз пытается убежать от любви…</t>
        </is>
      </c>
      <c r="S1062" s="26">
        <f>HYPERLINK("http://www.cnpol.ru/covers/18818.jpg","фото на сайте")</f>
        <v/>
      </c>
    </row>
    <row r="1063" ht="50.1" customHeight="1" s="3">
      <c r="A1063" s="23" t="inlineStr">
        <is>
          <t>Н</t>
        </is>
      </c>
      <c r="B1063" s="24" t="inlineStr">
        <is>
          <t>21319</t>
        </is>
      </c>
      <c r="C1063" s="23" t="inlineStr">
        <is>
          <t>ЛР</t>
        </is>
      </c>
      <c r="D1063" s="23" t="inlineStr">
        <is>
          <t>Гонсалес Н.</t>
        </is>
      </c>
      <c r="E1063" s="23" t="inlineStr">
        <is>
          <t>В нежных объятиях дикарки</t>
        </is>
      </c>
      <c r="F1063" s="23" t="n">
        <v>1182</v>
      </c>
      <c r="G1063" s="23" t="n">
        <v>94</v>
      </c>
      <c r="H1063" s="23" t="n">
        <v>10</v>
      </c>
      <c r="I1063" s="23" t="n">
        <v>30</v>
      </c>
      <c r="J1063" s="23" t="inlineStr">
        <is>
          <t>978-5-227-10564-6</t>
        </is>
      </c>
      <c r="K1063" s="23" t="inlineStr">
        <is>
          <t>70x100 1/32</t>
        </is>
      </c>
      <c r="L1063" s="23" t="inlineStr">
        <is>
          <t>мяг</t>
        </is>
      </c>
      <c r="M1063" s="23" t="n">
        <v>159</v>
      </c>
      <c r="N1063" s="23" t="n">
        <v>2024</v>
      </c>
      <c r="O1063" s="23" t="n">
        <v>76</v>
      </c>
      <c r="P1063" s="23" t="n"/>
      <c r="Q1063" s="23" t="n"/>
      <c r="R1063" s="25" t="inlineStr">
        <is>
          <t>Бизнесмен Ник Уильямс не предполагал, что на рейсе до Ройяла, куда он летит на свадьбу своего клиента, ему встретится красавица Саша Рамос. Она настолько увлекает его, что он начинает мечтать об их семейном будущем. Но Саша всячески избегает серьезных отношений...</t>
        </is>
      </c>
      <c r="S1063" s="26">
        <f>HYPERLINK("http://www.cnpol.ru/covers/21319.jpg","фото на сайте")</f>
        <v/>
      </c>
    </row>
    <row r="1064" ht="50.1" customHeight="1" s="3">
      <c r="A1064" s="23" t="n"/>
      <c r="B1064" s="24" t="inlineStr">
        <is>
          <t>16065</t>
        </is>
      </c>
      <c r="C1064" s="23" t="inlineStr">
        <is>
          <t>ЛР</t>
        </is>
      </c>
      <c r="D1064" s="23" t="inlineStr">
        <is>
          <t>Робертс А.</t>
        </is>
      </c>
      <c r="E1064" s="23" t="inlineStr">
        <is>
          <t>В объятиях врага</t>
        </is>
      </c>
      <c r="F1064" s="23" t="n">
        <v>527</v>
      </c>
      <c r="G1064" s="23" t="n">
        <v>94</v>
      </c>
      <c r="H1064" s="23" t="n">
        <v>10</v>
      </c>
      <c r="I1064" s="23" t="n">
        <v>30</v>
      </c>
      <c r="J1064" s="23" t="inlineStr">
        <is>
          <t>978-5-227-05980-2</t>
        </is>
      </c>
      <c r="K1064" s="23" t="inlineStr">
        <is>
          <t>70x100 1/32</t>
        </is>
      </c>
      <c r="L1064" s="23" t="inlineStr">
        <is>
          <t>мяг</t>
        </is>
      </c>
      <c r="M1064" s="23" t="n">
        <v>158</v>
      </c>
      <c r="N1064" s="23" t="n">
        <v>2015</v>
      </c>
      <c r="O1064" s="23" t="n">
        <v>76</v>
      </c>
      <c r="P1064" s="23" t="n"/>
      <c r="Q1064" s="23" t="n"/>
      <c r="R1064" s="25" t="inlineStr">
        <is>
          <t>Занна обожает свой дом, но застройщики мечтают его снести. Неожиданный визит странного незнакомца дает девушке надежду на спасение старинного дома… и на личное счастье.</t>
        </is>
      </c>
      <c r="S1064" s="26">
        <f>HYPERLINK("http://www.cnpol.ru/covers/16065.jpg","фото на сайте")</f>
        <v/>
      </c>
    </row>
    <row r="1065" ht="50.1" customHeight="1" s="3">
      <c r="A1065" s="23" t="n"/>
      <c r="B1065" s="24" t="inlineStr">
        <is>
          <t>18789</t>
        </is>
      </c>
      <c r="C1065" s="23" t="inlineStr">
        <is>
          <t>ЛР</t>
        </is>
      </c>
      <c r="D1065" s="23" t="inlineStr">
        <is>
          <t>Андерсон Н.</t>
        </is>
      </c>
      <c r="E1065" s="23" t="inlineStr">
        <is>
          <t>В объятиях нежного искусителя</t>
        </is>
      </c>
      <c r="F1065" s="23" t="n">
        <v>913</v>
      </c>
      <c r="G1065" s="23" t="n">
        <v>94</v>
      </c>
      <c r="H1065" s="23" t="n">
        <v>10</v>
      </c>
      <c r="I1065" s="23" t="n">
        <v>30</v>
      </c>
      <c r="J1065" s="23" t="inlineStr">
        <is>
          <t>978-5-227-08664-8</t>
        </is>
      </c>
      <c r="K1065" s="23" t="inlineStr">
        <is>
          <t>70x100 1/32</t>
        </is>
      </c>
      <c r="L1065" s="23" t="inlineStr">
        <is>
          <t>мяг</t>
        </is>
      </c>
      <c r="M1065" s="23" t="n">
        <v>160</v>
      </c>
      <c r="N1065" s="23" t="n">
        <v>2019</v>
      </c>
      <c r="O1065" s="23" t="n">
        <v>76</v>
      </c>
      <c r="P1065" s="23" t="n"/>
      <c r="Q1065" s="23" t="n"/>
      <c r="R1065" s="25" t="inlineStr">
        <is>
          <t>Кассиани Маррон – удивительно красивая девушка, у нее нет отбоя от поклонников, и все же ни один из них не заставил ее сердце сбиться с ритма. Волею судьбы она вынуждена провести несколько дней в доме короля Георгоса – властного, надменного, не способного на простые человеческие чувства. Но именно рядом с этим мужчиной в Кэсси неожиданно просыпается спавшая до той поры чувственность.</t>
        </is>
      </c>
      <c r="S1065" s="26">
        <f>HYPERLINK("http://www.cnpol.ru/covers/18789.jpg","фото на сайте")</f>
        <v/>
      </c>
    </row>
    <row r="1066" ht="50.1" customHeight="1" s="3">
      <c r="A1066" s="23" t="n"/>
      <c r="B1066" s="24" t="inlineStr">
        <is>
          <t>15522</t>
        </is>
      </c>
      <c r="C1066" s="23" t="inlineStr">
        <is>
          <t>ЛР</t>
        </is>
      </c>
      <c r="D1066" s="23" t="inlineStr">
        <is>
          <t>Уэст Э.</t>
        </is>
      </c>
      <c r="E1066" s="23" t="inlineStr">
        <is>
          <t>В объятиях незнакомца</t>
        </is>
      </c>
      <c r="F1066" s="23" t="n">
        <v>457</v>
      </c>
      <c r="G1066" s="23" t="n">
        <v>94</v>
      </c>
      <c r="H1066" s="23" t="n">
        <v>10</v>
      </c>
      <c r="I1066" s="23" t="n">
        <v>30</v>
      </c>
      <c r="J1066" s="23" t="inlineStr">
        <is>
          <t>978-5-227-05486-9</t>
        </is>
      </c>
      <c r="K1066" s="23" t="inlineStr">
        <is>
          <t>70x100 1/32</t>
        </is>
      </c>
      <c r="L1066" s="23" t="inlineStr">
        <is>
          <t>мяг</t>
        </is>
      </c>
      <c r="M1066" s="23" t="n">
        <v>158</v>
      </c>
      <c r="N1066" s="23" t="n">
        <v>2014</v>
      </c>
      <c r="O1066" s="23" t="n">
        <v>76</v>
      </c>
      <c r="P1066" s="23" t="n"/>
      <c r="Q1066" s="23" t="n"/>
      <c r="R1066" s="25" t="inlineStr">
        <is>
          <t>Лейла, много лет прожившая с отчимом­тираном, готова выйти замуж за выбранного им жениха, Джосса Кармоди. Брак для нее — путь к свободе. Она согласна на все требования, которые выдвигает Джосс, даже самые невероятные. Какая жизнь ее ждет с незнакомым мужчиной, которого интересует ее приданое, а не она сама?</t>
        </is>
      </c>
      <c r="S1066" s="26">
        <f>HYPERLINK("http://www.cnpol.ru/covers/15522.jpg","фото на сайте")</f>
        <v/>
      </c>
    </row>
    <row r="1067" ht="50.1" customHeight="1" s="3">
      <c r="A1067" s="23" t="n"/>
      <c r="B1067" s="24" t="inlineStr">
        <is>
          <t>16524</t>
        </is>
      </c>
      <c r="C1067" s="23" t="inlineStr">
        <is>
          <t>ЛР</t>
        </is>
      </c>
      <c r="D1067" s="23" t="inlineStr">
        <is>
          <t>Эйтс М.</t>
        </is>
      </c>
      <c r="E1067" s="23" t="inlineStr">
        <is>
          <t>В объятиях снежной леди</t>
        </is>
      </c>
      <c r="F1067" s="23" t="n">
        <v>589</v>
      </c>
      <c r="G1067" s="23" t="n">
        <v>94</v>
      </c>
      <c r="H1067" s="23" t="n">
        <v>10</v>
      </c>
      <c r="I1067" s="23" t="n">
        <v>30</v>
      </c>
      <c r="J1067" s="23" t="inlineStr">
        <is>
          <t>978-5-227-06485-1</t>
        </is>
      </c>
      <c r="K1067" s="23" t="inlineStr">
        <is>
          <t>75x100 1/32</t>
        </is>
      </c>
      <c r="L1067" s="23" t="inlineStr">
        <is>
          <t>мяг</t>
        </is>
      </c>
      <c r="M1067" s="23" t="n">
        <v>158</v>
      </c>
      <c r="N1067" s="23" t="n">
        <v>2016</v>
      </c>
      <c r="O1067" s="23" t="n">
        <v>76</v>
      </c>
      <c r="P1067" s="23" t="n"/>
      <c r="Q1067" s="23" t="n"/>
      <c r="R1067" s="25" t="inlineStr">
        <is>
          <t>Двенадцать лет назад роковая ошибка юной Виктории Колдер стоила ее отцу семейного бизнеса. Решив во что бы то ни стало ее исправить, она обращается за помощью к новому владельцу компании Дмитрию Маркину. Репутация этого мужчины оставляет желать лучшего, но это не мешает Виктории сделать ему заманчивое предложение…</t>
        </is>
      </c>
      <c r="S1067" s="26">
        <f>HYPERLINK("http://www.cnpol.ru/covers/16524.jpg","фото на сайте")</f>
        <v/>
      </c>
    </row>
    <row r="1068" ht="50.1" customHeight="1" s="3">
      <c r="A1068" s="23" t="n"/>
      <c r="B1068" s="24" t="inlineStr">
        <is>
          <t>18226</t>
        </is>
      </c>
      <c r="C1068" s="23" t="inlineStr">
        <is>
          <t>ЛР</t>
        </is>
      </c>
      <c r="D1068" s="23" t="inlineStr">
        <is>
          <t>Маринелли К.</t>
        </is>
      </c>
      <c r="E1068" s="23" t="inlineStr">
        <is>
          <t>В объятиях страстного сицилианца</t>
        </is>
      </c>
      <c r="F1068" s="23" t="n">
        <v>823</v>
      </c>
      <c r="G1068" s="23" t="n">
        <v>94</v>
      </c>
      <c r="H1068" s="23" t="n">
        <v>10</v>
      </c>
      <c r="I1068" s="23" t="n">
        <v>30</v>
      </c>
      <c r="J1068" s="23" t="inlineStr">
        <is>
          <t>978-5-227-08217-6</t>
        </is>
      </c>
      <c r="K1068" s="23" t="inlineStr">
        <is>
          <t>70x100 1/32</t>
        </is>
      </c>
      <c r="L1068" s="23" t="inlineStr">
        <is>
          <t>мяг</t>
        </is>
      </c>
      <c r="M1068" s="23" t="n">
        <v>160</v>
      </c>
      <c r="N1068" s="23" t="n">
        <v>2018</v>
      </c>
      <c r="O1068" s="23" t="n">
        <v>76</v>
      </c>
      <c r="P1068" s="23" t="n"/>
      <c r="Q1068" s="23" t="n"/>
      <c r="R1068" s="25" t="inlineStr">
        <is>
          <t>Сицилийский богач Бастиано Конти не знал в своей жизни ни любви, ни привязанности. Встретив в одном из римских отелей улыбчивую горничную Софи, он словно ожил. Только девушка оказалась нечистой на руку. Бастиано порвал с ней всяческие отношения, но вскоре узнал, что она беременна от него. Движимый чувством долга, он находит Софи и делает ей предложение. Только принесет ли им счастье союз, в котором нет любви?</t>
        </is>
      </c>
      <c r="S1068" s="26">
        <f>HYPERLINK("http://www.cnpol.ru/covers/18226.jpg","фото на сайте")</f>
        <v/>
      </c>
    </row>
    <row r="1069" ht="50.1" customHeight="1" s="3">
      <c r="A1069" s="23" t="n"/>
      <c r="B1069" s="24" t="inlineStr">
        <is>
          <t>18038</t>
        </is>
      </c>
      <c r="C1069" s="23" t="inlineStr">
        <is>
          <t>ЛР</t>
        </is>
      </c>
      <c r="D1069" s="23" t="inlineStr">
        <is>
          <t>Шоу Ш.</t>
        </is>
      </c>
      <c r="E1069" s="23" t="inlineStr">
        <is>
          <t>В плену равнодушного сердца</t>
        </is>
      </c>
      <c r="F1069" s="23" t="n">
        <v>798</v>
      </c>
      <c r="G1069" s="23" t="n">
        <v>94</v>
      </c>
      <c r="H1069" s="23" t="n">
        <v>10</v>
      </c>
      <c r="I1069" s="23" t="n">
        <v>30</v>
      </c>
      <c r="J1069" s="23" t="inlineStr">
        <is>
          <t>978-5-227-08085-1</t>
        </is>
      </c>
      <c r="K1069" s="23" t="inlineStr">
        <is>
          <t>70x100 1/32</t>
        </is>
      </c>
      <c r="L1069" s="23" t="inlineStr">
        <is>
          <t>мяг</t>
        </is>
      </c>
      <c r="M1069" s="23" t="n">
        <v>160</v>
      </c>
      <c r="N1069" s="23" t="n">
        <v>2018</v>
      </c>
      <c r="O1069" s="23" t="n">
        <v>76</v>
      </c>
      <c r="P1069" s="23" t="n"/>
      <c r="Q1069" s="23" t="n"/>
      <c r="R1069" s="25" t="inlineStr">
        <is>
          <t>Джарек Дворска Сандерсон не готов проходить курс психотерапии, но ради здоровья своей сестры, которая находится на последнем месяце беременности, соглашается провести несколько недель в одной из частных клиник в Австрийских Альпах. В преследующих его ночных кошмарах он часто видит странные события, которые могли происходить с ним в реальности. Чтобы бороться с ними, Джарек прибегает к алкоголю и разнузданному образу жизни, пока не встречает доктора Холли Мейтленд, в которую влюбляется с первого взгляда…</t>
        </is>
      </c>
      <c r="S1069" s="26">
        <f>HYPERLINK("http://www.cnpol.ru/covers/18038.jpg","фото на сайте")</f>
        <v/>
      </c>
    </row>
    <row r="1070" ht="50.1" customHeight="1" s="3">
      <c r="A1070" s="23" t="n"/>
      <c r="B1070" s="24" t="inlineStr">
        <is>
          <t>18282</t>
        </is>
      </c>
      <c r="C1070" s="23" t="inlineStr">
        <is>
          <t>ЛР</t>
        </is>
      </c>
      <c r="D1070" s="23" t="inlineStr">
        <is>
          <t>Уильямс А.</t>
        </is>
      </c>
      <c r="E1070" s="23" t="inlineStr">
        <is>
          <t>В плену соблазна</t>
        </is>
      </c>
      <c r="F1070" s="23" t="n">
        <v>832</v>
      </c>
      <c r="G1070" s="23" t="n">
        <v>94</v>
      </c>
      <c r="H1070" s="23" t="n">
        <v>10</v>
      </c>
      <c r="I1070" s="23" t="n">
        <v>30</v>
      </c>
      <c r="J1070" s="23" t="inlineStr">
        <is>
          <t>978-5-227-08242-8</t>
        </is>
      </c>
      <c r="K1070" s="23" t="inlineStr">
        <is>
          <t>70x100 1/32</t>
        </is>
      </c>
      <c r="L1070" s="23" t="inlineStr">
        <is>
          <t>мяг</t>
        </is>
      </c>
      <c r="M1070" s="23" t="n">
        <v>160</v>
      </c>
      <c r="N1070" s="23" t="n">
        <v>2018</v>
      </c>
      <c r="O1070" s="23" t="n">
        <v>76</v>
      </c>
      <c r="P1070" s="23" t="n"/>
      <c r="Q1070" s="23" t="n"/>
      <c r="R1070" s="25" t="inlineStr">
        <is>
          <t>Владелец крупной компании, красавец плейбой Лукас Киприани, заподозрил свою подчиненную, программиста Кэти Бреннан, в промышленном шпионаже. Он вызывает провинившуюся сотрудницу к себе. Ожидая увидеть дурнушку в очках с толстыми стеклами, Лукас был поражен — девушка оказалась очаровательной. И у него тут же созрел план уединиться с ней на пустующей вилле в надежде на очередное романтическое приключение.</t>
        </is>
      </c>
      <c r="S1070" s="26">
        <f>HYPERLINK("http://www.cnpol.ru/covers/18282.jpg","фото на сайте")</f>
        <v/>
      </c>
    </row>
    <row r="1071" ht="50.1" customHeight="1" s="3">
      <c r="A1071" s="23" t="n"/>
      <c r="B1071" s="24" t="inlineStr">
        <is>
          <t>19795</t>
        </is>
      </c>
      <c r="C1071" s="23" t="inlineStr">
        <is>
          <t>ЛР</t>
        </is>
      </c>
      <c r="D1071" s="23" t="inlineStr">
        <is>
          <t>Уоллис Бадж</t>
        </is>
      </c>
      <c r="E1071" s="23" t="inlineStr">
        <is>
          <t>В плену чужой страсти</t>
        </is>
      </c>
      <c r="F1071" s="23" t="n">
        <v>1049</v>
      </c>
      <c r="G1071" s="23" t="n">
        <v>94</v>
      </c>
      <c r="H1071" s="23" t="n">
        <v>10</v>
      </c>
      <c r="I1071" s="23" t="n">
        <v>30</v>
      </c>
      <c r="J1071" s="23" t="inlineStr">
        <is>
          <t>978-5-227-09404-9</t>
        </is>
      </c>
      <c r="K1071" s="23" t="inlineStr">
        <is>
          <t>70x100 1/32</t>
        </is>
      </c>
      <c r="L1071" s="23" t="inlineStr">
        <is>
          <t>мяг</t>
        </is>
      </c>
      <c r="M1071" s="23" t="n">
        <v>160</v>
      </c>
      <c r="N1071" s="23" t="n">
        <v>2021</v>
      </c>
      <c r="O1071" s="23" t="n">
        <v>76</v>
      </c>
      <c r="P1071" s="23" t="n"/>
      <c r="Q1071" s="23" t="n"/>
      <c r="R1071" s="25" t="inlineStr">
        <is>
          <t>Богатая наследница Сьюзен Кольер устала от одиночества. Она считает себя неудачницей, которую все с трудом терпят. Желая изменить о себе мнение, она соглашается на фиктивный роман с  известным футболистом, думая, что никогда его не полюбит.</t>
        </is>
      </c>
      <c r="S1071" s="26">
        <f>HYPERLINK("http://www.cnpol.ru/covers/19795.jpg","фото на сайте")</f>
        <v/>
      </c>
    </row>
    <row r="1072" ht="50.1" customHeight="1" s="3">
      <c r="A1072" s="23" t="n"/>
      <c r="B1072" s="24" t="inlineStr">
        <is>
          <t>19013</t>
        </is>
      </c>
      <c r="C1072" s="23" t="inlineStr">
        <is>
          <t>ЛР</t>
        </is>
      </c>
      <c r="D1072" s="23" t="inlineStr">
        <is>
          <t>Райс Х.</t>
        </is>
      </c>
      <c r="E1072" s="23" t="inlineStr">
        <is>
          <t>В сетях искушения</t>
        </is>
      </c>
      <c r="F1072" s="23" t="n">
        <v>956</v>
      </c>
      <c r="G1072" s="23" t="n">
        <v>94</v>
      </c>
      <c r="H1072" s="23" t="n">
        <v>10</v>
      </c>
      <c r="I1072" s="23" t="n">
        <v>30</v>
      </c>
      <c r="J1072" s="23" t="inlineStr">
        <is>
          <t>978-5-227-08909-0</t>
        </is>
      </c>
      <c r="K1072" s="23" t="inlineStr">
        <is>
          <t>70x100 1/32</t>
        </is>
      </c>
      <c r="L1072" s="23" t="inlineStr">
        <is>
          <t>мяг</t>
        </is>
      </c>
      <c r="M1072" s="23" t="n">
        <v>160</v>
      </c>
      <c r="N1072" s="23" t="n">
        <v>2020</v>
      </c>
      <c r="O1072" s="23" t="n">
        <v>76</v>
      </c>
      <c r="P1072" s="23" t="n"/>
      <c r="Q1072" s="23" t="n"/>
      <c r="R1072" s="25" t="n"/>
      <c r="S1072" s="26">
        <f>HYPERLINK("http://www.cnpol.ru/covers/19013.jpg","фото на сайте")</f>
        <v/>
      </c>
    </row>
    <row r="1073" ht="50.1" customHeight="1" s="3">
      <c r="A1073" s="23" t="n"/>
      <c r="B1073" s="24" t="inlineStr">
        <is>
          <t>16270</t>
        </is>
      </c>
      <c r="C1073" s="23" t="inlineStr">
        <is>
          <t>ЛР</t>
        </is>
      </c>
      <c r="D1073" s="23" t="inlineStr">
        <is>
          <t>Эйтс М.</t>
        </is>
      </c>
      <c r="E1073" s="23" t="inlineStr">
        <is>
          <t>В твоей власти</t>
        </is>
      </c>
      <c r="F1073" s="23" t="n">
        <v>555</v>
      </c>
      <c r="G1073" s="23" t="n">
        <v>94</v>
      </c>
      <c r="H1073" s="23" t="n">
        <v>10</v>
      </c>
      <c r="I1073" s="23" t="n">
        <v>30</v>
      </c>
      <c r="J1073" s="23" t="inlineStr">
        <is>
          <t>978-5-227-06165-2</t>
        </is>
      </c>
      <c r="K1073" s="23" t="inlineStr">
        <is>
          <t>70x100 1/32</t>
        </is>
      </c>
      <c r="L1073" s="23" t="inlineStr">
        <is>
          <t>мяг</t>
        </is>
      </c>
      <c r="M1073" s="23" t="n">
        <v>158</v>
      </c>
      <c r="N1073" s="23" t="n">
        <v>2015</v>
      </c>
      <c r="O1073" s="23" t="n">
        <v>76</v>
      </c>
      <c r="P1073" s="23" t="n"/>
      <c r="Q1073" s="23" t="n"/>
      <c r="R1073" s="25" t="inlineStr">
        <is>
          <t>В поисках компромата на влиятельную семью Чатсфилд журналистка Софи Парсонс организовывает слежку за шейхом Зейном аль­Ахмаром, сестра которого вскоре должна выйти замуж за одного из братьев Чатсфилд. Шейх перехитрил Софи в этой игре: он берет ее в плен и увозит в свою страну. Однако вместо отчаяния и ужаса Софи начинает испытывать симпатию к красавцу Зейну. Захочет ли она вырваться из этого сладкого плена?</t>
        </is>
      </c>
      <c r="S1073" s="26">
        <f>HYPERLINK("http://www.cnpol.ru/covers/16270.jpg","фото на сайте")</f>
        <v/>
      </c>
    </row>
    <row r="1074" ht="50.1" customHeight="1" s="3">
      <c r="A1074" s="23" t="n"/>
      <c r="B1074" s="24" t="inlineStr">
        <is>
          <t>16376</t>
        </is>
      </c>
      <c r="C1074" s="23" t="inlineStr">
        <is>
          <t>ЛР</t>
        </is>
      </c>
      <c r="D1074" s="23" t="inlineStr">
        <is>
          <t>Кендрик Ш.</t>
        </is>
      </c>
      <c r="E1074" s="23" t="inlineStr">
        <is>
          <t>Великолепный соблазнитель</t>
        </is>
      </c>
      <c r="F1074" s="23" t="n">
        <v>569</v>
      </c>
      <c r="G1074" s="23" t="n">
        <v>94</v>
      </c>
      <c r="H1074" s="23" t="n">
        <v>10</v>
      </c>
      <c r="I1074" s="23" t="n">
        <v>30</v>
      </c>
      <c r="J1074" s="23" t="inlineStr">
        <is>
          <t>978-5-227-06251-2</t>
        </is>
      </c>
      <c r="K1074" s="23" t="inlineStr">
        <is>
          <t>70x100 1/32</t>
        </is>
      </c>
      <c r="L1074" s="23" t="inlineStr">
        <is>
          <t>мяг</t>
        </is>
      </c>
      <c r="M1074" s="23" t="n">
        <v>158</v>
      </c>
      <c r="N1074" s="23" t="n">
        <v>2015</v>
      </c>
      <c r="O1074" s="23" t="n">
        <v>76</v>
      </c>
      <c r="P1074" s="23" t="n"/>
      <c r="Q1074" s="23" t="n"/>
      <c r="R1074" s="25" t="inlineStr">
        <is>
          <t>Карли Коннер работает домработницей в особняке красавца Луиса Мартинеза, миллионера и плейбоя. Долгое время она была для него лишь деталью интерьера. Но после невинного массажа Луис заметил, что под бесформенной одеждой домработницы скрывается восхитительное тело. Он сделал ее своей любовницей, однако пре­дупредил: не стоит ждать свадебных колоколов…</t>
        </is>
      </c>
      <c r="S1074" s="26">
        <f>HYPERLINK("http://www.cnpol.ru/covers/16376.jpg","фото на сайте")</f>
        <v/>
      </c>
    </row>
    <row r="1075" ht="50.1" customHeight="1" s="3">
      <c r="A1075" s="23" t="n"/>
      <c r="B1075" s="24" t="inlineStr">
        <is>
          <t>19004</t>
        </is>
      </c>
      <c r="C1075" s="23" t="inlineStr">
        <is>
          <t>ЛР</t>
        </is>
      </c>
      <c r="D1075" s="23" t="inlineStr">
        <is>
          <t>Шеперд К.</t>
        </is>
      </c>
      <c r="E1075" s="23" t="inlineStr">
        <is>
          <t>Венчание без невесты</t>
        </is>
      </c>
      <c r="F1075" s="23" t="n">
        <v>952</v>
      </c>
      <c r="G1075" s="23" t="n">
        <v>94</v>
      </c>
      <c r="H1075" s="23" t="n">
        <v>10</v>
      </c>
      <c r="I1075" s="23" t="n">
        <v>30</v>
      </c>
      <c r="J1075" s="23" t="inlineStr">
        <is>
          <t>978-5-227-08883-3</t>
        </is>
      </c>
      <c r="K1075" s="23" t="inlineStr">
        <is>
          <t>70x100 1/32</t>
        </is>
      </c>
      <c r="L1075" s="23" t="inlineStr">
        <is>
          <t>мяг</t>
        </is>
      </c>
      <c r="M1075" s="23" t="n">
        <v>160</v>
      </c>
      <c r="N1075" s="23" t="n">
        <v>2020</v>
      </c>
      <c r="O1075" s="23" t="n">
        <v>76</v>
      </c>
      <c r="P1075" s="23" t="n"/>
      <c r="Q1075" s="23" t="n"/>
      <c r="R1075" s="25" t="inlineStr">
        <is>
          <t>Стоя перед дверьми церкви, где через несколько минут должна была начаться свадебная церемония, Никки Лукас внезапно поняла: нет, на этой свадьбе не будет самого главного! Там не будет невесты! Невеста, а именно ей и была Никки, была не готова шагнуть навстречу катастрофе, в которую грозила превратиться ее семейная жизнь. Свидетель жениха, бывший спортсмен и любимец женщин Макс Конвей, разрабатывает для Никки план побега со свадьбы. Но эта инициатива привела к неожиданным последствиям…</t>
        </is>
      </c>
      <c r="S1075" s="26">
        <f>HYPERLINK("http://www.cnpol.ru/covers/19004.jpg","фото на сайте")</f>
        <v/>
      </c>
    </row>
    <row r="1076" ht="50.1" customHeight="1" s="3">
      <c r="A1076" s="23" t="n"/>
      <c r="B1076" s="24" t="inlineStr">
        <is>
          <t>19335</t>
        </is>
      </c>
      <c r="C1076" s="23" t="inlineStr">
        <is>
          <t>ЛР</t>
        </is>
      </c>
      <c r="D1076" s="23" t="inlineStr">
        <is>
          <t>Френсис Б.</t>
        </is>
      </c>
      <c r="E1076" s="23" t="inlineStr">
        <is>
          <t>Верни мое счастье</t>
        </is>
      </c>
      <c r="F1076" s="23" t="n">
        <v>996</v>
      </c>
      <c r="G1076" s="23" t="n">
        <v>94</v>
      </c>
      <c r="H1076" s="23" t="n">
        <v>10</v>
      </c>
      <c r="I1076" s="23" t="n">
        <v>30</v>
      </c>
      <c r="J1076" s="23" t="inlineStr">
        <is>
          <t>978-5-227-09076-8</t>
        </is>
      </c>
      <c r="K1076" s="23" t="inlineStr">
        <is>
          <t>70x100 1/32</t>
        </is>
      </c>
      <c r="L1076" s="23" t="inlineStr">
        <is>
          <t>мяг</t>
        </is>
      </c>
      <c r="M1076" s="23" t="n">
        <v>160</v>
      </c>
      <c r="N1076" s="23" t="n">
        <v>2020</v>
      </c>
      <c r="O1076" s="23" t="n">
        <v>76</v>
      </c>
      <c r="P1076" s="23" t="n"/>
      <c r="Q1076" s="23" t="n"/>
      <c r="R1076" s="25" t="inlineStr">
        <is>
          <t>Балерина Руби Мартин вскружила голову итальянскому банкиру Маттео Россини с первого взгляда. После страстной ночи они расстаются, но вскоре Руби узнает, что беременна. Не желая бросать карьеру ради ребенка, она просит Маттео помочь ей…</t>
        </is>
      </c>
      <c r="S1076" s="26">
        <f>HYPERLINK("http://www.cnpol.ru/covers/19335.jpg","фото на сайте")</f>
        <v/>
      </c>
    </row>
    <row r="1077" ht="50.1" customHeight="1" s="3">
      <c r="A1077" s="23" t="n"/>
      <c r="B1077" s="24" t="inlineStr">
        <is>
          <t>16465</t>
        </is>
      </c>
      <c r="C1077" s="23" t="inlineStr">
        <is>
          <t>ЛР</t>
        </is>
      </c>
      <c r="D1077" s="23" t="inlineStr">
        <is>
          <t>Шоу Ш.</t>
        </is>
      </c>
      <c r="E1077" s="23" t="inlineStr">
        <is>
          <t>Вернуть его кольцо</t>
        </is>
      </c>
      <c r="F1077" s="23" t="n">
        <v>581</v>
      </c>
      <c r="G1077" s="23" t="n">
        <v>94</v>
      </c>
      <c r="H1077" s="23" t="n">
        <v>10</v>
      </c>
      <c r="I1077" s="23" t="n">
        <v>30</v>
      </c>
      <c r="J1077" s="23" t="inlineStr">
        <is>
          <t>978-5-227-06389-2</t>
        </is>
      </c>
      <c r="K1077" s="23" t="inlineStr">
        <is>
          <t>70x100 1/32</t>
        </is>
      </c>
      <c r="L1077" s="23" t="inlineStr">
        <is>
          <t>мяг</t>
        </is>
      </c>
      <c r="M1077" s="23" t="n">
        <v>158</v>
      </c>
      <c r="N1077" s="23" t="n">
        <v>2016</v>
      </c>
      <c r="O1077" s="23" t="n">
        <v>76</v>
      </c>
      <c r="P1077" s="23" t="n"/>
      <c r="Q1077" s="23" t="n"/>
      <c r="R1077" s="25" t="inlineStr">
        <is>
          <t>Брак с маркизом Константином де Северино вместо долгожданного счастья принес певице Изабель Блейк только горе и страдания. Уйдя от мужа, она добилась успеха в музыкальной карьере и обрела уверенность в себе. Когда спустя два года он вдруг ворвался в ее жизнь и предложил начать все сначала, она поняла, что тоже хочет этого, но им мешают темные тайны его прошлого…</t>
        </is>
      </c>
      <c r="S1077" s="26">
        <f>HYPERLINK("http://www.cnpol.ru/covers/16465.jpg","фото на сайте")</f>
        <v/>
      </c>
    </row>
    <row r="1078" ht="50.1" customHeight="1" s="3">
      <c r="A1078" s="23" t="n"/>
      <c r="B1078" s="24" t="inlineStr">
        <is>
          <t>16166</t>
        </is>
      </c>
      <c r="C1078" s="23" t="inlineStr">
        <is>
          <t>ЛР</t>
        </is>
      </c>
      <c r="D1078" s="23" t="inlineStr">
        <is>
          <t>Хейворд Дженнифер</t>
        </is>
      </c>
      <c r="E1078" s="23" t="inlineStr">
        <is>
          <t>Вечеринка в честь развода</t>
        </is>
      </c>
      <c r="F1078" s="23" t="n">
        <v>542</v>
      </c>
      <c r="G1078" s="23" t="n">
        <v>94</v>
      </c>
      <c r="H1078" s="23" t="n">
        <v>10</v>
      </c>
      <c r="I1078" s="23" t="n">
        <v>30</v>
      </c>
      <c r="J1078" s="23" t="inlineStr">
        <is>
          <t>978-5-227-06141-6</t>
        </is>
      </c>
      <c r="K1078" s="23" t="inlineStr">
        <is>
          <t>70x100 1/32</t>
        </is>
      </c>
      <c r="L1078" s="23" t="inlineStr">
        <is>
          <t>мяг</t>
        </is>
      </c>
      <c r="M1078" s="23" t="n">
        <v>158</v>
      </c>
      <c r="N1078" s="23" t="n">
        <v>2015</v>
      </c>
      <c r="O1078" s="23" t="n">
        <v>76</v>
      </c>
      <c r="P1078" s="23" t="n"/>
      <c r="Q1078" s="23" t="n"/>
      <c r="R1078" s="25" t="inlineStr">
        <is>
          <t>Лили Андерсон собиралась на вечеринку в честь своего развода с красавцем Риккардо, а попала в ловушку — муж хочет, чтобы они остались в браке еще на полгода. Риккардо предлагает Лили щедрую компенсацию за то, что она должна будет играть роль любящей ­супруги, и та соглашается — ведь у нее есть на то веские причины...</t>
        </is>
      </c>
      <c r="S1078" s="26">
        <f>HYPERLINK("http://www.cnpol.ru/covers/16166.jpg","фото на сайте")</f>
        <v/>
      </c>
    </row>
    <row r="1079" ht="50.1" customHeight="1" s="3">
      <c r="A1079" s="23" t="n"/>
      <c r="B1079" s="24" t="inlineStr">
        <is>
          <t>17471</t>
        </is>
      </c>
      <c r="C1079" s="23" t="inlineStr">
        <is>
          <t>ЛР</t>
        </is>
      </c>
      <c r="D1079" s="23" t="inlineStr">
        <is>
          <t>Уильямс А.</t>
        </is>
      </c>
      <c r="E1079" s="23" t="inlineStr">
        <is>
          <t>Вихрь желаний</t>
        </is>
      </c>
      <c r="F1079" s="23" t="n">
        <v>717</v>
      </c>
      <c r="G1079" s="23" t="n">
        <v>94</v>
      </c>
      <c r="H1079" s="23" t="n">
        <v>10</v>
      </c>
      <c r="I1079" s="23" t="n">
        <v>30</v>
      </c>
      <c r="J1079" s="23" t="inlineStr">
        <is>
          <t>978-5-227-07473-7</t>
        </is>
      </c>
      <c r="K1079" s="23" t="inlineStr">
        <is>
          <t>70x100 1/32</t>
        </is>
      </c>
      <c r="L1079" s="23" t="inlineStr">
        <is>
          <t>мяг</t>
        </is>
      </c>
      <c r="M1079" s="23" t="n">
        <v>160</v>
      </c>
      <c r="N1079" s="23" t="n">
        <v>2017</v>
      </c>
      <c r="O1079" s="23" t="n">
        <v>76</v>
      </c>
      <c r="P1079" s="23" t="n"/>
      <c r="Q1079" s="23" t="n"/>
      <c r="R1079" s="25" t="inlineStr">
        <is>
          <t>Не в силах указать заблудившемуся в метель путнику на дверь, Бекки решается пустить его к себе на ночь. Но стоит им оказаться наедине, как ее мысли сразу же заполняют эротические фантазии с участием незнакомца. И это притом, что она никогда не любила надменных заносчивых богачей, всерьез упивающихся собственным могуществом. Проще говоря, Бекки никогда не стала бы тратить время на самоуверенного и властного дельца. Но это не отменяет того, что ее новый знакомый чертовски красив и его просто невозможно выбросить из головы...</t>
        </is>
      </c>
      <c r="S1079" s="26">
        <f>HYPERLINK("http://www.cnpol.ru/covers/17471.jpg","фото на сайте")</f>
        <v/>
      </c>
    </row>
    <row r="1080" ht="50.1" customHeight="1" s="3">
      <c r="A1080" s="23" t="n"/>
      <c r="B1080" s="24" t="inlineStr">
        <is>
          <t>20312</t>
        </is>
      </c>
      <c r="C1080" s="23" t="inlineStr">
        <is>
          <t>ЛР</t>
        </is>
      </c>
      <c r="D1080" s="23" t="inlineStr">
        <is>
          <t>Уинтерз Р.</t>
        </is>
      </c>
      <c r="E1080" s="23" t="inlineStr">
        <is>
          <t>Властелин ее желаний</t>
        </is>
      </c>
      <c r="F1080" s="23" t="n">
        <v>1099</v>
      </c>
      <c r="G1080" s="23" t="n">
        <v>94</v>
      </c>
      <c r="H1080" s="23" t="n">
        <v>10</v>
      </c>
      <c r="I1080" s="23" t="n">
        <v>30</v>
      </c>
      <c r="J1080" s="23" t="inlineStr">
        <is>
          <t>978-5-227-09847-4</t>
        </is>
      </c>
      <c r="K1080" s="23" t="inlineStr">
        <is>
          <t>70x100 1/32</t>
        </is>
      </c>
      <c r="L1080" s="23" t="inlineStr">
        <is>
          <t>мяг</t>
        </is>
      </c>
      <c r="M1080" s="23" t="n">
        <v>159</v>
      </c>
      <c r="N1080" s="23" t="n">
        <v>2022</v>
      </c>
      <c r="O1080" s="23" t="n">
        <v>76</v>
      </c>
      <c r="P1080" s="23" t="n"/>
      <c r="Q1080" s="23" t="n"/>
      <c r="R1080" s="25" t="inlineStr">
        <is>
          <t>Нико, талантливый и известный доктор, с первого взгляда попадает под обаяние своей новой знакомой — милой принцессы Фаусты. Оба так увлечены друг другом, что совершенно не в силах противиться отчаянной страсти. Казалось бы, впереди их обоих ждет счастливое безоблачное будущее. Но Нико скрывает от Фаусты важные подробности своей жизни...</t>
        </is>
      </c>
      <c r="S1080" s="26">
        <f>HYPERLINK("http://www.cnpol.ru/covers/20312.jpg","фото на сайте")</f>
        <v/>
      </c>
    </row>
    <row r="1081" ht="50.1" customHeight="1" s="3">
      <c r="A1081" s="23" t="n"/>
      <c r="B1081" s="24" t="inlineStr">
        <is>
          <t>18846</t>
        </is>
      </c>
      <c r="C1081" s="23" t="inlineStr">
        <is>
          <t>ЛР</t>
        </is>
      </c>
      <c r="D1081" s="23" t="inlineStr">
        <is>
          <t>Блейк М.</t>
        </is>
      </c>
      <c r="E1081" s="23" t="inlineStr">
        <is>
          <t>Влюбись в меня за час</t>
        </is>
      </c>
      <c r="F1081" s="23" t="n">
        <v>923</v>
      </c>
      <c r="G1081" s="23" t="n">
        <v>94</v>
      </c>
      <c r="H1081" s="23" t="n">
        <v>10</v>
      </c>
      <c r="I1081" s="23" t="n">
        <v>30</v>
      </c>
      <c r="J1081" s="23" t="inlineStr">
        <is>
          <t>978-5-227-08725-6</t>
        </is>
      </c>
      <c r="K1081" s="23" t="inlineStr">
        <is>
          <t>70x100 1/32</t>
        </is>
      </c>
      <c r="L1081" s="23" t="inlineStr">
        <is>
          <t>мяг</t>
        </is>
      </c>
      <c r="M1081" s="23" t="n">
        <v>160</v>
      </c>
      <c r="N1081" s="23" t="n">
        <v>2019</v>
      </c>
      <c r="O1081" s="23" t="n">
        <v>76</v>
      </c>
      <c r="P1081" s="23" t="n"/>
      <c r="Q1081" s="23" t="n"/>
      <c r="R1081" s="25" t="inlineStr">
        <is>
          <t>Официантка Мэдди Майерс играет роль любовницы Жюля Монтаня — богатого королевского наследника и постоянного героя желтой прессы.  Ей нужны деньги   на лечение отца. Неожиданно объявляется старший брат Жюля, Ремирес Монтегова. Вскоре ему предстоит стать королем. Чтобы избежать публичных скандалов и  нейтрализовать своего беспутного брата, Ремирес предлагает Мэдди сделку: она выйдет за него замуж, а он позаботится о том, чтобы ее отец выздоровел.</t>
        </is>
      </c>
      <c r="S1081" s="26">
        <f>HYPERLINK("http://www.cnpol.ru/covers/18846.jpg","фото на сайте")</f>
        <v/>
      </c>
    </row>
    <row r="1082" ht="50.1" customHeight="1" s="3">
      <c r="A1082" s="23" t="n"/>
      <c r="B1082" s="24" t="inlineStr">
        <is>
          <t>16633</t>
        </is>
      </c>
      <c r="C1082" s="23" t="inlineStr">
        <is>
          <t>ЛР</t>
        </is>
      </c>
      <c r="D1082" s="23" t="inlineStr">
        <is>
          <t>Лоренс А.</t>
        </is>
      </c>
      <c r="E1082" s="23" t="inlineStr">
        <is>
          <t>Влюбить в себя жену</t>
        </is>
      </c>
      <c r="F1082" s="23" t="n">
        <v>602</v>
      </c>
      <c r="G1082" s="23" t="n">
        <v>94</v>
      </c>
      <c r="H1082" s="23" t="n">
        <v>10</v>
      </c>
      <c r="I1082" s="23" t="n">
        <v>30</v>
      </c>
      <c r="J1082" s="23" t="inlineStr">
        <is>
          <t>978-5-227-06532-2</t>
        </is>
      </c>
      <c r="K1082" s="23" t="inlineStr">
        <is>
          <t>70x100 1/32</t>
        </is>
      </c>
      <c r="L1082" s="23" t="inlineStr">
        <is>
          <t>мяг</t>
        </is>
      </c>
      <c r="M1082" s="23" t="n">
        <v>160</v>
      </c>
      <c r="N1082" s="23" t="n">
        <v>2016</v>
      </c>
      <c r="O1082" s="23" t="n">
        <v>76</v>
      </c>
      <c r="P1082" s="23" t="n"/>
      <c r="Q1082" s="23" t="n"/>
      <c r="R1082" s="25" t="inlineStr">
        <is>
          <t>Лучшие друзья, Амелия Кеннеди и Тайлер Диксон, поженились в Лас­Вегасе, а потом решили развестись. Узнав, что Амелия ждет ребенка, Тайлер предлагает ей попробовать создать семью. Амелия заявляет, что он должен завоевать ее сердце за тридцать дней…</t>
        </is>
      </c>
      <c r="S1082" s="26">
        <f>HYPERLINK("http://www.cnpol.ru/covers/16633.jpg","фото на сайте")</f>
        <v/>
      </c>
    </row>
    <row r="1083" ht="50.1" customHeight="1" s="3">
      <c r="A1083" s="23" t="n"/>
      <c r="B1083" s="24" t="inlineStr">
        <is>
          <t>20415</t>
        </is>
      </c>
      <c r="C1083" s="23" t="inlineStr">
        <is>
          <t>ЛР</t>
        </is>
      </c>
      <c r="D1083" s="23" t="inlineStr">
        <is>
          <t>Кетт Л.</t>
        </is>
      </c>
      <c r="E1083" s="23" t="inlineStr">
        <is>
          <t>Влюбиться в прямом эфире</t>
        </is>
      </c>
      <c r="F1083" s="23" t="n">
        <v>1110</v>
      </c>
      <c r="G1083" s="23" t="n">
        <v>94</v>
      </c>
      <c r="H1083" s="23" t="n">
        <v>10</v>
      </c>
      <c r="I1083" s="23" t="n">
        <v>30</v>
      </c>
      <c r="J1083" s="23" t="inlineStr">
        <is>
          <t>978-5-227-10084-9</t>
        </is>
      </c>
      <c r="K1083" s="23" t="inlineStr">
        <is>
          <t>70x100 1/32</t>
        </is>
      </c>
      <c r="L1083" s="23" t="inlineStr">
        <is>
          <t>мяг</t>
        </is>
      </c>
      <c r="M1083" s="23" t="n">
        <v>159</v>
      </c>
      <c r="N1083" s="23" t="n">
        <v>2022</v>
      </c>
      <c r="O1083" s="23" t="n">
        <v>76</v>
      </c>
      <c r="P1083" s="23" t="n"/>
      <c r="Q1083" s="23" t="n"/>
      <c r="R1083" s="25" t="inlineStr">
        <is>
          <t>Лирика Деверо-Смит — неотразимо прекрасная женщина, к тому же влиятельная фигура в мире моды. Неудивительно, что Джозайя Мэннинг, преуспевающий продюсер и красавец-мужчина, предложил ей стать телеведущей в его новом проекте. Она отказалась. Но с первой встречи их охватило мощное сексуальное чувство. Они провели вместе бурную ночь и почувствовали, что созданы друг для друга. Вскоре им все же пришлось стать деловыми партнерами, и, значит, надо отказаться от любви, но разве это так просто?</t>
        </is>
      </c>
      <c r="S1083" s="26">
        <f>HYPERLINK("http://www.cnpol.ru/covers/20415.jpg","фото на сайте")</f>
        <v/>
      </c>
    </row>
    <row r="1084" ht="50.1" customHeight="1" s="3">
      <c r="A1084" s="23" t="n"/>
      <c r="B1084" s="24" t="inlineStr">
        <is>
          <t>20441</t>
        </is>
      </c>
      <c r="C1084" s="23" t="inlineStr">
        <is>
          <t>ЛР</t>
        </is>
      </c>
      <c r="D1084" s="23" t="inlineStr">
        <is>
          <t>Беннет Д.</t>
        </is>
      </c>
      <c r="E1084" s="23" t="inlineStr">
        <is>
          <t>Влюбиться в фиктивную невесту</t>
        </is>
      </c>
      <c r="F1084" s="23" t="n">
        <v>1117</v>
      </c>
      <c r="G1084" s="23" t="n">
        <v>94</v>
      </c>
      <c r="H1084" s="23" t="n">
        <v>10</v>
      </c>
      <c r="I1084" s="23" t="n">
        <v>30</v>
      </c>
      <c r="J1084" s="23" t="inlineStr">
        <is>
          <t>978-5-227-10141-9</t>
        </is>
      </c>
      <c r="K1084" s="23" t="inlineStr">
        <is>
          <t>70x100 1/32</t>
        </is>
      </c>
      <c r="L1084" s="23" t="inlineStr">
        <is>
          <t>мяг</t>
        </is>
      </c>
      <c r="M1084" s="23" t="n">
        <v>159</v>
      </c>
      <c r="N1084" s="23" t="n">
        <v>2022</v>
      </c>
      <c r="O1084" s="23" t="n">
        <v>76</v>
      </c>
      <c r="P1084" s="23" t="n"/>
      <c r="Q1084" s="23" t="n"/>
      <c r="R1084" s="25" t="inlineStr">
        <is>
          <t>Семьи Лэнгли и Вентвортов враждуют уже целое столетие, однако это не мешает Лане Лэнгли и Карсону Вентворту увлечься друг другом. Оказавшись заложниками недоразумения, они вынуждены притворяться женихом и невестой, чтобы получить то, что поможет им обоим. Как бы они ни старались, им не удается выйти из игры, ненавидя друг друга.</t>
        </is>
      </c>
      <c r="S1084" s="26">
        <f>HYPERLINK("http://www.cnpol.ru/covers/20441.jpg","фото на сайте")</f>
        <v/>
      </c>
    </row>
    <row r="1085" ht="50.1" customHeight="1" s="3">
      <c r="A1085" s="23" t="inlineStr">
        <is>
          <t>Н</t>
        </is>
      </c>
      <c r="B1085" s="24" t="inlineStr">
        <is>
          <t>21234</t>
        </is>
      </c>
      <c r="C1085" s="23" t="inlineStr">
        <is>
          <t>ЛР</t>
        </is>
      </c>
      <c r="D1085" s="23" t="inlineStr">
        <is>
          <t>Маккена Ш.</t>
        </is>
      </c>
      <c r="E1085" s="23" t="inlineStr">
        <is>
          <t>Влюбиться накануне свадьбы</t>
        </is>
      </c>
      <c r="F1085" s="23" t="n">
        <v>1178</v>
      </c>
      <c r="G1085" s="23" t="n">
        <v>94</v>
      </c>
      <c r="H1085" s="23" t="n">
        <v>10</v>
      </c>
      <c r="I1085" s="23" t="n">
        <v>30</v>
      </c>
      <c r="J1085" s="23" t="inlineStr">
        <is>
          <t>978-5-227-10518-9</t>
        </is>
      </c>
      <c r="K1085" s="23" t="inlineStr">
        <is>
          <t>70x100 1/32</t>
        </is>
      </c>
      <c r="L1085" s="23" t="inlineStr">
        <is>
          <t>мяг</t>
        </is>
      </c>
      <c r="M1085" s="23" t="n">
        <v>159</v>
      </c>
      <c r="N1085" s="23" t="n">
        <v>2024</v>
      </c>
      <c r="O1085" s="23" t="n">
        <v>76</v>
      </c>
      <c r="P1085" s="23" t="n"/>
      <c r="Q1085" s="23" t="n"/>
      <c r="R1085" s="25" t="inlineStr">
        <is>
          <t>После предательства жениха генетик Ева Ситон теряет веру в любовь и целиком посвящает себя научным исследованиям. Неожиданно к ней приходит Маркус Мосс, один из владельцев компании, где она работает, и предлагает заключить с ним фиктивный брак. Взамен он готов помочь Еве запустить ее собственный проект. Предложение весьма заманчиво, но готова ли Ева переступить через свои страхи и снова довериться мужчине?..</t>
        </is>
      </c>
      <c r="S1085" s="26">
        <f>HYPERLINK("http://www.cnpol.ru/covers/21234.jpg","фото на сайте")</f>
        <v/>
      </c>
    </row>
    <row r="1086" ht="50.1" customHeight="1" s="3">
      <c r="A1086" s="23" t="n"/>
      <c r="B1086" s="24" t="inlineStr">
        <is>
          <t>19863</t>
        </is>
      </c>
      <c r="C1086" s="23" t="inlineStr">
        <is>
          <t>ЛР</t>
        </is>
      </c>
      <c r="D1086" s="23" t="inlineStr">
        <is>
          <t>Маринелли К.</t>
        </is>
      </c>
      <c r="E1086" s="23" t="inlineStr">
        <is>
          <t>Влюбиться после свадьбы</t>
        </is>
      </c>
      <c r="F1086" s="23" t="n">
        <v>1054</v>
      </c>
      <c r="G1086" s="23" t="n">
        <v>94</v>
      </c>
      <c r="H1086" s="23" t="n">
        <v>10</v>
      </c>
      <c r="I1086" s="23" t="n">
        <v>30</v>
      </c>
      <c r="J1086" s="23" t="inlineStr">
        <is>
          <t>978-5-227-09419-3</t>
        </is>
      </c>
      <c r="K1086" s="23" t="inlineStr">
        <is>
          <t>70x100 1/32</t>
        </is>
      </c>
      <c r="L1086" s="23" t="inlineStr">
        <is>
          <t>мяг</t>
        </is>
      </c>
      <c r="M1086" s="23" t="n">
        <v>159</v>
      </c>
      <c r="N1086" s="23" t="n">
        <v>2021</v>
      </c>
      <c r="O1086" s="23" t="n">
        <v>76</v>
      </c>
      <c r="P1086" s="23" t="n"/>
      <c r="Q1086" s="23" t="n"/>
      <c r="R1086" s="25" t="inlineStr">
        <is>
          <t>Сбежавшая с собственной свадьбы, Антониетта возвращается на Сицилию, где все давно отреклись от нее. Она устраивается горничной в отель и впервые в жизни увлекается мужчиной — таинственным незнакомцем, который отнесся к ней по­доброму…</t>
        </is>
      </c>
      <c r="S1086" s="26">
        <f>HYPERLINK("http://www.cnpol.ru/covers/19863.jpg","фото на сайте")</f>
        <v/>
      </c>
    </row>
    <row r="1087" ht="50.1" customHeight="1" s="3">
      <c r="A1087" s="23" t="n"/>
      <c r="B1087" s="24" t="inlineStr">
        <is>
          <t>14121</t>
        </is>
      </c>
      <c r="C1087" s="23" t="inlineStr">
        <is>
          <t>ЛР</t>
        </is>
      </c>
      <c r="D1087" s="23" t="inlineStr">
        <is>
          <t>Лейн С.</t>
        </is>
      </c>
      <c r="E1087" s="23" t="inlineStr">
        <is>
          <t>Влюблен и верен</t>
        </is>
      </c>
      <c r="F1087" s="23" t="n">
        <v>303</v>
      </c>
      <c r="G1087" s="23" t="n">
        <v>94</v>
      </c>
      <c r="H1087" s="23" t="n">
        <v>10</v>
      </c>
      <c r="I1087" s="23" t="n">
        <v>30</v>
      </c>
      <c r="J1087" s="23" t="inlineStr">
        <is>
          <t>978-5-227-04142-5</t>
        </is>
      </c>
      <c r="K1087" s="23" t="inlineStr">
        <is>
          <t>70x100 1/32</t>
        </is>
      </c>
      <c r="L1087" s="23" t="inlineStr">
        <is>
          <t>мяг</t>
        </is>
      </c>
      <c r="M1087" s="23" t="n">
        <v>158</v>
      </c>
      <c r="N1087" s="23" t="n">
        <v>2013</v>
      </c>
      <c r="O1087" s="23" t="n">
        <v>76</v>
      </c>
      <c r="P1087" s="23" t="n"/>
      <c r="Q1087" s="23" t="n"/>
      <c r="R1087" s="25" t="inlineStr">
        <is>
          <t>Пенни Картрайт служит в армии, и ей приходится долго жить вдали от семьи — маленькой дочки и мужа. Мужественно преодолевая это испытание, она не в состоянии справиться с еще одной неприятностью — любимый муж Даниэль признается Пенни в супружеской измене…</t>
        </is>
      </c>
      <c r="S1087" s="26">
        <f>HYPERLINK("http://www.cnpol.ru/covers/14121.jpg","фото на сайте")</f>
        <v/>
      </c>
    </row>
    <row r="1088" ht="50.1" customHeight="1" s="3">
      <c r="A1088" s="23" t="n"/>
      <c r="B1088" s="24" t="inlineStr">
        <is>
          <t>20941</t>
        </is>
      </c>
      <c r="C1088" s="23" t="inlineStr">
        <is>
          <t>ЛР</t>
        </is>
      </c>
      <c r="D1088" s="23" t="inlineStr">
        <is>
          <t>Блейк М.</t>
        </is>
      </c>
      <c r="E1088" s="23" t="inlineStr">
        <is>
          <t>Вместе и навсегда</t>
        </is>
      </c>
      <c r="F1088" s="23" t="n">
        <v>1161</v>
      </c>
      <c r="G1088" s="23" t="n">
        <v>94</v>
      </c>
      <c r="H1088" s="23" t="n">
        <v>10</v>
      </c>
      <c r="I1088" s="23" t="n">
        <v>30</v>
      </c>
      <c r="J1088" s="23" t="inlineStr">
        <is>
          <t>978-5-227-10450-2</t>
        </is>
      </c>
      <c r="K1088" s="23" t="inlineStr">
        <is>
          <t>70x100 1/32</t>
        </is>
      </c>
      <c r="L1088" s="23" t="inlineStr">
        <is>
          <t>мяг</t>
        </is>
      </c>
      <c r="M1088" s="23" t="n">
        <v>159</v>
      </c>
      <c r="N1088" s="23" t="n">
        <v>2024</v>
      </c>
      <c r="O1088" s="23" t="n">
        <v>76</v>
      </c>
      <c r="P1088" s="23" t="n"/>
      <c r="Q1088" s="23" t="n"/>
      <c r="R1088" s="25" t="inlineStr">
        <is>
          <t>Официальное объявление будет сделано утром, но я здесь для того, чтобы сообщить тебе, что скоро тебе придется стать королевой Рияла, - с этих слов началось удивительное превращение французской подданной Анаис, фрейлины погибшей двоюродной сестры, из серой мышки в королеву арабского государства Риял. У нее нет желания становиться королевой, но все же она становится женой красавца Джавида аль-Джукрата, избалованного женщинами принца, которому также против своей воли придется стать королем. О таком мужчине она могла бы только мечтать в своей прошлой жизни. Как жаль, что ее единственный роман оставил ей на память о себе только ее разбитое сердце и страх полюбить вновь…</t>
        </is>
      </c>
      <c r="S1088" s="26">
        <f>HYPERLINK("http://www.cnpol.ru/covers/20941.jpg","фото на сайте")</f>
        <v/>
      </c>
    </row>
    <row r="1089" ht="50.1" customHeight="1" s="3">
      <c r="A1089" s="23" t="n"/>
      <c r="B1089" s="24" t="inlineStr">
        <is>
          <t>15596</t>
        </is>
      </c>
      <c r="C1089" s="23" t="inlineStr">
        <is>
          <t>ЛР</t>
        </is>
      </c>
      <c r="D1089" s="23" t="inlineStr">
        <is>
          <t>Фэй Дж.</t>
        </is>
      </c>
      <c r="E1089" s="23" t="inlineStr">
        <is>
          <t>Вместе поневоле</t>
        </is>
      </c>
      <c r="F1089" s="23" t="n">
        <v>467</v>
      </c>
      <c r="G1089" s="23" t="n">
        <v>94</v>
      </c>
      <c r="H1089" s="23" t="n">
        <v>10</v>
      </c>
      <c r="I1089" s="23" t="n">
        <v>30</v>
      </c>
      <c r="J1089" s="23" t="inlineStr">
        <is>
          <t>978-5-227-05052-6</t>
        </is>
      </c>
      <c r="K1089" s="23" t="inlineStr">
        <is>
          <t>70x100 1/32</t>
        </is>
      </c>
      <c r="L1089" s="23" t="inlineStr">
        <is>
          <t>мяг</t>
        </is>
      </c>
      <c r="M1089" s="23" t="n">
        <v>158</v>
      </c>
      <c r="N1089" s="23" t="n">
        <v>2014</v>
      </c>
      <c r="O1089" s="23" t="n">
        <v>76</v>
      </c>
      <c r="P1089" s="23" t="n"/>
      <c r="Q1089" s="23" t="n"/>
      <c r="R1089" s="25" t="inlineStr">
        <is>
          <t>Семь лет назад они были помолвлены, но неожиданно Джейсон Смит уехал, оставив свою несостоявшуюся невесту страдать и мучиться сомнениями. Теперь он вернулся, хотя обещал никогда этого не делать. Более того, он сожалеет о случившемся и хочет о чем­то поговорить с Карой. О чем?..</t>
        </is>
      </c>
      <c r="S1089" s="26">
        <f>HYPERLINK("http://www.cnpol.ru/covers/15596.jpg","фото на сайте")</f>
        <v/>
      </c>
    </row>
    <row r="1090" ht="50.1" customHeight="1" s="3">
      <c r="A1090" s="23" t="n"/>
      <c r="B1090" s="24" t="inlineStr">
        <is>
          <t>15640</t>
        </is>
      </c>
      <c r="C1090" s="23" t="inlineStr">
        <is>
          <t>ЛР</t>
        </is>
      </c>
      <c r="D1090" s="23" t="inlineStr">
        <is>
          <t>Лейн С.</t>
        </is>
      </c>
      <c r="E1090" s="23" t="inlineStr">
        <is>
          <t>Возвращение героя</t>
        </is>
      </c>
      <c r="F1090" s="23" t="n">
        <v>471</v>
      </c>
      <c r="G1090" s="23" t="n">
        <v>94</v>
      </c>
      <c r="H1090" s="23" t="n">
        <v>10</v>
      </c>
      <c r="I1090" s="23" t="n">
        <v>30</v>
      </c>
      <c r="J1090" s="23" t="inlineStr">
        <is>
          <t>978-5-227-05056-4</t>
        </is>
      </c>
      <c r="K1090" s="23" t="inlineStr">
        <is>
          <t>70x100 1/32</t>
        </is>
      </c>
      <c r="L1090" s="23" t="inlineStr">
        <is>
          <t>мяг</t>
        </is>
      </c>
      <c r="M1090" s="23" t="n">
        <v>158</v>
      </c>
      <c r="N1090" s="23" t="n">
        <v>2014</v>
      </c>
      <c r="O1090" s="23" t="n">
        <v>76</v>
      </c>
      <c r="P1090" s="23" t="n"/>
      <c r="Q1090" s="23" t="n"/>
      <c r="R1090" s="25" t="inlineStr">
        <is>
          <t>Джейми Мэтьюсон — вдова его лучшего друга. Не в силах сделать выбор между уважением к его памяти и любовью к Джейми, Бретт изо всех сил пытается найти ответ на вопрос, как же ему следует поступить.</t>
        </is>
      </c>
      <c r="S1090" s="26">
        <f>HYPERLINK("http://www.cnpol.ru/covers/15640.jpg","фото на сайте")</f>
        <v/>
      </c>
    </row>
    <row r="1091" ht="50.1" customHeight="1" s="3">
      <c r="A1091" s="23" t="n"/>
      <c r="B1091" s="24" t="inlineStr">
        <is>
          <t>16109</t>
        </is>
      </c>
      <c r="C1091" s="23" t="inlineStr">
        <is>
          <t>ЛР</t>
        </is>
      </c>
      <c r="D1091" s="23" t="inlineStr">
        <is>
          <t>Уокер К.</t>
        </is>
      </c>
      <c r="E1091" s="23" t="inlineStr">
        <is>
          <t>Возвращение незнакомца</t>
        </is>
      </c>
      <c r="F1091" s="23" t="n">
        <v>530</v>
      </c>
      <c r="G1091" s="23" t="n">
        <v>94</v>
      </c>
      <c r="H1091" s="23" t="n">
        <v>10</v>
      </c>
      <c r="I1091" s="23" t="n">
        <v>30</v>
      </c>
      <c r="J1091" s="23" t="inlineStr">
        <is>
          <t>978-5-227-06102-7</t>
        </is>
      </c>
      <c r="K1091" s="23" t="inlineStr">
        <is>
          <t>70x100 1/32</t>
        </is>
      </c>
      <c r="L1091" s="23" t="inlineStr">
        <is>
          <t>мяг</t>
        </is>
      </c>
      <c r="M1091" s="23" t="n">
        <v>158</v>
      </c>
      <c r="N1091" s="23" t="n">
        <v>2015</v>
      </c>
      <c r="O1091" s="23" t="n">
        <v>76</v>
      </c>
      <c r="P1091" s="23" t="n"/>
      <c r="Q1091" s="23" t="n"/>
      <c r="R1091" s="25" t="inlineStr">
        <is>
          <t>Леди Катарина Чарлтон часто думала о мальчишке, который долгие годы был ее лучшим другом, защитником и напарником по всем детским проказам. Она думала, что никогда больше не увидит его, но однажды Хит вернулся в ненавистный ему город. Рваные джинсы сменил сшитый на заказ костюм, а жгучий темперамент – ледяное спокойствие и непоколебимая уверенность в себе…</t>
        </is>
      </c>
      <c r="S1091" s="26">
        <f>HYPERLINK("http://www.cnpol.ru/covers/16109.jpg","фото на сайте")</f>
        <v/>
      </c>
    </row>
    <row r="1092" ht="50.1" customHeight="1" s="3">
      <c r="A1092" s="23" t="n"/>
      <c r="B1092" s="24" t="inlineStr">
        <is>
          <t>17711</t>
        </is>
      </c>
      <c r="C1092" s="23" t="inlineStr">
        <is>
          <t>ЛР</t>
        </is>
      </c>
      <c r="D1092" s="23" t="inlineStr">
        <is>
          <t>Фэй Д.</t>
        </is>
      </c>
      <c r="E1092" s="23" t="inlineStr">
        <is>
          <t>Возвращение непокорного романтика</t>
        </is>
      </c>
      <c r="F1092" s="23" t="n">
        <v>755</v>
      </c>
      <c r="G1092" s="23" t="n">
        <v>94</v>
      </c>
      <c r="H1092" s="23" t="n">
        <v>10</v>
      </c>
      <c r="I1092" s="23" t="n">
        <v>30</v>
      </c>
      <c r="J1092" s="23" t="inlineStr">
        <is>
          <t>978-5-227-07707-3</t>
        </is>
      </c>
      <c r="K1092" s="23" t="inlineStr">
        <is>
          <t>70x100 1/32</t>
        </is>
      </c>
      <c r="L1092" s="23" t="inlineStr">
        <is>
          <t>мяг</t>
        </is>
      </c>
      <c r="M1092" s="23" t="n">
        <v>160</v>
      </c>
      <c r="N1092" s="23" t="n">
        <v>2017</v>
      </c>
      <c r="O1092" s="23" t="n">
        <v>76</v>
      </c>
      <c r="P1092" s="23" t="n"/>
      <c r="Q1092" s="23" t="n"/>
      <c r="R1092" s="25" t="inlineStr">
        <is>
          <t>Клео Синклер наконец получает повышение по службе и становится хостес в одном из казино Лас­Вегаса. Она ждет приезда очень важного клиента, не подозревая о том, что им окажется Джакс Монро, который однажды разбил ее сердце. Джакс, бывший изгой в родном городке, а теперь нью­йоркский магнат, приезжает в Лас­Вегас, чтобы развеяться. Он также с удивлением обнаруживает, что в казино его будет сопровождать Клео Синклер – девушка, которую он так и не сумел забыть…</t>
        </is>
      </c>
      <c r="S1092" s="26">
        <f>HYPERLINK("http://www.cnpol.ru/covers/17711.jpg","фото на сайте")</f>
        <v/>
      </c>
    </row>
    <row r="1093" ht="50.1" customHeight="1" s="3">
      <c r="A1093" s="23" t="n"/>
      <c r="B1093" s="24" t="inlineStr">
        <is>
          <t>16703</t>
        </is>
      </c>
      <c r="C1093" s="23" t="inlineStr">
        <is>
          <t>ЛР</t>
        </is>
      </c>
      <c r="D1093" s="23" t="inlineStr">
        <is>
          <t>Макалистер Э.</t>
        </is>
      </c>
      <c r="E1093" s="23" t="inlineStr">
        <is>
          <t>Возвращение плейбоя</t>
        </is>
      </c>
      <c r="F1093" s="23" t="n">
        <v>613</v>
      </c>
      <c r="G1093" s="23" t="n">
        <v>94</v>
      </c>
      <c r="H1093" s="23" t="n">
        <v>10</v>
      </c>
      <c r="I1093" s="23" t="n">
        <v>30</v>
      </c>
      <c r="J1093" s="23" t="inlineStr">
        <is>
          <t>978-5-227-06719-7</t>
        </is>
      </c>
      <c r="K1093" s="23" t="inlineStr">
        <is>
          <t>70x100 1/32</t>
        </is>
      </c>
      <c r="L1093" s="23" t="inlineStr">
        <is>
          <t>мяг</t>
        </is>
      </c>
      <c r="M1093" s="23" t="n">
        <v>160</v>
      </c>
      <c r="N1093" s="23" t="n">
        <v>2016</v>
      </c>
      <c r="O1093" s="23" t="n">
        <v>76</v>
      </c>
      <c r="P1093" s="23" t="n"/>
      <c r="Q1093" s="23" t="n"/>
      <c r="R1093" s="25" t="inlineStr">
        <is>
          <t>Лукасу, самоуверенному и обворожительному красавцу, с детства нравилась Холли, но он не мог признаться в своих чувствах, потому что она любила его лучшего друга. Однажды на школьном выпускном Лукас предпринял попытку завоевать Холли, но все закончилось полным провалом. Через несколько лет, узнав, что Холли овдовела, Лукас встречается с ней и пытается завязать отношения, но она вновь отвергает его ухаживания…</t>
        </is>
      </c>
      <c r="S1093" s="26">
        <f>HYPERLINK("http://www.cnpol.ru/covers/16703.jpg","фото на сайте")</f>
        <v/>
      </c>
    </row>
    <row r="1094" ht="50.1" customHeight="1" s="3">
      <c r="A1094" s="23" t="n"/>
      <c r="B1094" s="24" t="inlineStr">
        <is>
          <t>18564</t>
        </is>
      </c>
      <c r="C1094" s="23" t="inlineStr">
        <is>
          <t>ЛР</t>
        </is>
      </c>
      <c r="D1094" s="23" t="inlineStr">
        <is>
          <t>Баканнон Б.</t>
        </is>
      </c>
      <c r="E1094" s="23" t="inlineStr">
        <is>
          <t>Возроди огонь в сердце</t>
        </is>
      </c>
      <c r="F1094" s="23" t="n">
        <v>878</v>
      </c>
      <c r="G1094" s="23" t="n">
        <v>94</v>
      </c>
      <c r="H1094" s="23" t="n">
        <v>10</v>
      </c>
      <c r="I1094" s="23" t="n">
        <v>30</v>
      </c>
      <c r="J1094" s="23" t="inlineStr">
        <is>
          <t>978-5-227-08438-5</t>
        </is>
      </c>
      <c r="K1094" s="23" t="inlineStr">
        <is>
          <t>70x100 1/32</t>
        </is>
      </c>
      <c r="L1094" s="23" t="inlineStr">
        <is>
          <t>мяг</t>
        </is>
      </c>
      <c r="M1094" s="23" t="n">
        <v>160</v>
      </c>
      <c r="N1094" s="23" t="n">
        <v>2019</v>
      </c>
      <c r="O1094" s="23" t="n">
        <v>78</v>
      </c>
      <c r="P1094" s="23" t="n"/>
      <c r="Q1094" s="23" t="n"/>
      <c r="R1094" s="25" t="inlineStr">
        <is>
          <t>Нейту Торнтону предлагают поработать в сотрудничестве с писательницей Джеммой Харрисон над его дебютным романом. Нейт, в прошлом военный корреспондент, относится ко всем с недоверием и предпочитает вести уединенный образ жизни. Он определенно не хочет, чтобы Джемма пробудила в нем чувства или мечты, от которых он давно отгородился, но вскоре замечает, что благодаря ее присутствию в его жизни стало больше света. Сможет ли эта женщина стать той единственной, кто снова откроет его сердце? И нужно ли ему это?</t>
        </is>
      </c>
      <c r="S1094" s="26">
        <f>HYPERLINK("http://www.cnpol.ru/covers/18564.jpg","фото на сайте")</f>
        <v/>
      </c>
    </row>
    <row r="1095" ht="50.1" customHeight="1" s="3">
      <c r="A1095" s="23" t="n"/>
      <c r="B1095" s="24" t="inlineStr">
        <is>
          <t>19088</t>
        </is>
      </c>
      <c r="C1095" s="23" t="inlineStr">
        <is>
          <t>ЛР</t>
        </is>
      </c>
      <c r="D1095" s="23" t="inlineStr">
        <is>
          <t>Смарт М.</t>
        </is>
      </c>
      <c r="E1095" s="23" t="inlineStr">
        <is>
          <t>Волшебные греческие ночи</t>
        </is>
      </c>
      <c r="F1095" s="23" t="n">
        <v>964</v>
      </c>
      <c r="G1095" s="23" t="n">
        <v>94</v>
      </c>
      <c r="H1095" s="23" t="n">
        <v>10</v>
      </c>
      <c r="I1095" s="23" t="n">
        <v>30</v>
      </c>
      <c r="J1095" s="23" t="inlineStr">
        <is>
          <t>978-5-227-08936-6</t>
        </is>
      </c>
      <c r="K1095" s="23" t="inlineStr">
        <is>
          <t>70x100 1/32</t>
        </is>
      </c>
      <c r="L1095" s="23" t="inlineStr">
        <is>
          <t>мяг</t>
        </is>
      </c>
      <c r="M1095" s="23" t="n">
        <v>160</v>
      </c>
      <c r="N1095" s="23" t="n">
        <v>2020</v>
      </c>
      <c r="O1095" s="23" t="n">
        <v>76</v>
      </c>
      <c r="P1095" s="23" t="n"/>
      <c r="Q1095" s="23" t="n"/>
      <c r="R1095" s="25" t="inlineStr">
        <is>
          <t>Табита Бригсток родилась в состоятельной семье, жила в особняке, училась в элитной школе. Но родители умерли, и мачеха выжила ее из дома, оставив без средств к существованию. Юная мисс Бригсток устроилась горничной в дорогой отель. Здесь она подружилась с пожилой и богатой постоялицей, которая так расположилась к девушке, что подарила ей билет на бал­маскарад и роскошный наряд. Организатор бала, греческий магнат и владелец отеля, принимает Табиту за богатую аристократку. Он очарован красотой и манерами девушки. Чудесный вечер заканчивается в его постели. Однако утром сказка кончилась, Табите нужно возвращаться к работе. Она не может признаться в обмане богатому красавцу и в панике сбегает из его апартаментов…</t>
        </is>
      </c>
      <c r="S1095" s="26">
        <f>HYPERLINK("http://www.cnpol.ru/covers/19088.jpg","фото на сайте")</f>
        <v/>
      </c>
    </row>
    <row r="1096" ht="50.1" customHeight="1" s="3">
      <c r="A1096" s="23" t="n"/>
      <c r="B1096" s="24" t="inlineStr">
        <is>
          <t>16523</t>
        </is>
      </c>
      <c r="C1096" s="23" t="inlineStr">
        <is>
          <t>ЛР</t>
        </is>
      </c>
      <c r="D1096" s="23" t="inlineStr">
        <is>
          <t>Грин Г.</t>
        </is>
      </c>
      <c r="E1096" s="23" t="inlineStr">
        <is>
          <t>Воплощенное совершенство</t>
        </is>
      </c>
      <c r="F1096" s="23" t="n">
        <v>588</v>
      </c>
      <c r="G1096" s="23" t="n">
        <v>94</v>
      </c>
      <c r="H1096" s="23" t="n">
        <v>10</v>
      </c>
      <c r="I1096" s="23" t="n">
        <v>30</v>
      </c>
      <c r="J1096" s="23" t="inlineStr">
        <is>
          <t>978-5-227-06484-4</t>
        </is>
      </c>
      <c r="K1096" s="23" t="inlineStr">
        <is>
          <t>70x100 1/32</t>
        </is>
      </c>
      <c r="L1096" s="23" t="inlineStr">
        <is>
          <t>мяг</t>
        </is>
      </c>
      <c r="M1096" s="23" t="n">
        <v>158</v>
      </c>
      <c r="N1096" s="23" t="n">
        <v>2016</v>
      </c>
      <c r="O1096" s="23" t="n">
        <v>76</v>
      </c>
      <c r="P1096" s="23" t="n"/>
      <c r="Q1096" s="23" t="n"/>
      <c r="R1096" s="25" t="inlineStr">
        <is>
          <t>Однажды повстречавшись с Сереной Депиеро, Лука Фонсека отправился в тюрьму. За прошедшие с того памятного дня годы бразильский миллиардер сумел восстановить репутацию, но так и не забыл случайной встречи. И когда он вдруг узнает, что Серена устроилась работать в один из филиалов его благотворительного фонда, в нем вновь вспыхивает ярость... или страсть?</t>
        </is>
      </c>
      <c r="S1096" s="26">
        <f>HYPERLINK("http://www.cnpol.ru/covers/16523.jpg","фото на сайте")</f>
        <v/>
      </c>
    </row>
    <row r="1097" ht="50.1" customHeight="1" s="3">
      <c r="A1097" s="23" t="n"/>
      <c r="B1097" s="24" t="inlineStr">
        <is>
          <t>17293</t>
        </is>
      </c>
      <c r="C1097" s="23" t="inlineStr">
        <is>
          <t>ЛР</t>
        </is>
      </c>
      <c r="D1097" s="23" t="inlineStr">
        <is>
          <t>Томас Р.</t>
        </is>
      </c>
      <c r="E1097" s="23" t="inlineStr">
        <is>
          <t>Вопреки желанию</t>
        </is>
      </c>
      <c r="F1097" s="23" t="n">
        <v>688</v>
      </c>
      <c r="G1097" s="23" t="n">
        <v>94</v>
      </c>
      <c r="H1097" s="23" t="n">
        <v>10</v>
      </c>
      <c r="I1097" s="23" t="n">
        <v>30</v>
      </c>
      <c r="J1097" s="23" t="inlineStr">
        <is>
          <t>978-5-227-07286-3</t>
        </is>
      </c>
      <c r="K1097" s="23" t="inlineStr">
        <is>
          <t>70x100 1/32</t>
        </is>
      </c>
      <c r="L1097" s="23" t="inlineStr">
        <is>
          <t>мяг</t>
        </is>
      </c>
      <c r="M1097" s="23" t="n">
        <v>160</v>
      </c>
      <c r="N1097" s="23" t="n">
        <v>2017</v>
      </c>
      <c r="O1097" s="23" t="n">
        <v>76</v>
      </c>
      <c r="P1097" s="23" t="n"/>
      <c r="Q1097" s="23" t="n"/>
      <c r="R1097" s="25" t="inlineStr">
        <is>
          <t>Шарлот потеряла любимого брата. Себастьян проектировал и тестировал гоночные автомобили в Италии. И однажды разбился во время тестового заезда. Шарлот не знает подробностей, но уверена, что в этом виновен друг и компаньон брата — Алессандро Розелли. Через год он приглашает Шарлот на презентацию того самого автомобиля. Она намерена докопаться до правды о смерти брата.</t>
        </is>
      </c>
      <c r="S1097" s="26">
        <f>HYPERLINK("http://www.cnpol.ru/covers/17293.jpg","фото на сайте")</f>
        <v/>
      </c>
    </row>
    <row r="1098" ht="50.1" customHeight="1" s="3">
      <c r="A1098" s="23" t="n"/>
      <c r="B1098" s="24" t="inlineStr">
        <is>
          <t>16586</t>
        </is>
      </c>
      <c r="C1098" s="23" t="inlineStr">
        <is>
          <t>ЛР</t>
        </is>
      </c>
      <c r="D1098" s="23" t="inlineStr">
        <is>
          <t>Уильямс А.</t>
        </is>
      </c>
      <c r="E1098" s="23" t="inlineStr">
        <is>
          <t>Вопреки разуму</t>
        </is>
      </c>
      <c r="F1098" s="23" t="n">
        <v>597</v>
      </c>
      <c r="G1098" s="23" t="n">
        <v>94</v>
      </c>
      <c r="H1098" s="23" t="n">
        <v>10</v>
      </c>
      <c r="I1098" s="23" t="n">
        <v>30</v>
      </c>
      <c r="J1098" s="23" t="inlineStr">
        <is>
          <t>978-5-227-06527-8</t>
        </is>
      </c>
      <c r="K1098" s="23" t="inlineStr">
        <is>
          <t>70x100 1/32</t>
        </is>
      </c>
      <c r="L1098" s="23" t="inlineStr">
        <is>
          <t>мяг</t>
        </is>
      </c>
      <c r="M1098" s="23" t="n">
        <v>160</v>
      </c>
      <c r="N1098" s="23" t="n">
        <v>2016</v>
      </c>
      <c r="O1098" s="23" t="n">
        <v>76</v>
      </c>
      <c r="P1098" s="23" t="n"/>
      <c r="Q1098" s="23" t="n"/>
      <c r="R1098" s="25" t="inlineStr">
        <is>
          <t>Влюбившись в отъявленного плейбоя Рауля, Сара очень скоро понимает, что беременна. Она не хочет искать бывшего любовника, так как считает его не способным к роли отца. Воспитывая ребенка в одиночестве, она едва сводит концы с концами, принимаясь за любую работу. Каково же было удивление Сары, когда она, устроившись уборщицей в богатый дом, неожиданно встречается с Раулем…</t>
        </is>
      </c>
      <c r="S1098" s="26">
        <f>HYPERLINK("http://www.cnpol.ru/covers/16586.jpg","фото на сайте")</f>
        <v/>
      </c>
    </row>
    <row r="1099" ht="50.1" customHeight="1" s="3">
      <c r="A1099" s="23" t="n"/>
      <c r="B1099" s="24" t="inlineStr">
        <is>
          <t>20850</t>
        </is>
      </c>
      <c r="C1099" s="23" t="inlineStr">
        <is>
          <t>ЛР</t>
        </is>
      </c>
      <c r="D1099" s="23" t="inlineStr">
        <is>
          <t>Коллинз Д.</t>
        </is>
      </c>
      <c r="E1099" s="23" t="inlineStr">
        <is>
          <t>Воскрешенная нежность</t>
        </is>
      </c>
      <c r="F1099" s="23" t="n">
        <v>1154</v>
      </c>
      <c r="G1099" s="23" t="n">
        <v>94</v>
      </c>
      <c r="H1099" s="23" t="n">
        <v>10</v>
      </c>
      <c r="I1099" s="23" t="n">
        <v>30</v>
      </c>
      <c r="J1099" s="23" t="inlineStr">
        <is>
          <t>978-5-227-10372-7</t>
        </is>
      </c>
      <c r="K1099" s="23" t="inlineStr">
        <is>
          <t>70x100 1/32</t>
        </is>
      </c>
      <c r="L1099" s="23" t="inlineStr">
        <is>
          <t>мяг</t>
        </is>
      </c>
      <c r="M1099" s="23" t="n">
        <v>159</v>
      </c>
      <c r="N1099" s="23" t="n">
        <v>2023</v>
      </c>
      <c r="O1099" s="23" t="n">
        <v>76</v>
      </c>
      <c r="P1099" s="23" t="n"/>
      <c r="Q1099" s="23" t="n"/>
      <c r="R1099" s="25" t="inlineStr">
        <is>
          <t>Что общего между известной моделью Ориэль Кувье и талантливой дизайнершей Ниной Менендес, кроме поразительного внешнего сходства? Судьбы двух женщин неожиданно пересеклись, когда открылись драматические обстоятельства их появления на свет: сестры-близнецы, разлученные в младенчестве и воспитанные приемными родителями, на самом деле дочери популярной звезды Болливуда, рожденные от ее тайной связи. Каждой из этих гордых и независимых женщин предстоит пройти трудное испытание любовью, когда в их жизни появляются сильные и властные мужчины. Уступят ли они зову страсти?</t>
        </is>
      </c>
      <c r="S1099" s="26">
        <f>HYPERLINK("http://www.cnpol.ru/covers/20850.jpg","фото на сайте")</f>
        <v/>
      </c>
    </row>
    <row r="1100" ht="50.1" customHeight="1" s="3">
      <c r="A1100" s="23" t="n"/>
      <c r="B1100" s="24" t="inlineStr">
        <is>
          <t>15935</t>
        </is>
      </c>
      <c r="C1100" s="23" t="inlineStr">
        <is>
          <t>ЛР</t>
        </is>
      </c>
      <c r="D1100" s="23" t="inlineStr">
        <is>
          <t>Уоллис Бадж</t>
        </is>
      </c>
      <c r="E1100" s="23" t="inlineStr">
        <is>
          <t>Время быть собой</t>
        </is>
      </c>
      <c r="F1100" s="23" t="n">
        <v>506</v>
      </c>
      <c r="G1100" s="23" t="n">
        <v>94</v>
      </c>
      <c r="H1100" s="23" t="n">
        <v>10</v>
      </c>
      <c r="I1100" s="23" t="n">
        <v>30</v>
      </c>
      <c r="J1100" s="23" t="inlineStr">
        <is>
          <t>978-5-227-05855-3</t>
        </is>
      </c>
      <c r="K1100" s="23" t="inlineStr">
        <is>
          <t>70x100 1/32</t>
        </is>
      </c>
      <c r="L1100" s="23" t="inlineStr">
        <is>
          <t>мяг</t>
        </is>
      </c>
      <c r="M1100" s="23" t="n">
        <v>158</v>
      </c>
      <c r="N1100" s="23" t="n">
        <v>2015</v>
      </c>
      <c r="O1100" s="23" t="n">
        <v>78</v>
      </c>
      <c r="P1100" s="23" t="n"/>
      <c r="Q1100" s="23" t="n"/>
      <c r="R1100" s="25" t="inlineStr">
        <is>
          <t>Делия работает на Саймона Картрайта уже четыре года. У нее есть ум, находчивость и аккуратность — все, что нужно для идеального ассистента. Саймон ценит ее, но самой Делии такого отношения к ней босса мало…</t>
        </is>
      </c>
      <c r="S1100" s="26">
        <f>HYPERLINK("http://www.cnpol.ru/covers/15935.jpg","фото на сайте")</f>
        <v/>
      </c>
    </row>
    <row r="1101" ht="50.1" customHeight="1" s="3">
      <c r="A1101" s="23" t="n"/>
      <c r="B1101" s="24" t="inlineStr">
        <is>
          <t>19927</t>
        </is>
      </c>
      <c r="C1101" s="23" t="inlineStr">
        <is>
          <t>ЛР</t>
        </is>
      </c>
      <c r="D1101" s="23" t="inlineStr">
        <is>
          <t>Милберн М.</t>
        </is>
      </c>
      <c r="E1101" s="23" t="inlineStr">
        <is>
          <t>Время смелых желаний</t>
        </is>
      </c>
      <c r="F1101" s="23" t="n">
        <v>1064</v>
      </c>
      <c r="G1101" s="23" t="n">
        <v>94</v>
      </c>
      <c r="H1101" s="23" t="n">
        <v>10</v>
      </c>
      <c r="I1101" s="23" t="n">
        <v>30</v>
      </c>
      <c r="J1101" s="23" t="inlineStr">
        <is>
          <t>978-5-227-09504-6</t>
        </is>
      </c>
      <c r="K1101" s="23" t="inlineStr">
        <is>
          <t>70x100 1/32</t>
        </is>
      </c>
      <c r="L1101" s="23" t="inlineStr">
        <is>
          <t>мяг</t>
        </is>
      </c>
      <c r="M1101" s="23" t="n">
        <v>159</v>
      </c>
      <c r="N1101" s="23" t="n">
        <v>2021</v>
      </c>
      <c r="O1101" s="23" t="n">
        <v>76</v>
      </c>
      <c r="P1101" s="23" t="n"/>
      <c r="Q1101" s="23" t="n"/>
      <c r="R1101" s="25" t="inlineStr">
        <is>
          <t>Брат прекрасной Клементины Скотт сбежал с сестрой самоуверенного богача Алистера Хоторна. Теперь Клем вместе с Алистером должна отправиться на поиски. Но как же быть, если этот насмешливый плейбой уже причинил Клементине боль. Она достаточно страдала в жизни, чтобы позволить ему снова ее обидеть. А может быть, в этот раз у него другие намерения?</t>
        </is>
      </c>
      <c r="S1101" s="26">
        <f>HYPERLINK("http://www.cnpol.ru/covers/19927.jpg","фото на сайте")</f>
        <v/>
      </c>
    </row>
    <row r="1102" ht="50.1" customHeight="1" s="3">
      <c r="A1102" s="23" t="n"/>
      <c r="B1102" s="24" t="inlineStr">
        <is>
          <t>16031</t>
        </is>
      </c>
      <c r="C1102" s="23" t="inlineStr">
        <is>
          <t>ЛР</t>
        </is>
      </c>
      <c r="D1102" s="23" t="inlineStr">
        <is>
          <t>Хейворд Дженнифер</t>
        </is>
      </c>
      <c r="E1102" s="23" t="inlineStr">
        <is>
          <t>Все зависит от тебя</t>
        </is>
      </c>
      <c r="F1102" s="23" t="n">
        <v>521</v>
      </c>
      <c r="G1102" s="23" t="n">
        <v>94</v>
      </c>
      <c r="H1102" s="23" t="n">
        <v>10</v>
      </c>
      <c r="I1102" s="23" t="n">
        <v>30</v>
      </c>
      <c r="J1102" s="23" t="inlineStr">
        <is>
          <t>978-5-227-05950-5</t>
        </is>
      </c>
      <c r="K1102" s="23" t="inlineStr">
        <is>
          <t>70x100 1/32</t>
        </is>
      </c>
      <c r="L1102" s="23" t="inlineStr">
        <is>
          <t>мяг</t>
        </is>
      </c>
      <c r="M1102" s="23" t="n">
        <v>158</v>
      </c>
      <c r="N1102" s="23" t="n">
        <v>2015</v>
      </c>
      <c r="O1102" s="23" t="n">
        <v>76</v>
      </c>
      <c r="P1102" s="23" t="n"/>
      <c r="Q1102" s="23" t="n"/>
      <c r="R1102" s="25" t="inlineStr">
        <is>
          <t>Маттео Де Кампо необходимо сделать все возможное, чтобы ­заполучить контракт с всемирно известной компанией «Люкс». Однако во главе компании стоит непоколебимая Куин Дейвис, которая не доверяет мужчинам вообще, а красавцам­плейбоям в особенности. Но именно таковым Маттео и является…</t>
        </is>
      </c>
      <c r="S1102" s="26">
        <f>HYPERLINK("http://www.cnpol.ru/covers/16031.jpg","фото на сайте")</f>
        <v/>
      </c>
    </row>
    <row r="1103" ht="50.1" customHeight="1" s="3">
      <c r="A1103" s="23" t="n"/>
      <c r="B1103" s="24" t="inlineStr">
        <is>
          <t>16577</t>
        </is>
      </c>
      <c r="C1103" s="23" t="inlineStr">
        <is>
          <t>ЛР</t>
        </is>
      </c>
      <c r="D1103" s="23" t="inlineStr">
        <is>
          <t>Кондер М.</t>
        </is>
      </c>
      <c r="E1103" s="23" t="inlineStr">
        <is>
          <t>Все как в сказке</t>
        </is>
      </c>
      <c r="F1103" s="23" t="n">
        <v>595</v>
      </c>
      <c r="G1103" s="23" t="n">
        <v>94</v>
      </c>
      <c r="H1103" s="23" t="n">
        <v>10</v>
      </c>
      <c r="I1103" s="23" t="n">
        <v>30</v>
      </c>
      <c r="J1103" s="23" t="inlineStr">
        <is>
          <t>978-5-227-06491-2</t>
        </is>
      </c>
      <c r="K1103" s="23" t="inlineStr">
        <is>
          <t>70x100 1/32</t>
        </is>
      </c>
      <c r="L1103" s="23" t="inlineStr">
        <is>
          <t>мяг</t>
        </is>
      </c>
      <c r="M1103" s="23" t="n">
        <v>160</v>
      </c>
      <c r="N1103" s="23" t="n">
        <v>2016</v>
      </c>
      <c r="O1103" s="23" t="n">
        <v>76</v>
      </c>
      <c r="P1103" s="23" t="n"/>
      <c r="Q1103" s="23" t="n"/>
      <c r="R1103" s="25" t="inlineStr">
        <is>
          <t>Узнав, что бывшая любовница родила ему дочь, принц Надир требует, чтобы она стала его женой. Но упрямая красотка Имоджен заявляет, что ей ничего от него не нужно. Она утверждает, будто ­ненавидит Надира, хотя один поцелуй с ним доказывает, что взаимная страсть не угасла…</t>
        </is>
      </c>
      <c r="S1103" s="26">
        <f>HYPERLINK("http://www.cnpol.ru/covers/16577.jpg","фото на сайте")</f>
        <v/>
      </c>
    </row>
    <row r="1104" ht="50.1" customHeight="1" s="3">
      <c r="A1104" s="23" t="n"/>
      <c r="B1104" s="24" t="inlineStr">
        <is>
          <t>19005</t>
        </is>
      </c>
      <c r="C1104" s="23" t="inlineStr">
        <is>
          <t>ЛР</t>
        </is>
      </c>
      <c r="D1104" s="23" t="inlineStr">
        <is>
          <t>Харди К.</t>
        </is>
      </c>
      <c r="E1104" s="23" t="inlineStr">
        <is>
          <t>Все началось во Флоренции</t>
        </is>
      </c>
      <c r="F1104" s="23" t="n">
        <v>953</v>
      </c>
      <c r="G1104" s="23" t="n">
        <v>94</v>
      </c>
      <c r="H1104" s="23" t="n">
        <v>10</v>
      </c>
      <c r="I1104" s="23" t="n">
        <v>30</v>
      </c>
      <c r="J1104" s="23" t="inlineStr">
        <is>
          <t>978-5-227-08884-0</t>
        </is>
      </c>
      <c r="K1104" s="23" t="inlineStr">
        <is>
          <t>70x100 1/32</t>
        </is>
      </c>
      <c r="L1104" s="23" t="inlineStr">
        <is>
          <t>мяг</t>
        </is>
      </c>
      <c r="M1104" s="23" t="n">
        <v>160</v>
      </c>
      <c r="N1104" s="23" t="n">
        <v>2020</v>
      </c>
      <c r="O1104" s="23" t="n">
        <v>76</v>
      </c>
      <c r="P1104" s="23" t="n"/>
      <c r="Q1104" s="23" t="n"/>
      <c r="R1104" s="25" t="inlineStr">
        <is>
          <t>Мариана Теккерей — тонкий знаток искусства — получает предложение от адвоката Анджело Бересфорда привести в порядок принадлежащую его деду коллекцию живописи. Мариана и Анджело — молоды, умны, талантливы, хороши собой и одинаково смотрят на мир. Они не могли не влюбиться друг в друга. Так оно и случилось. И все было бы прекрасно, но есть одно препятствие, и Анджело считает, что оно непреодолимо...</t>
        </is>
      </c>
      <c r="S1104" s="26">
        <f>HYPERLINK("http://www.cnpol.ru/covers/19005.jpg","фото на сайте")</f>
        <v/>
      </c>
    </row>
    <row r="1105" ht="50.1" customHeight="1" s="3">
      <c r="A1105" s="23" t="n"/>
      <c r="B1105" s="24" t="inlineStr">
        <is>
          <t>16622</t>
        </is>
      </c>
      <c r="C1105" s="23" t="inlineStr">
        <is>
          <t>ЛР</t>
        </is>
      </c>
      <c r="D1105" s="23" t="inlineStr">
        <is>
          <t>Харди К.</t>
        </is>
      </c>
      <c r="E1105" s="23" t="inlineStr">
        <is>
          <t>Все началось у алтаря</t>
        </is>
      </c>
      <c r="F1105" s="23" t="n">
        <v>599</v>
      </c>
      <c r="G1105" s="23" t="n">
        <v>94</v>
      </c>
      <c r="H1105" s="23" t="n">
        <v>10</v>
      </c>
      <c r="I1105" s="23" t="n">
        <v>30</v>
      </c>
      <c r="J1105" s="23" t="inlineStr">
        <is>
          <t>978-5-227-06529-2</t>
        </is>
      </c>
      <c r="K1105" s="23" t="inlineStr">
        <is>
          <t>70x100 1/32</t>
        </is>
      </c>
      <c r="L1105" s="23" t="inlineStr">
        <is>
          <t>мяг</t>
        </is>
      </c>
      <c r="M1105" s="23" t="n">
        <v>160</v>
      </c>
      <c r="N1105" s="23" t="n">
        <v>2016</v>
      </c>
      <c r="O1105" s="23" t="n">
        <v>76</v>
      </c>
      <c r="P1105" s="23" t="n"/>
      <c r="Q1105" s="23" t="n"/>
      <c r="R1105" s="25" t="inlineStr">
        <is>
          <t>Искусная портниха Клер, изготовив на заказ свадебное платье для лучшей подруги, случайно забывает его в аэропорту и приходит в отчаяние. Все осложняется ссорой с братом подруги, Колином, с ­которым у нее и без того непростые отношения. Колин и Клер слишком разные, но совместная ночь, полная страсти, заставляет их пойти на сближение…</t>
        </is>
      </c>
      <c r="S1105" s="26">
        <f>HYPERLINK("http://www.cnpol.ru/covers/16622.jpg","фото на сайте")</f>
        <v/>
      </c>
    </row>
    <row r="1106" ht="50.1" customHeight="1" s="3">
      <c r="A1106" s="23" t="n"/>
      <c r="B1106" s="24" t="inlineStr">
        <is>
          <t>18638</t>
        </is>
      </c>
      <c r="C1106" s="23" t="inlineStr">
        <is>
          <t>ЛР</t>
        </is>
      </c>
      <c r="D1106" s="23" t="inlineStr">
        <is>
          <t>Даркинс Э.</t>
        </is>
      </c>
      <c r="E1106" s="23" t="inlineStr">
        <is>
          <t>Все преграды позади</t>
        </is>
      </c>
      <c r="F1106" s="23" t="n">
        <v>889</v>
      </c>
      <c r="G1106" s="23" t="n">
        <v>94</v>
      </c>
      <c r="H1106" s="23" t="n">
        <v>10</v>
      </c>
      <c r="I1106" s="23" t="n">
        <v>30</v>
      </c>
      <c r="J1106" s="23" t="inlineStr">
        <is>
          <t>978-5-227-08513-9</t>
        </is>
      </c>
      <c r="K1106" s="23" t="inlineStr">
        <is>
          <t>70x100 1/32</t>
        </is>
      </c>
      <c r="L1106" s="23" t="inlineStr">
        <is>
          <t>мяг</t>
        </is>
      </c>
      <c r="M1106" s="23" t="n">
        <v>160</v>
      </c>
      <c r="N1106" s="23" t="n">
        <v>2019</v>
      </c>
      <c r="O1106" s="23" t="n">
        <v>78</v>
      </c>
      <c r="P1106" s="23" t="n"/>
      <c r="Q1106" s="23" t="n"/>
      <c r="R1106" s="25" t="inlineStr">
        <is>
          <t>Флирт на благотворительном вечере и проведенная ночь вместе связали неразрывными узами двух совершенно разных людей — энергичную и планирующую все до мельчайших деталей Рейчел Арчер и бесшабашного наследника многомиллионного состояния Лео Фэрфакса. Молодые люди приняли серьезное решение — воспитать ребенка в полной и счастливой семье. Но им предстоит не просто научиться понимать друг друга, но и столкнуться с прошлым, призраки которого будут мешать их семейному счастью…</t>
        </is>
      </c>
      <c r="S1106" s="26">
        <f>HYPERLINK("http://www.cnpol.ru/covers/18638.jpg","фото на сайте")</f>
        <v/>
      </c>
    </row>
    <row r="1107" ht="50.1" customHeight="1" s="3">
      <c r="A1107" s="23" t="n"/>
      <c r="B1107" s="24" t="inlineStr">
        <is>
          <t>18062</t>
        </is>
      </c>
      <c r="C1107" s="23" t="inlineStr">
        <is>
          <t>ЛР</t>
        </is>
      </c>
      <c r="D1107" s="23" t="inlineStr">
        <is>
          <t>Уильямс А.</t>
        </is>
      </c>
      <c r="E1107" s="23" t="inlineStr">
        <is>
          <t>Все равно будешь моим</t>
        </is>
      </c>
      <c r="F1107" s="23" t="n">
        <v>802</v>
      </c>
      <c r="G1107" s="23" t="n">
        <v>94</v>
      </c>
      <c r="H1107" s="23" t="n">
        <v>10</v>
      </c>
      <c r="I1107" s="23" t="n">
        <v>30</v>
      </c>
      <c r="J1107" s="23" t="inlineStr">
        <is>
          <t>978-5-227-08089-9</t>
        </is>
      </c>
      <c r="K1107" s="23" t="inlineStr">
        <is>
          <t>70x100 1/32</t>
        </is>
      </c>
      <c r="L1107" s="23" t="inlineStr">
        <is>
          <t>мяг</t>
        </is>
      </c>
      <c r="M1107" s="23" t="n">
        <v>160</v>
      </c>
      <c r="N1107" s="23" t="n">
        <v>2018</v>
      </c>
      <c r="O1107" s="23" t="n">
        <v>76</v>
      </c>
      <c r="P1107" s="23" t="n"/>
      <c r="Q1107" s="23" t="n"/>
      <c r="R1107" s="25" t="inlineStr">
        <is>
          <t>Учительница Саманта Уилсон — ничем не примечательная моло­дая женщина, каких много. Живется ей непросто во всех отношениях: на ней висят долги, больная мать требует постоянного внимания, да и закомплексована она сверх меры. Еще в юности Саманта влюбилась в красавца Лео Моргана­Уайта, но он отверг ее чувства. И эта травма до сих пор отравляет ее существование. Поэтому, когда на ее пороге появился Лео с дорогим кольцом и предложением руки и сердца, Саманта не поверила своим глазам…</t>
        </is>
      </c>
      <c r="S1107" s="26">
        <f>HYPERLINK("http://www.cnpol.ru/covers/18062.jpg","фото на сайте")</f>
        <v/>
      </c>
    </row>
    <row r="1108" ht="50.1" customHeight="1" s="3">
      <c r="A1108" s="23" t="n"/>
      <c r="B1108" s="24" t="inlineStr">
        <is>
          <t>17764</t>
        </is>
      </c>
      <c r="C1108" s="23" t="inlineStr">
        <is>
          <t>ЛР</t>
        </is>
      </c>
      <c r="D1108" s="23" t="inlineStr">
        <is>
          <t>Харди К.</t>
        </is>
      </c>
      <c r="E1108" s="23" t="inlineStr">
        <is>
          <t>Все, о чем мечтала</t>
        </is>
      </c>
      <c r="F1108" s="23" t="n">
        <v>762</v>
      </c>
      <c r="G1108" s="23" t="n">
        <v>94</v>
      </c>
      <c r="H1108" s="23" t="n">
        <v>10</v>
      </c>
      <c r="I1108" s="23" t="n">
        <v>30</v>
      </c>
      <c r="J1108" s="23" t="inlineStr">
        <is>
          <t>978-5-227-07724-0</t>
        </is>
      </c>
      <c r="K1108" s="23" t="inlineStr">
        <is>
          <t>70x100 1/32</t>
        </is>
      </c>
      <c r="L1108" s="23" t="inlineStr">
        <is>
          <t>мяг</t>
        </is>
      </c>
      <c r="M1108" s="23" t="n">
        <v>160</v>
      </c>
      <c r="N1108" s="23" t="n">
        <v>2017</v>
      </c>
      <c r="O1108" s="23" t="n">
        <v>76</v>
      </c>
      <c r="P1108" s="23" t="n"/>
      <c r="Q1108" s="23" t="n"/>
      <c r="R1108" s="25" t="inlineStr">
        <is>
          <t>Рождество - семейный праздник, но для Эми Хаус он стал символом одиночества. Разве могла она когда­либо предположить, что в больнице ей вынесут суровый приговор: у нее никогда не будет детей. И в один из тех дней, когда вокруг наряжают елки, покупают подарки и предвкушают застолье, она осталась дома одна. Но судьба подбросила ей самый неожиданный подарок, который только можно себе представить, и именно с него началась самая необычная рождественская история…</t>
        </is>
      </c>
      <c r="S1108" s="26">
        <f>HYPERLINK("http://www.cnpol.ru/covers/17764.jpg","фото на сайте")</f>
        <v/>
      </c>
    </row>
    <row r="1109" ht="50.1" customHeight="1" s="3">
      <c r="A1109" s="23" t="n"/>
      <c r="B1109" s="24" t="inlineStr">
        <is>
          <t>18462</t>
        </is>
      </c>
      <c r="C1109" s="23" t="inlineStr">
        <is>
          <t>ЛР</t>
        </is>
      </c>
      <c r="D1109" s="23" t="inlineStr">
        <is>
          <t>Стивенс С.</t>
        </is>
      </c>
      <c r="E1109" s="23" t="inlineStr">
        <is>
          <t>Всегда быть твоей</t>
        </is>
      </c>
      <c r="F1109" s="23" t="n">
        <v>863</v>
      </c>
      <c r="G1109" s="23" t="n">
        <v>94</v>
      </c>
      <c r="H1109" s="23" t="n">
        <v>10</v>
      </c>
      <c r="I1109" s="23" t="n">
        <v>30</v>
      </c>
      <c r="J1109" s="23" t="inlineStr">
        <is>
          <t>978-5-227-08389-0</t>
        </is>
      </c>
      <c r="K1109" s="23" t="inlineStr">
        <is>
          <t>70x100 1/32</t>
        </is>
      </c>
      <c r="L1109" s="23" t="inlineStr">
        <is>
          <t>мяг</t>
        </is>
      </c>
      <c r="M1109" s="23" t="n">
        <v>160</v>
      </c>
      <c r="N1109" s="23" t="n">
        <v>2019</v>
      </c>
      <c r="O1109" s="23" t="n">
        <v>76</v>
      </c>
      <c r="P1109" s="23" t="n"/>
      <c r="Q1109" s="23" t="n"/>
      <c r="R1109" s="25" t="inlineStr">
        <is>
          <t>Люка, сын известного итальянского мафиози, давно покинул отчий дом и живет собственной жизнью. Вынужденный вернуться на Сицилию в связи с гибелью младшего брата, он с удивлением узнает, что Рауль составил завещание в пользу девушки, работающей официанткой в Лондонском клубе. Кто эта неизвестная наследница огромного состояния? Случайная знакомая или ловкая мошенница? Вместе с отцом Люка разрабатывает хитроумный план, чтобы вернуть деньги в семью. Но после знакомства с Дженнифер он уже не уверен в правильности своего решения…</t>
        </is>
      </c>
      <c r="S1109" s="26">
        <f>HYPERLINK("http://www.cnpol.ru/covers/18462.jpg","фото на сайте")</f>
        <v/>
      </c>
    </row>
    <row r="1110" ht="50.1" customHeight="1" s="3">
      <c r="A1110" s="23" t="n"/>
      <c r="B1110" s="24" t="inlineStr">
        <is>
          <t>19320</t>
        </is>
      </c>
      <c r="C1110" s="23" t="inlineStr">
        <is>
          <t>ЛР</t>
        </is>
      </c>
      <c r="D1110" s="23" t="inlineStr">
        <is>
          <t>Биссел А.</t>
        </is>
      </c>
      <c r="E1110" s="23" t="inlineStr">
        <is>
          <t>Всегда получать свое</t>
        </is>
      </c>
      <c r="F1110" s="23" t="n">
        <v>992</v>
      </c>
      <c r="G1110" s="23" t="n">
        <v>94</v>
      </c>
      <c r="H1110" s="23" t="n">
        <v>10</v>
      </c>
      <c r="I1110" s="23" t="n">
        <v>30</v>
      </c>
      <c r="J1110" s="23" t="inlineStr">
        <is>
          <t>978-5-227-09055-3</t>
        </is>
      </c>
      <c r="K1110" s="23" t="inlineStr">
        <is>
          <t>70x100 1/32</t>
        </is>
      </c>
      <c r="L1110" s="23" t="inlineStr">
        <is>
          <t>мяг</t>
        </is>
      </c>
      <c r="M1110" s="23" t="n">
        <v>160</v>
      </c>
      <c r="N1110" s="23" t="n">
        <v>2020</v>
      </c>
      <c r="O1110" s="23" t="n">
        <v>76</v>
      </c>
      <c r="P1110" s="23" t="n"/>
      <c r="Q1110" s="23" t="n"/>
      <c r="R1110" s="25" t="inlineStr">
        <is>
          <t>Лука Каваллари всегда получает то, что хочет. Поэтому, когда он узнает, что где-то в Англии у него растет сын, он решает увезти свою новую семью в сицилийское поместье. Убедить нежную Анну Синклер будет нелегко... но отрицать их яростное влечение друг к другу еще труднее! И Лука знает, что есть единственный действенный способ заявить свои права на Анну и его сына — брак! Он получит то, что по праву принадлежит ему. С помощью кольца!</t>
        </is>
      </c>
      <c r="S1110" s="26">
        <f>HYPERLINK("http://www.cnpol.ru/covers/19320.jpg","фото на сайте")</f>
        <v/>
      </c>
    </row>
    <row r="1111" ht="50.1" customHeight="1" s="3">
      <c r="A1111" s="23" t="n"/>
      <c r="B1111" s="24" t="inlineStr">
        <is>
          <t>18139</t>
        </is>
      </c>
      <c r="C1111" s="23" t="inlineStr">
        <is>
          <t>ЛР</t>
        </is>
      </c>
      <c r="D1111" s="23" t="inlineStr">
        <is>
          <t>Пэмми Т.</t>
        </is>
      </c>
      <c r="E1111" s="23" t="inlineStr">
        <is>
          <t>Всего один поцелуй</t>
        </is>
      </c>
      <c r="F1111" s="23" t="n">
        <v>809</v>
      </c>
      <c r="G1111" s="23" t="n">
        <v>94</v>
      </c>
      <c r="H1111" s="23" t="n">
        <v>10</v>
      </c>
      <c r="I1111" s="23" t="n">
        <v>30</v>
      </c>
      <c r="J1111" s="23" t="inlineStr">
        <is>
          <t>978-5-227-08128-5</t>
        </is>
      </c>
      <c r="K1111" s="23" t="inlineStr">
        <is>
          <t>70x100 1/32</t>
        </is>
      </c>
      <c r="L1111" s="23" t="inlineStr">
        <is>
          <t>мяг</t>
        </is>
      </c>
      <c r="M1111" s="23" t="n">
        <v>160</v>
      </c>
      <c r="N1111" s="23" t="n">
        <v>2018</v>
      </c>
      <c r="O1111" s="23" t="n">
        <v>76</v>
      </c>
      <c r="P1111" s="23" t="n"/>
      <c r="Q1111" s="23" t="n"/>
      <c r="R1111" s="25" t="inlineStr">
        <is>
          <t>В юности Элени Дракос была безумно влюблена, но ее избранник внезапно исчез. Десять лет спустя она выходит замуж за могущественного Габриеля Маркеса. Их объединяет лишь физическое влечение друг к другу и забота о дочери Габриеля, но Элени, давно утратившую веру в любовь, это вполне устраивает. Но неожиданное возвращение ее бывшего возлюбленного полностью меняет спокойное течение жизни…</t>
        </is>
      </c>
      <c r="S1111" s="26">
        <f>HYPERLINK("http://www.cnpol.ru/covers/18139.jpg","фото на сайте")</f>
        <v/>
      </c>
    </row>
    <row r="1112" ht="50.1" customHeight="1" s="3">
      <c r="A1112" s="23" t="n"/>
      <c r="B1112" s="24" t="inlineStr">
        <is>
          <t>17081</t>
        </is>
      </c>
      <c r="C1112" s="23" t="inlineStr">
        <is>
          <t>ЛР</t>
        </is>
      </c>
      <c r="D1112" s="23" t="inlineStr">
        <is>
          <t>Дональд Р.</t>
        </is>
      </c>
      <c r="E1112" s="23" t="inlineStr">
        <is>
          <t>Всему виной любовь</t>
        </is>
      </c>
      <c r="F1112" s="23" t="n">
        <v>661</v>
      </c>
      <c r="G1112" s="23" t="n">
        <v>94</v>
      </c>
      <c r="H1112" s="23" t="n">
        <v>10</v>
      </c>
      <c r="I1112" s="23" t="n">
        <v>30</v>
      </c>
      <c r="J1112" s="23" t="inlineStr">
        <is>
          <t>978-5-227-07070-8</t>
        </is>
      </c>
      <c r="K1112" s="23" t="inlineStr">
        <is>
          <t>70x100 1/32</t>
        </is>
      </c>
      <c r="L1112" s="23" t="inlineStr">
        <is>
          <t>мяг</t>
        </is>
      </c>
      <c r="M1112" s="23" t="n">
        <v>160</v>
      </c>
      <c r="N1112" s="23" t="n">
        <v>2016</v>
      </c>
      <c r="O1112" s="23" t="n">
        <v>76</v>
      </c>
      <c r="P1112" s="23" t="n"/>
      <c r="Q1112" s="23" t="n"/>
      <c r="R1112" s="25" t="inlineStr">
        <is>
          <t>Рэйф Певерил и Мэри Браун познакомились в Марипосе и вместе пережили авиакатастрофу. Шесть лет спустя они снова встречаются. Теперь она носит имя Марисы Сомервиль и отказывается признавать, что они встречались раньше. Но Рэйф сразу же узнает Мэри по ее необычайно красивым зеленым глазам. Он решает разгадать тайну своей старой знакомой и не замечает, как влюбляется в нее…</t>
        </is>
      </c>
      <c r="S1112" s="26">
        <f>HYPERLINK("http://www.cnpol.ru/covers/17081.jpg","фото на сайте")</f>
        <v/>
      </c>
    </row>
    <row r="1113" ht="50.1" customHeight="1" s="3">
      <c r="A1113" s="23" t="n"/>
      <c r="B1113" s="24" t="inlineStr">
        <is>
          <t>20761</t>
        </is>
      </c>
      <c r="C1113" s="23" t="inlineStr">
        <is>
          <t>ЛР</t>
        </is>
      </c>
      <c r="D1113" s="23" t="inlineStr">
        <is>
          <t>Шейк Х.</t>
        </is>
      </c>
      <c r="E1113" s="23" t="inlineStr">
        <is>
          <t>Вспомнить свою любовь</t>
        </is>
      </c>
      <c r="F1113" s="23" t="n">
        <v>1148</v>
      </c>
      <c r="G1113" s="23" t="n">
        <v>94</v>
      </c>
      <c r="H1113" s="23" t="n">
        <v>10</v>
      </c>
      <c r="I1113" s="23" t="n">
        <v>30</v>
      </c>
      <c r="J1113" s="23" t="inlineStr">
        <is>
          <t>978-5-227-10361-1</t>
        </is>
      </c>
      <c r="K1113" s="23" t="inlineStr">
        <is>
          <t>70x100 1/32</t>
        </is>
      </c>
      <c r="L1113" s="23" t="inlineStr">
        <is>
          <t>мяг</t>
        </is>
      </c>
      <c r="M1113" s="23" t="n">
        <v>159</v>
      </c>
      <c r="N1113" s="23" t="n">
        <v>2023</v>
      </c>
      <c r="O1113" s="23" t="n">
        <v>76</v>
      </c>
      <c r="P1113" s="23" t="n"/>
      <c r="Q1113" s="23" t="n"/>
      <c r="R1113" s="25" t="inlineStr">
        <is>
          <t>Успешный бизнесмен Мансур Али вынужден срочно вернуться из Америки домой в Сомалиленд. Его преследуют воспоминания прошлого, которые он предпочел бы забыть. Но настоящее повергает его в шок. Подруга детства и первая любовь, которая разбила его сердце, нуждается в его помощи. После несчастного случая Амаль страдает амнезией. Она не помнит, что Мансур год назад сделал ей предложение и получил отказ. По просьбе матери скрепя сердце Мансур соглашается помочь Амаль пройти лечение в Аддис-Абебе. Он клянется не позволять своим чувствам к Амаль взять над ним верх. Однако вскоре понимает, что легче сказать, чем сделать. Молодые люди снова влюблены, но дадут ли они своим отношениям новый шанс? Сумеют ли преодолеть сомнения, или слишком много воды утекло, чтобы у них снова появилась надежда на совместное будущее?</t>
        </is>
      </c>
      <c r="S1113" s="26">
        <f>HYPERLINK("http://www.cnpol.ru/covers/20761.jpg","фото на сайте")</f>
        <v/>
      </c>
    </row>
    <row r="1114" ht="50.1" customHeight="1" s="3">
      <c r="A1114" s="23" t="n"/>
      <c r="B1114" s="24" t="inlineStr">
        <is>
          <t>18954</t>
        </is>
      </c>
      <c r="C1114" s="23" t="inlineStr">
        <is>
          <t>ЛР</t>
        </is>
      </c>
      <c r="D1114" s="23" t="inlineStr">
        <is>
          <t>Батиджелли Р.</t>
        </is>
      </c>
      <c r="E1114" s="23" t="inlineStr">
        <is>
          <t>Встретимся на берегу залива</t>
        </is>
      </c>
      <c r="F1114" s="23" t="n">
        <v>942</v>
      </c>
      <c r="G1114" s="23" t="n">
        <v>94</v>
      </c>
      <c r="H1114" s="23" t="n">
        <v>10</v>
      </c>
      <c r="I1114" s="23" t="n">
        <v>30</v>
      </c>
      <c r="J1114" s="23" t="inlineStr">
        <is>
          <t>978-5-227-08792-8</t>
        </is>
      </c>
      <c r="K1114" s="23" t="inlineStr">
        <is>
          <t>70x100 1/32</t>
        </is>
      </c>
      <c r="L1114" s="23" t="inlineStr">
        <is>
          <t>мяг</t>
        </is>
      </c>
      <c r="M1114" s="23" t="n">
        <v>160</v>
      </c>
      <c r="N1114" s="23" t="n">
        <v>2019</v>
      </c>
      <c r="O1114" s="23" t="n">
        <v>76</v>
      </c>
      <c r="P1114" s="23" t="n"/>
      <c r="Q1114" s="23" t="n"/>
      <c r="R1114" s="25" t="inlineStr">
        <is>
          <t>Жюстин Винтер вернулась в родительский дом, расположенный в заливе Джорджиан­Бей, чтобы управлять семейным бизнесом — небольшим коттеджным поселком. Девушка энергично берется за дело, но внезапно в ее офисе появляется бизнесмен­красавец Кэссон Форрестер и заявляет, что намеревается купить землю Винтеров под строительство прибрежного курорта. Жюстин в резкой форме отказывается от сделки. Но ей приходится часто встречаться с Кэссоном, все лучше узнавая своего «противника», Жюстин не в силах сопротивляться его обаянию и вскоре влюбляется в него...</t>
        </is>
      </c>
      <c r="S1114" s="26">
        <f>HYPERLINK("http://www.cnpol.ru/covers/18954.jpg","фото на сайте")</f>
        <v/>
      </c>
    </row>
    <row r="1115" ht="50.1" customHeight="1" s="3">
      <c r="A1115" s="23" t="n"/>
      <c r="B1115" s="24" t="inlineStr">
        <is>
          <t>18583</t>
        </is>
      </c>
      <c r="C1115" s="23" t="inlineStr">
        <is>
          <t>ЛР</t>
        </is>
      </c>
      <c r="D1115" s="23" t="inlineStr">
        <is>
          <t>Грэхем Л.</t>
        </is>
      </c>
      <c r="E1115" s="23" t="inlineStr">
        <is>
          <t>Встретимся под свадебной аркой</t>
        </is>
      </c>
      <c r="F1115" s="23" t="n">
        <v>882</v>
      </c>
      <c r="G1115" s="23" t="n">
        <v>94</v>
      </c>
      <c r="H1115" s="23" t="n">
        <v>10</v>
      </c>
      <c r="I1115" s="23" t="n">
        <v>30</v>
      </c>
      <c r="J1115" s="23" t="inlineStr">
        <is>
          <t>978-5-227-08506-1</t>
        </is>
      </c>
      <c r="K1115" s="23" t="inlineStr">
        <is>
          <t>70x100 1/32</t>
        </is>
      </c>
      <c r="L1115" s="23" t="inlineStr">
        <is>
          <t>мяг</t>
        </is>
      </c>
      <c r="M1115" s="23" t="n">
        <v>160</v>
      </c>
      <c r="N1115" s="23" t="n">
        <v>2019</v>
      </c>
      <c r="O1115" s="23" t="n">
        <v>76</v>
      </c>
      <c r="P1115" s="23" t="n"/>
      <c r="Q1115" s="23" t="n"/>
      <c r="R1115" s="25" t="inlineStr">
        <is>
          <t>Зак да Роша — наследник огромной империи алмазных рудников. Но по условию завещания он не может вступить в права наследства, пока не станет отцом. Приходится поразмыслить над непростым выбором — ведь больше всего на свете Зак ценит свободу и одиночество. Однако неосторожное участие в пари заставляет его примерить на себя роль многодетного отца…</t>
        </is>
      </c>
      <c r="S1115" s="26">
        <f>HYPERLINK("http://www.cnpol.ru/covers/18583.jpg","фото на сайте")</f>
        <v/>
      </c>
    </row>
    <row r="1116" ht="50.1" customHeight="1" s="3">
      <c r="A1116" s="23" t="n"/>
      <c r="B1116" s="24" t="inlineStr">
        <is>
          <t>15936</t>
        </is>
      </c>
      <c r="C1116" s="23" t="inlineStr">
        <is>
          <t>ЛР</t>
        </is>
      </c>
      <c r="D1116" s="23" t="inlineStr">
        <is>
          <t>Хейворд Дженнифер</t>
        </is>
      </c>
      <c r="E1116" s="23" t="inlineStr">
        <is>
          <t>Вся правда о нас</t>
        </is>
      </c>
      <c r="F1116" s="23" t="n">
        <v>507</v>
      </c>
      <c r="G1116" s="23" t="n">
        <v>94</v>
      </c>
      <c r="H1116" s="23" t="n">
        <v>10</v>
      </c>
      <c r="I1116" s="23" t="n">
        <v>30</v>
      </c>
      <c r="J1116" s="23" t="inlineStr">
        <is>
          <t>978-5-227-05856-0</t>
        </is>
      </c>
      <c r="K1116" s="23" t="inlineStr">
        <is>
          <t>70x100 1/32</t>
        </is>
      </c>
      <c r="L1116" s="23" t="inlineStr">
        <is>
          <t>мяг</t>
        </is>
      </c>
      <c r="M1116" s="23" t="n">
        <v>158</v>
      </c>
      <c r="N1116" s="23" t="n">
        <v>2015</v>
      </c>
      <c r="O1116" s="23" t="n">
        <v>78</v>
      </c>
      <c r="P1116" s="23" t="n"/>
      <c r="Q1116" s="23" t="n"/>
      <c r="R1116" s="25" t="inlineStr">
        <is>
          <t>Иззи успешно строит карьеру на телевидении, и следующая ступень – должность ведущей новостей. Чтобы добиться повышения, ей нужно сделать сенсационный репортаж о бывшем футболисте Алексе Константину. Но Иззи не знала, что она влюбится в Алекса и перед ней встанет непростой выбор: карьера или любовь.</t>
        </is>
      </c>
      <c r="S1116" s="26">
        <f>HYPERLINK("http://www.cnpol.ru/covers/15936.jpg","фото на сайте")</f>
        <v/>
      </c>
    </row>
    <row r="1117" ht="50.1" customHeight="1" s="3">
      <c r="A1117" s="23" t="n"/>
      <c r="B1117" s="24" t="inlineStr">
        <is>
          <t>17641</t>
        </is>
      </c>
      <c r="C1117" s="23" t="inlineStr">
        <is>
          <t>ЛР</t>
        </is>
      </c>
      <c r="D1117" s="23" t="inlineStr">
        <is>
          <t>Смарт М.</t>
        </is>
      </c>
      <c r="E1117" s="23" t="inlineStr">
        <is>
          <t>Вторая брачная ночь</t>
        </is>
      </c>
      <c r="F1117" s="23" t="n">
        <v>743</v>
      </c>
      <c r="G1117" s="23" t="n">
        <v>94</v>
      </c>
      <c r="H1117" s="23" t="n">
        <v>10</v>
      </c>
      <c r="I1117" s="23" t="n">
        <v>30</v>
      </c>
      <c r="J1117" s="23" t="inlineStr">
        <is>
          <t>978-5-227-07639-7</t>
        </is>
      </c>
      <c r="K1117" s="23" t="inlineStr">
        <is>
          <t>70x100 1/32</t>
        </is>
      </c>
      <c r="L1117" s="23" t="inlineStr">
        <is>
          <t>мяг</t>
        </is>
      </c>
      <c r="M1117" s="23" t="n">
        <v>160</v>
      </c>
      <c r="N1117" s="23" t="n">
        <v>2017</v>
      </c>
      <c r="O1117" s="23" t="n">
        <v>76</v>
      </c>
      <c r="P1117" s="23" t="n"/>
      <c r="Q1117" s="23" t="n"/>
      <c r="R1117" s="25" t="inlineStr">
        <is>
          <t>Элизабет Янг живет в Нью­Йорке, занимаясь своим бизнесом, и даже не подозревает, что всему этому скоро придет конец. Ее бывший муж, греческий бизнесмен Ксандер Тракас, неожиданно выходит на связь. Ксандер когда­то причинил Элизабет много боли, и меньше всего ей вновь хотелось бы играть по его правилам, хотя страсть, связавшая их когда­то, все еще сильна. Ксандер сообщает Элизабет, что их брак никогда не будет аннулирован. Найдет ли она в себе силы противостоять бывшему мужу? И… захочет ли?</t>
        </is>
      </c>
      <c r="S1117" s="26">
        <f>HYPERLINK("http://www.cnpol.ru/covers/17641.jpg","фото на сайте")</f>
        <v/>
      </c>
    </row>
    <row r="1118" ht="50.1" customHeight="1" s="3">
      <c r="A1118" s="23" t="n"/>
      <c r="B1118" s="24" t="inlineStr">
        <is>
          <t>18298</t>
        </is>
      </c>
      <c r="C1118" s="23" t="inlineStr">
        <is>
          <t>ЛР</t>
        </is>
      </c>
      <c r="D1118" s="23" t="inlineStr">
        <is>
          <t>Блейк М.</t>
        </is>
      </c>
      <c r="E1118" s="23" t="inlineStr">
        <is>
          <t>Второго шанса не будет</t>
        </is>
      </c>
      <c r="F1118" s="23" t="n">
        <v>835</v>
      </c>
      <c r="G1118" s="23" t="n">
        <v>94</v>
      </c>
      <c r="H1118" s="23" t="n">
        <v>10</v>
      </c>
      <c r="I1118" s="23" t="n">
        <v>30</v>
      </c>
      <c r="J1118" s="23" t="inlineStr">
        <is>
          <t>978-5-227-08245-9</t>
        </is>
      </c>
      <c r="K1118" s="23" t="inlineStr">
        <is>
          <t>70x100 1/32</t>
        </is>
      </c>
      <c r="L1118" s="23" t="inlineStr">
        <is>
          <t>мяг</t>
        </is>
      </c>
      <c r="M1118" s="23" t="n">
        <v>160</v>
      </c>
      <c r="N1118" s="23" t="n">
        <v>2018</v>
      </c>
      <c r="O1118" s="23" t="n">
        <v>76</v>
      </c>
      <c r="P1118" s="23" t="n"/>
      <c r="Q1118" s="23" t="n"/>
      <c r="R1118" s="25" t="inlineStr">
        <is>
          <t>Гаел Агилар против брака и меняет любовниц каждые шесть недель — таков его принцип. И он не намерен нарушать его. Но когда начинающая актриса Голди Беккет забеременела после ночи с ним, он вдруг меняет свое мнение о браке…</t>
        </is>
      </c>
      <c r="S1118" s="26">
        <f>HYPERLINK("http://www.cnpol.ru/covers/18298.jpg","фото на сайте")</f>
        <v/>
      </c>
    </row>
    <row r="1119" ht="50.1" customHeight="1" s="3">
      <c r="A1119" s="23" t="n"/>
      <c r="B1119" s="24" t="inlineStr">
        <is>
          <t>18988</t>
        </is>
      </c>
      <c r="C1119" s="23" t="inlineStr">
        <is>
          <t>ЛР</t>
        </is>
      </c>
      <c r="D1119" s="23" t="inlineStr">
        <is>
          <t>Уильямс А.</t>
        </is>
      </c>
      <c r="E1119" s="23" t="inlineStr">
        <is>
          <t>Второй шанс на счастье</t>
        </is>
      </c>
      <c r="F1119" s="23" t="n">
        <v>948</v>
      </c>
      <c r="G1119" s="23" t="n">
        <v>94</v>
      </c>
      <c r="H1119" s="23" t="n">
        <v>10</v>
      </c>
      <c r="I1119" s="23" t="n">
        <v>30</v>
      </c>
      <c r="J1119" s="23" t="inlineStr">
        <is>
          <t>978-5-227-08839-0</t>
        </is>
      </c>
      <c r="K1119" s="23" t="inlineStr">
        <is>
          <t>70x100 1/32</t>
        </is>
      </c>
      <c r="L1119" s="23" t="inlineStr">
        <is>
          <t>мяг</t>
        </is>
      </c>
      <c r="M1119" s="23" t="n">
        <v>160</v>
      </c>
      <c r="N1119" s="23" t="n">
        <v>2019</v>
      </c>
      <c r="O1119" s="23" t="n">
        <v>76</v>
      </c>
      <c r="P1119" s="23" t="n"/>
      <c r="Q1119" s="23" t="n"/>
      <c r="R1119" s="25" t="inlineStr">
        <is>
          <t>Любовь не принесла Эбигейл счастья, обожаемый возлюбленный, красивый, успешный Леандро Санчес, поверил лживым обвинениям и выбросил ее из своей жизни. Молодая женщина тяжело переживала обиду, а вскоре узнала, что станет матерью. Не имея ни дома, ни работы, ни денег, она все же выстояла. Помощь пришла, но не от любимого. Эбигейл родила чудесного малыша, а вскоре судьба подстроила ей встречу с отцом ее ребенка, и она решилась сообщить Леандро, что у него есть сын…</t>
        </is>
      </c>
      <c r="S1119" s="26">
        <f>HYPERLINK("http://www.cnpol.ru/covers/18988.jpg","фото на сайте")</f>
        <v/>
      </c>
    </row>
    <row r="1120" ht="50.1" customHeight="1" s="3">
      <c r="A1120" s="23" t="n"/>
      <c r="B1120" s="24" t="inlineStr">
        <is>
          <t>16292</t>
        </is>
      </c>
      <c r="C1120" s="23" t="inlineStr">
        <is>
          <t>ЛР</t>
        </is>
      </c>
      <c r="D1120" s="23" t="inlineStr">
        <is>
          <t>Джеймс Д.</t>
        </is>
      </c>
      <c r="E1120" s="23" t="inlineStr">
        <is>
          <t>Выйти замуж и влюбиться</t>
        </is>
      </c>
      <c r="F1120" s="23" t="n">
        <v>559</v>
      </c>
      <c r="G1120" s="23" t="n">
        <v>94</v>
      </c>
      <c r="H1120" s="23" t="n">
        <v>10</v>
      </c>
      <c r="I1120" s="23" t="n">
        <v>30</v>
      </c>
      <c r="J1120" s="23" t="inlineStr">
        <is>
          <t>978-5-227-06190-4</t>
        </is>
      </c>
      <c r="K1120" s="23" t="inlineStr">
        <is>
          <t>70x100 1/32</t>
        </is>
      </c>
      <c r="L1120" s="23" t="inlineStr">
        <is>
          <t>мяг</t>
        </is>
      </c>
      <c r="M1120" s="23" t="n">
        <v>158</v>
      </c>
      <c r="N1120" s="23" t="n">
        <v>2015</v>
      </c>
      <c r="O1120" s="23" t="n">
        <v>76</v>
      </c>
      <c r="P1120" s="23" t="n"/>
      <c r="Q1120" s="23" t="n"/>
      <c r="R1120" s="25" t="inlineStr">
        <is>
          <t>Лин Брэндон посвятила свою жизнь заботе об осиротевшем племяннике. Но когда на пороге ее дома появился богатый, могущественный и потрясающе красивый Анатоль Телонидис, вознамерившийся отвезти ребенка в Грецию к семье его погибшего отца, сердце Лин забилось сильнее, но не только от страха…</t>
        </is>
      </c>
      <c r="S1120" s="26">
        <f>HYPERLINK("http://www.cnpol.ru/covers/16292.jpg","фото на сайте")</f>
        <v/>
      </c>
    </row>
    <row r="1121" ht="50.1" customHeight="1" s="3">
      <c r="A1121" s="23" t="n"/>
      <c r="B1121" s="24" t="inlineStr">
        <is>
          <t>16328</t>
        </is>
      </c>
      <c r="C1121" s="23" t="inlineStr">
        <is>
          <t>ЛР</t>
        </is>
      </c>
      <c r="D1121" s="23" t="inlineStr">
        <is>
          <t>Мейнард Д.</t>
        </is>
      </c>
      <c r="E1121" s="23" t="inlineStr">
        <is>
          <t>Герой из ее сна</t>
        </is>
      </c>
      <c r="F1121" s="23" t="n">
        <v>561</v>
      </c>
      <c r="G1121" s="23" t="n">
        <v>94</v>
      </c>
      <c r="H1121" s="23" t="n">
        <v>10</v>
      </c>
      <c r="I1121" s="23" t="n">
        <v>30</v>
      </c>
      <c r="J1121" s="23" t="inlineStr">
        <is>
          <t>978-5-227-06192-8</t>
        </is>
      </c>
      <c r="K1121" s="23" t="inlineStr">
        <is>
          <t>70x100 1/32</t>
        </is>
      </c>
      <c r="L1121" s="23" t="inlineStr">
        <is>
          <t>мяг</t>
        </is>
      </c>
      <c r="M1121" s="23" t="n">
        <v>158</v>
      </c>
      <c r="N1121" s="23" t="n">
        <v>2015</v>
      </c>
      <c r="O1121" s="23" t="n">
        <v>76</v>
      </c>
      <c r="P1121" s="23" t="n"/>
      <c r="Q1121" s="23" t="n"/>
      <c r="R1121" s="25" t="inlineStr">
        <is>
          <t>Дилан Каванах, владелец бара «Серебряный доллар», узнает в ­одной из посетительниц свою старую знакомую Миа, которая когда­то помогала ему осилить школьную программу. На руках у нее крошечная дочка. Дилан в память о чудесном времени, проведенном вместе, решает поддержать Миа, оставшуюся без работы и крыши над головой…</t>
        </is>
      </c>
      <c r="S1121" s="26">
        <f>HYPERLINK("http://www.cnpol.ru/covers/16328.jpg","фото на сайте")</f>
        <v/>
      </c>
    </row>
    <row r="1122" ht="50.1" customHeight="1" s="3">
      <c r="A1122" s="23" t="n"/>
      <c r="B1122" s="24" t="inlineStr">
        <is>
          <t>15594</t>
        </is>
      </c>
      <c r="C1122" s="23" t="inlineStr">
        <is>
          <t>ЛР</t>
        </is>
      </c>
      <c r="D1122" s="23" t="inlineStr">
        <is>
          <t>Грин Э.</t>
        </is>
      </c>
      <c r="E1122" s="23" t="inlineStr">
        <is>
          <t>Глаза тигрицы</t>
        </is>
      </c>
      <c r="F1122" s="23" t="n">
        <v>465</v>
      </c>
      <c r="G1122" s="23" t="n">
        <v>94</v>
      </c>
      <c r="H1122" s="23" t="n">
        <v>10</v>
      </c>
      <c r="I1122" s="23" t="n">
        <v>30</v>
      </c>
      <c r="J1122" s="23" t="inlineStr">
        <is>
          <t>978-5-227-05613-9</t>
        </is>
      </c>
      <c r="K1122" s="23" t="inlineStr">
        <is>
          <t>70x100 1/32</t>
        </is>
      </c>
      <c r="L1122" s="23" t="inlineStr">
        <is>
          <t>мяг</t>
        </is>
      </c>
      <c r="M1122" s="23" t="n">
        <v>158</v>
      </c>
      <c r="N1122" s="23" t="n">
        <v>2014</v>
      </c>
      <c r="O1122" s="23" t="n">
        <v>76</v>
      </c>
      <c r="P1122" s="23" t="n"/>
      <c r="Q1122" s="23" t="n"/>
      <c r="R1122" s="25" t="inlineStr">
        <is>
          <t>Валентина ненавидит Джио. Он ненавидит себя. Гибель ее брата разделила их жизни на «до» и «после».  Однако зародившееся семь лет назад чувство не угасло. Удастся ли им примириться с прошлым и найти путь от сердца к сердцу?</t>
        </is>
      </c>
      <c r="S1122" s="26">
        <f>HYPERLINK("http://www.cnpol.ru/covers/15594.jpg","фото на сайте")</f>
        <v/>
      </c>
    </row>
    <row r="1123" ht="50.1" customHeight="1" s="3">
      <c r="A1123" s="23" t="n"/>
      <c r="B1123" s="24" t="inlineStr">
        <is>
          <t>16808</t>
        </is>
      </c>
      <c r="C1123" s="23" t="inlineStr">
        <is>
          <t>ЛР</t>
        </is>
      </c>
      <c r="D1123" s="23" t="inlineStr">
        <is>
          <t>Гилмор Д.</t>
        </is>
      </c>
      <c r="E1123" s="23" t="inlineStr">
        <is>
          <t>Город сбывшихся желаний</t>
        </is>
      </c>
      <c r="F1123" s="23" t="n">
        <v>625</v>
      </c>
      <c r="G1123" s="23" t="n">
        <v>94</v>
      </c>
      <c r="H1123" s="23" t="n">
        <v>10</v>
      </c>
      <c r="I1123" s="23" t="n">
        <v>30</v>
      </c>
      <c r="J1123" s="23" t="inlineStr">
        <is>
          <t>978-5-227-06786-9</t>
        </is>
      </c>
      <c r="K1123" s="23" t="inlineStr">
        <is>
          <t>70x100 1/32</t>
        </is>
      </c>
      <c r="L1123" s="23" t="inlineStr">
        <is>
          <t>мяг</t>
        </is>
      </c>
      <c r="M1123" s="23" t="n">
        <v>160</v>
      </c>
      <c r="N1123" s="23" t="n">
        <v>2016</v>
      </c>
      <c r="O1123" s="23" t="n">
        <v>76</v>
      </c>
      <c r="P1123" s="23" t="n"/>
      <c r="Q1123" s="23" t="n"/>
      <c r="R1123" s="25" t="inlineStr">
        <is>
          <t>Как преуспевающей бизнес­леди совместить карьеру и личную жизнь? Полли Рафферти, исполнительному директору торговой лондонской фирмы, предстоит решить эту, казалось бы, неразрешимую задачу. Появление в компании вице­директора Габриеля Бофиля и неожиданная беременность ставят ее в тупик. Хватит ли у Полли сил не отказываться от зарождающейся любви и от ребенка? Ведь с каждым днем сопротивляться чарам Габриеля становится все труднее…</t>
        </is>
      </c>
      <c r="S1123" s="26">
        <f>HYPERLINK("http://www.cnpol.ru/covers/16808.jpg","фото на сайте")</f>
        <v/>
      </c>
    </row>
    <row r="1124" ht="50.1" customHeight="1" s="3">
      <c r="A1124" s="23" t="n"/>
      <c r="B1124" s="24" t="inlineStr">
        <is>
          <t>17647</t>
        </is>
      </c>
      <c r="C1124" s="23" t="inlineStr">
        <is>
          <t>ЛР</t>
        </is>
      </c>
      <c r="D1124" s="23" t="inlineStr">
        <is>
          <t>Крюс К.</t>
        </is>
      </c>
      <c r="E1124" s="23" t="inlineStr">
        <is>
          <t>Губительные ласки</t>
        </is>
      </c>
      <c r="F1124" s="23" t="n">
        <v>744</v>
      </c>
      <c r="G1124" s="23" t="n">
        <v>94</v>
      </c>
      <c r="H1124" s="23" t="n">
        <v>10</v>
      </c>
      <c r="I1124" s="23" t="n">
        <v>30</v>
      </c>
      <c r="J1124" s="23" t="inlineStr">
        <is>
          <t>978-5-227-07640-3</t>
        </is>
      </c>
      <c r="K1124" s="23" t="inlineStr">
        <is>
          <t>70x100 1/32</t>
        </is>
      </c>
      <c r="L1124" s="23" t="inlineStr">
        <is>
          <t>мяг</t>
        </is>
      </c>
      <c r="M1124" s="23" t="n">
        <v>160</v>
      </c>
      <c r="N1124" s="23" t="n">
        <v>2017</v>
      </c>
      <c r="O1124" s="23" t="n">
        <v>76</v>
      </c>
      <c r="P1124" s="23" t="n"/>
      <c r="Q1124" s="23" t="n"/>
      <c r="R1124" s="25" t="inlineStr">
        <is>
          <t>Клео Черчилль отправляется в путешествие по миру, пытаясь забыть вероломство предавшего ее незадолго до свадьбы жениха. Она попадает в одно из небольших государств в самом сердце пустыни, где встречает очаровательного султана. Клео тут же же начинает мечтать о сказке с пышной свадьбой в старинном замке Джурата. Ее мечты сбываются, но вскоре Клео сталкивается с ужасной реальностью, где от нее не ждут ничего, кроме абсолютного и безоговорочного повиновения.</t>
        </is>
      </c>
      <c r="S1124" s="26">
        <f>HYPERLINK("http://www.cnpol.ru/covers/17647.jpg","фото на сайте")</f>
        <v/>
      </c>
    </row>
    <row r="1125" ht="50.1" customHeight="1" s="3">
      <c r="A1125" s="23" t="n"/>
      <c r="B1125" s="24" t="inlineStr">
        <is>
          <t>20088</t>
        </is>
      </c>
      <c r="C1125" s="23" t="inlineStr">
        <is>
          <t>ЛР</t>
        </is>
      </c>
      <c r="D1125" s="23" t="inlineStr">
        <is>
          <t>Гилмор Д.</t>
        </is>
      </c>
      <c r="E1125" s="23" t="inlineStr">
        <is>
          <t>Давно забытая нежность</t>
        </is>
      </c>
      <c r="F1125" s="23" t="n">
        <v>1078</v>
      </c>
      <c r="G1125" s="23" t="n">
        <v>94</v>
      </c>
      <c r="H1125" s="23" t="n">
        <v>10</v>
      </c>
      <c r="I1125" s="23" t="n">
        <v>30</v>
      </c>
      <c r="J1125" s="23" t="inlineStr">
        <is>
          <t>978-5-227-09617-3</t>
        </is>
      </c>
      <c r="K1125" s="23" t="inlineStr">
        <is>
          <t>70x100 1/32</t>
        </is>
      </c>
      <c r="L1125" s="23" t="inlineStr">
        <is>
          <t>мяг</t>
        </is>
      </c>
      <c r="M1125" s="23" t="n">
        <v>159</v>
      </c>
      <c r="N1125" s="23" t="n">
        <v>2022</v>
      </c>
      <c r="O1125" s="23" t="n">
        <v>76</v>
      </c>
      <c r="P1125" s="23" t="n"/>
      <c r="Q1125" s="23" t="n"/>
      <c r="R1125" s="25" t="inlineStr">
        <is>
          <t>Араминта Давенпорт переживает не лучшие времена. Ей хотелось бы выйти замуж, иметь собственный бизнес. Но пока ее мечтам не суждено сбыться. Минти полна решимости изменить свою жизнь и поэтому вернулась в Тоскану. Именно в этом городе она когда­то была невероятно счастлива с мужчиной, которого до сих пор не может забыть... Лука Ди Торе живет исключительно работой, считая, что личное счастье и брак — не для него. Но когда он снова видит Минти, то вспоминает солнечные дни их беззаботной  юности. Возможно, старые чувства вспыхнут с былой силой?</t>
        </is>
      </c>
      <c r="S1125" s="26">
        <f>HYPERLINK("http://www.cnpol.ru/covers/20088.jpg","фото на сайте")</f>
        <v/>
      </c>
    </row>
    <row r="1126" ht="50.1" customHeight="1" s="3">
      <c r="A1126" s="23" t="n"/>
      <c r="B1126" s="24" t="inlineStr">
        <is>
          <t>18499</t>
        </is>
      </c>
      <c r="C1126" s="23" t="inlineStr">
        <is>
          <t>ЛР</t>
        </is>
      </c>
      <c r="D1126" s="23" t="inlineStr">
        <is>
          <t>Уайтфезер Ш.</t>
        </is>
      </c>
      <c r="E1126" s="23" t="inlineStr">
        <is>
          <t>Даже не думай влюбляться</t>
        </is>
      </c>
      <c r="F1126" s="23" t="n">
        <v>867</v>
      </c>
      <c r="G1126" s="23" t="n">
        <v>94</v>
      </c>
      <c r="H1126" s="23" t="n">
        <v>10</v>
      </c>
      <c r="I1126" s="23" t="n">
        <v>30</v>
      </c>
      <c r="J1126" s="23" t="inlineStr">
        <is>
          <t>978-5-227-08410-1</t>
        </is>
      </c>
      <c r="K1126" s="23" t="inlineStr">
        <is>
          <t>70x100 1/32</t>
        </is>
      </c>
      <c r="L1126" s="23" t="inlineStr">
        <is>
          <t>мяг</t>
        </is>
      </c>
      <c r="M1126" s="23" t="n">
        <v>160</v>
      </c>
      <c r="N1126" s="23" t="n">
        <v>2019</v>
      </c>
      <c r="O1126" s="23" t="n">
        <v>76</v>
      </c>
      <c r="P1126" s="23" t="n"/>
      <c r="Q1126" s="23" t="n"/>
      <c r="R1126" s="25" t="inlineStr">
        <is>
          <t>Обаятельная скромница Джоан давно влюблена в своего босса, красавца­миллионера Джейка Уотерса. Она уверена, что никогда не станет объектом его грез, ведь он предпочитает совсем других женщин, ярких и уверенных в себе. К тому же всем известно: Джейк не любит  связывать себя обязательствами и боится серьезных отношений как огня. Но однажды босс приглашает ее составить ему компанию на звездной вечеринке, организованной на острове. Она отвечает согласием не раздумывая. И закружившийся вихрь страсти тут же круто меняет жизнь Джоан…</t>
        </is>
      </c>
      <c r="S1126" s="26">
        <f>HYPERLINK("http://www.cnpol.ru/covers/18499.jpg","фото на сайте")</f>
        <v/>
      </c>
    </row>
    <row r="1127" ht="50.1" customHeight="1" s="3">
      <c r="A1127" s="23" t="n"/>
      <c r="B1127" s="24" t="inlineStr">
        <is>
          <t>18906</t>
        </is>
      </c>
      <c r="C1127" s="23" t="inlineStr">
        <is>
          <t>ЛР</t>
        </is>
      </c>
      <c r="D1127" s="23" t="inlineStr">
        <is>
          <t>Бехари Т.</t>
        </is>
      </c>
      <c r="E1127" s="23" t="inlineStr">
        <is>
          <t>Дай волю чувствам</t>
        </is>
      </c>
      <c r="F1127" s="23" t="n">
        <v>933</v>
      </c>
      <c r="G1127" s="23" t="n">
        <v>94</v>
      </c>
      <c r="H1127" s="23" t="n">
        <v>10</v>
      </c>
      <c r="I1127" s="23" t="n">
        <v>30</v>
      </c>
      <c r="J1127" s="23" t="inlineStr">
        <is>
          <t>978-5-227-08771-3</t>
        </is>
      </c>
      <c r="K1127" s="23" t="inlineStr">
        <is>
          <t>70x100 1/32</t>
        </is>
      </c>
      <c r="L1127" s="23" t="inlineStr">
        <is>
          <t>мяг</t>
        </is>
      </c>
      <c r="M1127" s="23" t="n">
        <v>160</v>
      </c>
      <c r="N1127" s="23" t="n">
        <v>2019</v>
      </c>
      <c r="O1127" s="23" t="n">
        <v>76</v>
      </c>
      <c r="P1127" s="23" t="n"/>
      <c r="Q1127" s="23" t="n"/>
      <c r="R1127" s="25" t="inlineStr">
        <is>
          <t>У Розы Спенсер есть тайная причина сбежать без объяснений от любимого мужа, но волей обстоятельств через несколько месяцев оба обнаруживают себя запертыми в доме на острове, отрезанном штормом от остального мира, и теперь им придется объясниться.</t>
        </is>
      </c>
      <c r="S1127" s="26">
        <f>HYPERLINK("http://www.cnpol.ru/covers/18906.jpg","фото на сайте")</f>
        <v/>
      </c>
    </row>
    <row r="1128" ht="50.1" customHeight="1" s="3">
      <c r="A1128" s="23" t="n"/>
      <c r="B1128" s="24" t="inlineStr">
        <is>
          <t>17815</t>
        </is>
      </c>
      <c r="C1128" s="23" t="inlineStr">
        <is>
          <t>ЛР</t>
        </is>
      </c>
      <c r="D1128" s="23" t="inlineStr">
        <is>
          <t>Маринелли К.</t>
        </is>
      </c>
      <c r="E1128" s="23" t="inlineStr">
        <is>
          <t>Дай нам шанс</t>
        </is>
      </c>
      <c r="F1128" s="23" t="n">
        <v>770</v>
      </c>
      <c r="G1128" s="23" t="n">
        <v>94</v>
      </c>
      <c r="H1128" s="23" t="n">
        <v>10</v>
      </c>
      <c r="I1128" s="23" t="n">
        <v>30</v>
      </c>
      <c r="J1128" s="23" t="inlineStr">
        <is>
          <t>978-5-227-07754-7</t>
        </is>
      </c>
      <c r="K1128" s="23" t="inlineStr">
        <is>
          <t>70x100 1/32</t>
        </is>
      </c>
      <c r="L1128" s="23" t="inlineStr">
        <is>
          <t>мяг</t>
        </is>
      </c>
      <c r="M1128" s="23" t="n">
        <v>160</v>
      </c>
      <c r="N1128" s="23" t="n">
        <v>2017</v>
      </c>
      <c r="O1128" s="23" t="n">
        <v>76</v>
      </c>
      <c r="P1128" s="23" t="n"/>
      <c r="Q1128" s="23" t="n"/>
      <c r="R1128" s="25" t="inlineStr">
        <is>
          <t>Принцесса Лейла, нежеланный ребенок в королевской семье, устала добиваться любви своих родителей и, сбежав из дворца, улетела в Нью­Йорк. В первый же вечер в ресторане роскошного отеля она познакомилась с известным плейбоем красавцем Джеймсом Чатсфилдом и влюбилась в него с первого взгляда. Они провели ­чудесную ночь, наутро Джеймс покинул ее. Лейла решила, что навсегда…</t>
        </is>
      </c>
      <c r="S1128" s="26">
        <f>HYPERLINK("http://www.cnpol.ru/covers/17815.jpg","фото на сайте")</f>
        <v/>
      </c>
    </row>
    <row r="1129" ht="50.1" customHeight="1" s="3">
      <c r="A1129" s="23" t="n"/>
      <c r="B1129" s="24" t="inlineStr">
        <is>
          <t>16846</t>
        </is>
      </c>
      <c r="C1129" s="23" t="inlineStr">
        <is>
          <t>ЛР</t>
        </is>
      </c>
      <c r="D1129" s="23" t="inlineStr">
        <is>
          <t>Милн Н.</t>
        </is>
      </c>
      <c r="E1129" s="23" t="inlineStr">
        <is>
          <t>Два дня на любовь</t>
        </is>
      </c>
      <c r="F1129" s="23" t="n">
        <v>629</v>
      </c>
      <c r="G1129" s="23" t="n">
        <v>94</v>
      </c>
      <c r="H1129" s="23" t="n">
        <v>10</v>
      </c>
      <c r="I1129" s="23" t="n">
        <v>30</v>
      </c>
      <c r="J1129" s="23" t="inlineStr">
        <is>
          <t>978-5-227-06790-6</t>
        </is>
      </c>
      <c r="K1129" s="23" t="inlineStr">
        <is>
          <t>70x100 1/32</t>
        </is>
      </c>
      <c r="L1129" s="23" t="inlineStr">
        <is>
          <t>мяг</t>
        </is>
      </c>
      <c r="M1129" s="23" t="n">
        <v>160</v>
      </c>
      <c r="N1129" s="23" t="n">
        <v>2016</v>
      </c>
      <c r="O1129" s="23" t="n">
        <v>76</v>
      </c>
      <c r="P1129" s="23" t="n"/>
      <c r="Q1129" s="23" t="n"/>
      <c r="R1129" s="25" t="inlineStr">
        <is>
          <t>Руби Хэмптон нанимается управляющей рестораном к преуспевающему бизнесмену Итану Кавершему. Десять лет назад судьба уже сводила их, но Итан тогда отверг зарождающуюся любовь Руби. Волей обстоятельств они проводят рождественские праздники в заснеженном альпийском шале. Смогут ли они остаться в рамках деловых отношений, или их чувства выйдут из­под контроля?</t>
        </is>
      </c>
      <c r="S1129" s="26">
        <f>HYPERLINK("http://www.cnpol.ru/covers/16846.jpg","фото на сайте")</f>
        <v/>
      </c>
    </row>
    <row r="1130" ht="50.1" customHeight="1" s="3">
      <c r="A1130" s="23" t="n"/>
      <c r="B1130" s="24" t="inlineStr">
        <is>
          <t>15959</t>
        </is>
      </c>
      <c r="C1130" s="23" t="inlineStr">
        <is>
          <t>ЛР</t>
        </is>
      </c>
      <c r="D1130" s="23" t="inlineStr">
        <is>
          <t>Уокер К.</t>
        </is>
      </c>
      <c r="E1130" s="23" t="inlineStr">
        <is>
          <t>Два жениха и одна невеста</t>
        </is>
      </c>
      <c r="F1130" s="23" t="n">
        <v>511</v>
      </c>
      <c r="G1130" s="23" t="n">
        <v>94</v>
      </c>
      <c r="H1130" s="23" t="n">
        <v>10</v>
      </c>
      <c r="I1130" s="23" t="n">
        <v>30</v>
      </c>
      <c r="J1130" s="23" t="inlineStr">
        <is>
          <t>978-5-227-05860-7</t>
        </is>
      </c>
      <c r="K1130" s="23" t="inlineStr">
        <is>
          <t>70x100 1/32</t>
        </is>
      </c>
      <c r="L1130" s="23" t="inlineStr">
        <is>
          <t>мяг</t>
        </is>
      </c>
      <c r="M1130" s="23" t="n">
        <v>158</v>
      </c>
      <c r="N1130" s="23" t="n">
        <v>2015</v>
      </c>
      <c r="O1130" s="23" t="n">
        <v>78</v>
      </c>
      <c r="P1130" s="23" t="n"/>
      <c r="Q1130" s="23" t="n"/>
      <c r="R1130" s="25" t="inlineStr">
        <is>
          <t>В Мекджории, на родине Рии, после неожиданной смерти наследника престола начались волнения. Чтобы спасти Мекджорию и себя, Рия летит в Лондон, к своему другу детства, надеясь уговорить его взойти на престол..._x000D_
УДК</t>
        </is>
      </c>
      <c r="S1130" s="26">
        <f>HYPERLINK("http://www.cnpol.ru/covers/15959.jpg","фото на сайте")</f>
        <v/>
      </c>
    </row>
    <row r="1131" ht="50.1" customHeight="1" s="3">
      <c r="A1131" s="23" t="n"/>
      <c r="B1131" s="24" t="inlineStr">
        <is>
          <t>18819</t>
        </is>
      </c>
      <c r="C1131" s="23" t="inlineStr">
        <is>
          <t>ЛР</t>
        </is>
      </c>
      <c r="D1131" s="23" t="inlineStr">
        <is>
          <t>Ли М.</t>
        </is>
      </c>
      <c r="E1131" s="23" t="inlineStr">
        <is>
          <t>Два свидания на Капри</t>
        </is>
      </c>
      <c r="F1131" s="23" t="n">
        <v>917</v>
      </c>
      <c r="G1131" s="23" t="n">
        <v>94</v>
      </c>
      <c r="H1131" s="23" t="n">
        <v>10</v>
      </c>
      <c r="I1131" s="23" t="n">
        <v>30</v>
      </c>
      <c r="J1131" s="23" t="inlineStr">
        <is>
          <t>978-5-227-08694-5</t>
        </is>
      </c>
      <c r="K1131" s="23" t="inlineStr">
        <is>
          <t>70x100 1/32</t>
        </is>
      </c>
      <c r="L1131" s="23" t="inlineStr">
        <is>
          <t>мяг</t>
        </is>
      </c>
      <c r="M1131" s="23" t="n">
        <v>160</v>
      </c>
      <c r="N1131" s="23" t="n">
        <v>2019</v>
      </c>
      <c r="O1131" s="23" t="n">
        <v>76</v>
      </c>
      <c r="P1131" s="23" t="n"/>
      <c r="Q1131" s="23" t="n"/>
      <c r="R1131" s="25" t="inlineStr">
        <is>
          <t>Бизнесмен Леонардо Фабрицци мечтает приобрести роскошную виллу на Капри, оставшуюся после смерти его друга Лоренса. И тут выясняется, что Лоренс завещал виллу своей тайной биологической дочери Веронике. Она приезжает на Капри разузнать об отце и обсудить с Леонардо продажу виллы. Между молодыми людьми вспыхивает бурный роман, но ни один из них не верит в настоящую любовь, имея за плечами печальный опыт. Неожиданная для обоих беременность Вероники обостряет и без того непростые отношения между любовниками.</t>
        </is>
      </c>
      <c r="S1131" s="26">
        <f>HYPERLINK("http://www.cnpol.ru/covers/18819.jpg","фото на сайте")</f>
        <v/>
      </c>
    </row>
    <row r="1132" ht="50.1" customHeight="1" s="3">
      <c r="A1132" s="23" t="n"/>
      <c r="B1132" s="24" t="inlineStr">
        <is>
          <t>19444</t>
        </is>
      </c>
      <c r="C1132" s="23" t="inlineStr">
        <is>
          <t>ЛР</t>
        </is>
      </c>
      <c r="D1132" s="23" t="inlineStr">
        <is>
          <t>Коллинз Д.</t>
        </is>
      </c>
      <c r="E1132" s="23" t="inlineStr">
        <is>
          <t>Два секрета любовницы</t>
        </is>
      </c>
      <c r="F1132" s="23" t="n">
        <v>1010</v>
      </c>
      <c r="G1132" s="23" t="n">
        <v>94</v>
      </c>
      <c r="H1132" s="23" t="n">
        <v>10</v>
      </c>
      <c r="I1132" s="23" t="n">
        <v>30</v>
      </c>
      <c r="J1132" s="23" t="inlineStr">
        <is>
          <t>978-5-227-09148-2</t>
        </is>
      </c>
      <c r="K1132" s="23" t="inlineStr">
        <is>
          <t>70x100 1/32</t>
        </is>
      </c>
      <c r="L1132" s="23" t="inlineStr">
        <is>
          <t>мяг</t>
        </is>
      </c>
      <c r="M1132" s="23" t="n">
        <v>160</v>
      </c>
      <c r="N1132" s="23" t="n">
        <v>2020</v>
      </c>
      <c r="O1132" s="23" t="n">
        <v>76</v>
      </c>
      <c r="P1132" s="23" t="n"/>
      <c r="Q1132" s="23" t="n"/>
      <c r="R1132" s="25" t="inlineStr">
        <is>
          <t>Для Синнии Уитли случайная встреча с миллионером Анри Советерре стала судьбоносной. В первый же вечер она потеряла голову, не в силах сопротивляться страсти, и стала его любовницей. Со временем их отношения переросли в надежное партнерство: он не может обходиться без нее, она — без него. Два года они вместе, но о свадьбе не может быть и речи — из­за похищения в детстве младшей сестры Анри поклялся не вступать в брак и не заводить детей. Не дождавшись предложения руки и сердца, Синния решила уйти. А когда ушла, то поняла, что беременна, и не просто беременна, а носит двойню от Анри. Трудно и мучительно двум любящим, но упрямым и независимым личностям прийти к согласию и обрести счастье…</t>
        </is>
      </c>
      <c r="S1132" s="26">
        <f>HYPERLINK("http://www.cnpol.ru/covers/19444.jpg","фото на сайте")</f>
        <v/>
      </c>
    </row>
    <row r="1133" ht="50.1" customHeight="1" s="3">
      <c r="A1133" s="23" t="n"/>
      <c r="B1133" s="24" t="inlineStr">
        <is>
          <t>18723</t>
        </is>
      </c>
      <c r="C1133" s="23" t="inlineStr">
        <is>
          <t>ЛР</t>
        </is>
      </c>
      <c r="D1133" s="23" t="inlineStr">
        <is>
          <t>Вуд Джосс</t>
        </is>
      </c>
      <c r="E1133" s="23" t="inlineStr">
        <is>
          <t>Две встречи в Милане</t>
        </is>
      </c>
      <c r="F1133" s="23" t="n">
        <v>902</v>
      </c>
      <c r="G1133" s="23" t="n">
        <v>94</v>
      </c>
      <c r="H1133" s="23" t="n">
        <v>10</v>
      </c>
      <c r="I1133" s="23" t="n">
        <v>30</v>
      </c>
      <c r="J1133" s="23" t="inlineStr">
        <is>
          <t>978-5-227-08577-1</t>
        </is>
      </c>
      <c r="K1133" s="23" t="inlineStr">
        <is>
          <t>70x100 1/32</t>
        </is>
      </c>
      <c r="L1133" s="23" t="inlineStr">
        <is>
          <t>мяг</t>
        </is>
      </c>
      <c r="M1133" s="23" t="n">
        <v>160</v>
      </c>
      <c r="N1133" s="23" t="n">
        <v>2019</v>
      </c>
      <c r="O1133" s="23" t="n">
        <v>78</v>
      </c>
      <c r="P1133" s="23" t="n"/>
      <c r="Q1133" s="23" t="n"/>
      <c r="R1133" s="25" t="inlineStr">
        <is>
          <t>Амнезия, уникальные сапфиры и очаровательный малыш странным образом связали Джейгера Баллэнтайна и Пайпер Миллз, однако ложь может разрушить любую связь. Но кто в этой истории лжец, разобраться непросто…</t>
        </is>
      </c>
      <c r="S1133" s="26">
        <f>HYPERLINK("http://www.cnpol.ru/covers/18723.jpg","фото на сайте")</f>
        <v/>
      </c>
    </row>
    <row r="1134" ht="50.1" customHeight="1" s="3">
      <c r="A1134" s="23" t="n"/>
      <c r="B1134" s="24" t="inlineStr">
        <is>
          <t>15501</t>
        </is>
      </c>
      <c r="C1134" s="23" t="inlineStr">
        <is>
          <t>ЛР</t>
        </is>
      </c>
      <c r="D1134" s="23" t="inlineStr">
        <is>
          <t>Гордон Л.</t>
        </is>
      </c>
      <c r="E1134" s="23" t="inlineStr">
        <is>
          <t>Две женщины, одна любовь</t>
        </is>
      </c>
      <c r="F1134" s="23" t="n">
        <v>454</v>
      </c>
      <c r="G1134" s="23" t="n">
        <v>94</v>
      </c>
      <c r="H1134" s="23" t="n">
        <v>10</v>
      </c>
      <c r="I1134" s="23" t="n">
        <v>30</v>
      </c>
      <c r="J1134" s="23" t="inlineStr">
        <is>
          <t>978-5-227-05483-8</t>
        </is>
      </c>
      <c r="K1134" s="23" t="inlineStr">
        <is>
          <t>70x100 1/32</t>
        </is>
      </c>
      <c r="L1134" s="23" t="inlineStr">
        <is>
          <t>мяг</t>
        </is>
      </c>
      <c r="M1134" s="23" t="n">
        <v>158</v>
      </c>
      <c r="N1134" s="23" t="n">
        <v>2014</v>
      </c>
      <c r="O1134" s="23" t="n">
        <v>78</v>
      </c>
      <c r="P1134" s="23" t="n"/>
      <c r="Q1134" s="23" t="n"/>
      <c r="R1134" s="25" t="inlineStr">
        <is>
          <t>Журналистка Терри Дэвис славится среди коллег чутьем на сенсации. Она отправляется в Париж в надежде попасть на закрытую свадьбу одного из сыновей скандально известного финансиста Амоса Фолкона, чтобы раздобыть горячие сплетни об этом семействе. Случай сводит ее с братом жениха Леонидом — мрачным и таинственным русским олигархом…</t>
        </is>
      </c>
      <c r="S1134" s="26">
        <f>HYPERLINK("http://www.cnpol.ru/covers/15501.jpg","фото на сайте")</f>
        <v/>
      </c>
    </row>
    <row r="1135" ht="50.1" customHeight="1" s="3">
      <c r="A1135" s="23" t="n"/>
      <c r="B1135" s="24" t="inlineStr">
        <is>
          <t>15952</t>
        </is>
      </c>
      <c r="C1135" s="23" t="inlineStr">
        <is>
          <t>ЛР</t>
        </is>
      </c>
      <c r="D1135" s="23" t="inlineStr">
        <is>
          <t>Харпер Ф.</t>
        </is>
      </c>
      <c r="E1135" s="23" t="inlineStr">
        <is>
          <t>Две недели в Венеции</t>
        </is>
      </c>
      <c r="F1135" s="23" t="n">
        <v>508</v>
      </c>
      <c r="G1135" s="23" t="n">
        <v>94</v>
      </c>
      <c r="H1135" s="23" t="n">
        <v>10</v>
      </c>
      <c r="I1135" s="23" t="n">
        <v>30</v>
      </c>
      <c r="J1135" s="23" t="inlineStr">
        <is>
          <t>978-5-227-05857-7</t>
        </is>
      </c>
      <c r="K1135" s="23" t="inlineStr">
        <is>
          <t>70x100 1/32</t>
        </is>
      </c>
      <c r="L1135" s="23" t="inlineStr">
        <is>
          <t>мяг</t>
        </is>
      </c>
      <c r="M1135" s="23" t="n">
        <v>158</v>
      </c>
      <c r="N1135" s="23" t="n">
        <v>2015</v>
      </c>
      <c r="O1135" s="23" t="n">
        <v>78</v>
      </c>
      <c r="P1135" s="23" t="n"/>
      <c r="Q1135" s="23" t="n"/>
      <c r="R1135" s="25" t="inlineStr">
        <is>
          <t>Не желая быть на побегушках у своего отца, юная и дерзкая Руби Лэнг соглашается стать няней для племянницы архитектора Макса Мартина и провести с ними две недели в Венеции. К чему она оказалась не готова, так это к тому, что ее сердце воспылает любовью к ее суровому молчаливому боссу.</t>
        </is>
      </c>
      <c r="S1135" s="26">
        <f>HYPERLINK("http://www.cnpol.ru/covers/15952.jpg","фото на сайте")</f>
        <v/>
      </c>
    </row>
    <row r="1136" ht="50.1" customHeight="1" s="3">
      <c r="A1136" s="23" t="n"/>
      <c r="B1136" s="24" t="inlineStr">
        <is>
          <t>20118</t>
        </is>
      </c>
      <c r="C1136" s="23" t="inlineStr">
        <is>
          <t>ЛР</t>
        </is>
      </c>
      <c r="D1136" s="23" t="inlineStr">
        <is>
          <t>Бут К.</t>
        </is>
      </c>
      <c r="E1136" s="23" t="inlineStr">
        <is>
          <t>Двойной соблазн</t>
        </is>
      </c>
      <c r="F1136" s="23" t="n">
        <v>1082</v>
      </c>
      <c r="G1136" s="23" t="n">
        <v>94</v>
      </c>
      <c r="H1136" s="23" t="n">
        <v>10</v>
      </c>
      <c r="I1136" s="23" t="n">
        <v>30</v>
      </c>
      <c r="J1136" s="23" t="inlineStr">
        <is>
          <t>978-5-227-09610-4</t>
        </is>
      </c>
      <c r="K1136" s="23" t="inlineStr">
        <is>
          <t>70x100 1/32</t>
        </is>
      </c>
      <c r="L1136" s="23" t="inlineStr">
        <is>
          <t>мяг</t>
        </is>
      </c>
      <c r="M1136" s="23" t="n">
        <v>159</v>
      </c>
      <c r="N1136" s="23" t="n">
        <v>2022</v>
      </c>
      <c r="O1136" s="23" t="n">
        <v>76</v>
      </c>
      <c r="P1136" s="23" t="n"/>
      <c r="Q1136" s="23" t="n"/>
      <c r="R1136" s="25" t="inlineStr">
        <is>
          <t>Тэра Стерлинг унаследовала часть компании бывшего мужа и решила кардинально изменить свою жизнь. Но претендовать на законное место в «Стерлинг энтерпрайзис» означает работать бок о бок с генеральным директором Грантом Синглтоном, лучшим другом ее покойного мужа. Их взаимное влечение создает проблемы, поскольку оба они борются за контроль над бизнесом…</t>
        </is>
      </c>
      <c r="S1136" s="26">
        <f>HYPERLINK("http://www.cnpol.ru/covers/20118.jpg","фото на сайте")</f>
        <v/>
      </c>
    </row>
    <row r="1137" ht="50.1" customHeight="1" s="3">
      <c r="A1137" s="23" t="n"/>
      <c r="B1137" s="24" t="inlineStr">
        <is>
          <t>13771</t>
        </is>
      </c>
      <c r="C1137" s="23" t="inlineStr">
        <is>
          <t>ЛР</t>
        </is>
      </c>
      <c r="D1137" s="23" t="inlineStr">
        <is>
          <t>Уинтерз Р.</t>
        </is>
      </c>
      <c r="E1137" s="23" t="inlineStr">
        <is>
          <t>Девушка "Амальфи"</t>
        </is>
      </c>
      <c r="F1137" s="23" t="n">
        <v>261</v>
      </c>
      <c r="G1137" s="23" t="n">
        <v>94</v>
      </c>
      <c r="H1137" s="23" t="n">
        <v>10</v>
      </c>
      <c r="I1137" s="23" t="n">
        <v>30</v>
      </c>
      <c r="J1137" s="23" t="inlineStr">
        <is>
          <t>978-5-227-03892-0</t>
        </is>
      </c>
      <c r="K1137" s="23" t="inlineStr">
        <is>
          <t>70x100 1/32</t>
        </is>
      </c>
      <c r="L1137" s="23" t="inlineStr">
        <is>
          <t>мяг</t>
        </is>
      </c>
      <c r="M1137" s="23" t="n">
        <v>158</v>
      </c>
      <c r="N1137" s="23" t="n">
        <v>2012</v>
      </c>
      <c r="O1137" s="23" t="n">
        <v>78</v>
      </c>
      <c r="P1137" s="23" t="n"/>
      <c r="Q1137" s="23" t="n"/>
      <c r="R1137" s="25" t="inlineStr">
        <is>
          <t>Медсестра Аннабел Марш получает предложение поработать фотомоделью в рекламной кампании итальянского спортивного автомобиля. Аннабел недавно пережила тяжелую драму, она надеется, что красоты Италии помогут ей забыться и восстановить душевное равновесие. Неожиданно она оказывается в одном доме с Луккой Каведзали, вернувшимся в родные места после ранения. Аннабел не может отказать ему в медицинской помощи, так же как не может сопротивляться возникшему между ними притяжению...</t>
        </is>
      </c>
      <c r="S1137" s="26">
        <f>HYPERLINK("http://www.cnpol.ru/covers/13771.jpg","фото на сайте")</f>
        <v/>
      </c>
    </row>
    <row r="1138" ht="50.1" customHeight="1" s="3">
      <c r="A1138" s="23" t="n"/>
      <c r="B1138" s="24" t="inlineStr">
        <is>
          <t>16155</t>
        </is>
      </c>
      <c r="C1138" s="23" t="inlineStr">
        <is>
          <t>ЛР</t>
        </is>
      </c>
      <c r="D1138" s="23" t="inlineStr">
        <is>
          <t>Колтер К.</t>
        </is>
      </c>
      <c r="E1138" s="23" t="inlineStr">
        <is>
          <t>Девушка из прошлого</t>
        </is>
      </c>
      <c r="F1138" s="23" t="n">
        <v>538</v>
      </c>
      <c r="G1138" s="23" t="n">
        <v>94</v>
      </c>
      <c r="H1138" s="23" t="n">
        <v>10</v>
      </c>
      <c r="I1138" s="23" t="n">
        <v>30</v>
      </c>
      <c r="J1138" s="23" t="inlineStr">
        <is>
          <t>978-5-227-06121-8</t>
        </is>
      </c>
      <c r="K1138" s="23" t="inlineStr">
        <is>
          <t>70x100 1/32</t>
        </is>
      </c>
      <c r="L1138" s="23" t="inlineStr">
        <is>
          <t>мяг</t>
        </is>
      </c>
      <c r="M1138" s="23" t="n">
        <v>158</v>
      </c>
      <c r="N1138" s="23" t="n">
        <v>2015</v>
      </c>
      <c r="O1138" s="23" t="n">
        <v>76</v>
      </c>
      <c r="P1138" s="23" t="n"/>
      <c r="Q1138" s="23" t="n"/>
      <c r="R1138" s="25" t="inlineStr">
        <is>
          <t>Меньше всего миллионер Дэвид хотел возвращаться в Блоссом Вели, но дела семьи для него превыше всего. Встретив красавицу Кайлу, которая ничуть не изменилась, он задается вопросом, удастся ли им забыть неудачное прошлое и начать все сначала.</t>
        </is>
      </c>
      <c r="S1138" s="26">
        <f>HYPERLINK("http://www.cnpol.ru/covers/16155.jpg","фото на сайте")</f>
        <v/>
      </c>
    </row>
    <row r="1139" ht="50.1" customHeight="1" s="3">
      <c r="A1139" s="23" t="n"/>
      <c r="B1139" s="24" t="inlineStr">
        <is>
          <t>14939</t>
        </is>
      </c>
      <c r="C1139" s="23" t="inlineStr">
        <is>
          <t>ЛР</t>
        </is>
      </c>
      <c r="D1139" s="23" t="inlineStr">
        <is>
          <t>Харрис Л.Р.</t>
        </is>
      </c>
      <c r="E1139" s="23" t="inlineStr">
        <is>
          <t>Деньги не главное</t>
        </is>
      </c>
      <c r="F1139" s="23" t="n">
        <v>391</v>
      </c>
      <c r="G1139" s="23" t="n">
        <v>94</v>
      </c>
      <c r="H1139" s="23" t="n">
        <v>10</v>
      </c>
      <c r="I1139" s="23" t="n">
        <v>30</v>
      </c>
      <c r="J1139" s="23" t="inlineStr">
        <is>
          <t>978-5-227-04876-9</t>
        </is>
      </c>
      <c r="K1139" s="23" t="inlineStr">
        <is>
          <t>70x100 1/32</t>
        </is>
      </c>
      <c r="L1139" s="23" t="inlineStr">
        <is>
          <t>мяг</t>
        </is>
      </c>
      <c r="M1139" s="23" t="n">
        <v>158</v>
      </c>
      <c r="N1139" s="23" t="n">
        <v>2014</v>
      </c>
      <c r="O1139" s="23" t="n">
        <v>76</v>
      </c>
      <c r="P1139" s="23" t="n"/>
      <c r="Q1139" s="23" t="n"/>
      <c r="R1139" s="25" t="inlineStr">
        <is>
          <t>Заядлый игрок Джек не боится потерять все за карточным столом. Наоборот — ему неимоверно скучно. Высокие ставки оставляют его равнодушным, и лишь красавица-крупье способна воспламенить его кровь. Возможно, на этот раз он выиграет что-то действительно ценное…</t>
        </is>
      </c>
      <c r="S1139" s="26">
        <f>HYPERLINK("http://www.cnpol.ru/covers/14939.jpg","фото на сайте")</f>
        <v/>
      </c>
    </row>
    <row r="1140" ht="50.1" customHeight="1" s="3">
      <c r="A1140" s="23" t="n"/>
      <c r="B1140" s="24" t="inlineStr">
        <is>
          <t>18788</t>
        </is>
      </c>
      <c r="C1140" s="23" t="inlineStr">
        <is>
          <t>ЛР</t>
        </is>
      </c>
      <c r="D1140" s="23" t="inlineStr">
        <is>
          <t>Бехари Т.</t>
        </is>
      </c>
      <c r="E1140" s="23" t="inlineStr">
        <is>
          <t>Держи меня крепче</t>
        </is>
      </c>
      <c r="F1140" s="23" t="n">
        <v>912</v>
      </c>
      <c r="G1140" s="23" t="n">
        <v>94</v>
      </c>
      <c r="H1140" s="23" t="n">
        <v>10</v>
      </c>
      <c r="I1140" s="23" t="n">
        <v>30</v>
      </c>
      <c r="J1140" s="23" t="inlineStr">
        <is>
          <t>978-5-227-08663-1</t>
        </is>
      </c>
      <c r="K1140" s="23" t="inlineStr">
        <is>
          <t>70x100 1/32</t>
        </is>
      </c>
      <c r="L1140" s="23" t="inlineStr">
        <is>
          <t>мяг</t>
        </is>
      </c>
      <c r="M1140" s="23" t="n">
        <v>160</v>
      </c>
      <c r="N1140" s="23" t="n">
        <v>2019</v>
      </c>
      <c r="O1140" s="23" t="n">
        <v>76</v>
      </c>
      <c r="P1140" s="23" t="n"/>
      <c r="Q1140" s="23" t="n"/>
      <c r="R1140" s="25" t="inlineStr">
        <is>
          <t>Год спустя после того, как Аву Келлер бросил жених прямо на свадьбе, она становится подружкой невесты своего родного брата, а свидетель жениха, Ноа Джайлз, в которого она когда­то была влюблена, идеально подходит ей для того, чтобы отвлечься от мучительных воспоминаний прошлого. Их флирт перестает быть невинным, когда чувства Авы к Ноа вспыхивают с новой силой. Только согласится ли она дать им еще один шанс?</t>
        </is>
      </c>
      <c r="S1140" s="26">
        <f>HYPERLINK("http://www.cnpol.ru/covers/18788.jpg","фото на сайте")</f>
        <v/>
      </c>
    </row>
    <row r="1141" ht="50.1" customHeight="1" s="3">
      <c r="A1141" s="23" t="n"/>
      <c r="B1141" s="24" t="inlineStr">
        <is>
          <t>18884</t>
        </is>
      </c>
      <c r="C1141" s="23" t="inlineStr">
        <is>
          <t>ЛР</t>
        </is>
      </c>
      <c r="D1141" s="23" t="inlineStr">
        <is>
          <t>Харди К.</t>
        </is>
      </c>
      <c r="E1141" s="23" t="inlineStr">
        <is>
          <t>Дерзкая помолвка</t>
        </is>
      </c>
      <c r="F1141" s="23" t="n">
        <v>928</v>
      </c>
      <c r="G1141" s="23" t="n">
        <v>94</v>
      </c>
      <c r="H1141" s="23" t="n">
        <v>10</v>
      </c>
      <c r="I1141" s="23" t="n">
        <v>30</v>
      </c>
      <c r="J1141" s="23" t="inlineStr">
        <is>
          <t>978-5-227-08730-0</t>
        </is>
      </c>
      <c r="K1141" s="23" t="inlineStr">
        <is>
          <t>70x100 1/32</t>
        </is>
      </c>
      <c r="L1141" s="23" t="inlineStr">
        <is>
          <t>мяг</t>
        </is>
      </c>
      <c r="M1141" s="23" t="n">
        <v>160</v>
      </c>
      <c r="N1141" s="23" t="n">
        <v>2019</v>
      </c>
      <c r="O1141" s="23" t="n">
        <v>76</v>
      </c>
      <c r="P1141" s="23" t="n"/>
      <c r="Q1141" s="23" t="n"/>
      <c r="R1141" s="25" t="inlineStr">
        <is>
          <t>Виктория Гамильтон срочно ищет помощника по организации необычного рождественского бала в старинном особняке в Кембридже. На интервью приходит Сэмюэль Уиверби, харизматичный и рисковый брокер из лондонского Сити. Несмотря на несхожесть характеров и квалификации, они нуждаются в помощи друг друга, чтобы избежать давления со стороны родителей. Более того, ради интересов дела они вступают в фиктивную помолвку, не подозревая, что постепенно влюбляются друг в друга…</t>
        </is>
      </c>
      <c r="S1141" s="26">
        <f>HYPERLINK("http://www.cnpol.ru/covers/18884.jpg","фото на сайте")</f>
        <v/>
      </c>
    </row>
    <row r="1142" ht="50.1" customHeight="1" s="3">
      <c r="A1142" s="23" t="n"/>
      <c r="B1142" s="24" t="inlineStr">
        <is>
          <t>17326</t>
        </is>
      </c>
      <c r="C1142" s="23" t="inlineStr">
        <is>
          <t>ЛР</t>
        </is>
      </c>
      <c r="D1142" s="23" t="inlineStr">
        <is>
          <t>Кендрик Ш.</t>
        </is>
      </c>
      <c r="E1142" s="23" t="inlineStr">
        <is>
          <t>Дерзкий обольститель</t>
        </is>
      </c>
      <c r="F1142" s="23" t="n">
        <v>695</v>
      </c>
      <c r="G1142" s="23" t="n">
        <v>94</v>
      </c>
      <c r="H1142" s="23" t="n">
        <v>10</v>
      </c>
      <c r="I1142" s="23" t="n">
        <v>30</v>
      </c>
      <c r="J1142" s="23" t="inlineStr">
        <is>
          <t>978-5-227-07312-9</t>
        </is>
      </c>
      <c r="K1142" s="23" t="inlineStr">
        <is>
          <t>70x100 1/32</t>
        </is>
      </c>
      <c r="L1142" s="23" t="inlineStr">
        <is>
          <t>мяг</t>
        </is>
      </c>
      <c r="M1142" s="23" t="n">
        <v>160</v>
      </c>
      <c r="N1142" s="23" t="n">
        <v>2017</v>
      </c>
      <c r="O1142" s="23" t="n">
        <v>76</v>
      </c>
      <c r="P1142" s="23" t="n"/>
      <c r="Q1142" s="23" t="n"/>
      <c r="R1142" s="25" t="inlineStr">
        <is>
          <t>Мать­одиночка Эрин Тернер согласилась на фиктивный брак ради благополучия сына. Но появление на свадьбе ее бывшего шефа, русского олигарха Дмитрия Макарова, спутало все планы. После шести лет разлуки Дмитрий узнал, что Эрин скрыла от него рождение их ребенка. И теперь ей нужно завоевать доверие властного и безжалостного мужчины, чтобы сохранить самое дорогое, что у нее есть.</t>
        </is>
      </c>
      <c r="S1142" s="26">
        <f>HYPERLINK("http://www.cnpol.ru/covers/17326.jpg","фото на сайте")</f>
        <v/>
      </c>
    </row>
    <row r="1143" ht="50.1" customHeight="1" s="3">
      <c r="A1143" s="23" t="n"/>
      <c r="B1143" s="24" t="inlineStr">
        <is>
          <t>20349</t>
        </is>
      </c>
      <c r="C1143" s="23" t="inlineStr">
        <is>
          <t>ЛР</t>
        </is>
      </c>
      <c r="D1143" s="23" t="inlineStr">
        <is>
          <t>Монро Л.</t>
        </is>
      </c>
      <c r="E1143" s="23" t="inlineStr">
        <is>
          <t>Дерзкое требование невесты</t>
        </is>
      </c>
      <c r="F1143" s="23" t="n">
        <v>1102</v>
      </c>
      <c r="G1143" s="23" t="n">
        <v>94</v>
      </c>
      <c r="H1143" s="23" t="n">
        <v>10</v>
      </c>
      <c r="I1143" s="23" t="n">
        <v>30</v>
      </c>
      <c r="J1143" s="23" t="inlineStr">
        <is>
          <t>978-5-227-09942-6</t>
        </is>
      </c>
      <c r="K1143" s="23" t="inlineStr">
        <is>
          <t>70x100 1/32</t>
        </is>
      </c>
      <c r="L1143" s="23" t="inlineStr">
        <is>
          <t>мяг</t>
        </is>
      </c>
      <c r="M1143" s="23" t="n">
        <v>159</v>
      </c>
      <c r="N1143" s="23" t="n">
        <v>2022</v>
      </c>
      <c r="O1143" s="23" t="n">
        <v>76</v>
      </c>
      <c r="P1143" s="23" t="n"/>
      <c r="Q1143" s="23" t="n"/>
      <c r="R1143" s="25" t="inlineStr">
        <is>
          <t>Греческий магнат Александрос Кристалакис знал, что его короткий и бурный роман с Полли может закончиться только одним способом — она наденет его кольцо! Он предложил ей, простой девушке из американской глубинки, окунуться в мир невероятной роскоши и богатства, которые он приумножает, управляя бизнес-империей своей знатной семьи. Но это все, что он мог дать. И Полли принимает предложение. Но не все так просто…</t>
        </is>
      </c>
      <c r="S1143" s="26">
        <f>HYPERLINK("http://www.cnpol.ru/covers/20349.jpg","фото на сайте")</f>
        <v/>
      </c>
    </row>
    <row r="1144" ht="50.1" customHeight="1" s="3">
      <c r="A1144" s="23" t="n"/>
      <c r="B1144" s="24" t="inlineStr">
        <is>
          <t>20893</t>
        </is>
      </c>
      <c r="C1144" s="23" t="inlineStr">
        <is>
          <t>ЛР</t>
        </is>
      </c>
      <c r="D1144" s="23" t="inlineStr">
        <is>
          <t>Вуд Джосс</t>
        </is>
      </c>
      <c r="E1144" s="23" t="inlineStr">
        <is>
          <t>Дикий ветер желания</t>
        </is>
      </c>
      <c r="F1144" s="23" t="n">
        <v>1157</v>
      </c>
      <c r="G1144" s="23" t="n">
        <v>94</v>
      </c>
      <c r="H1144" s="23" t="n">
        <v>10</v>
      </c>
      <c r="I1144" s="23" t="n">
        <v>30</v>
      </c>
      <c r="J1144" s="23" t="inlineStr">
        <is>
          <t>978-5-227-10446-5</t>
        </is>
      </c>
      <c r="K1144" s="23" t="inlineStr">
        <is>
          <t>70x100 1/32</t>
        </is>
      </c>
      <c r="L1144" s="23" t="inlineStr">
        <is>
          <t>мяг</t>
        </is>
      </c>
      <c r="M1144" s="23" t="n">
        <v>159</v>
      </c>
      <c r="N1144" s="23" t="n">
        <v>2023</v>
      </c>
      <c r="O1144" s="23" t="n">
        <v>76</v>
      </c>
      <c r="P1144" s="23" t="n"/>
      <c r="Q1144" s="23" t="n"/>
      <c r="R1144" s="25" t="inlineStr">
        <is>
          <t>Владелец охранной компании Ангус Дочерти внезапно узнает, что три года назад стал отцом двух мальчиков. Выяснив, что у их матери возникли серьезные проблемы, он предлагает ей уехать с ним на Сейшелы. Скрываясь на острове, они стараются понять, как им жить дальше. Ведь взаимная страсть снова вскружила им головы…</t>
        </is>
      </c>
      <c r="S1144" s="26">
        <f>HYPERLINK("http://www.cnpol.ru/covers/20893.jpg","фото на сайте")</f>
        <v/>
      </c>
    </row>
    <row r="1145" ht="50.1" customHeight="1" s="3">
      <c r="A1145" s="23" t="n"/>
      <c r="B1145" s="24" t="inlineStr">
        <is>
          <t>20211</t>
        </is>
      </c>
      <c r="C1145" s="23" t="inlineStr">
        <is>
          <t>ЛР</t>
        </is>
      </c>
      <c r="D1145" s="23" t="inlineStr">
        <is>
          <t>Стивенс С.</t>
        </is>
      </c>
      <c r="E1145" s="23" t="inlineStr">
        <is>
          <t>Для любви нет преград</t>
        </is>
      </c>
      <c r="F1145" s="23" t="n">
        <v>1091</v>
      </c>
      <c r="G1145" s="23" t="n">
        <v>94</v>
      </c>
      <c r="H1145" s="23" t="n">
        <v>10</v>
      </c>
      <c r="I1145" s="23" t="n">
        <v>30</v>
      </c>
      <c r="J1145" s="23" t="inlineStr">
        <is>
          <t>978-5-227-09691-3</t>
        </is>
      </c>
      <c r="K1145" s="23" t="inlineStr">
        <is>
          <t>70x100 1/32</t>
        </is>
      </c>
      <c r="L1145" s="23" t="inlineStr">
        <is>
          <t>мяг</t>
        </is>
      </c>
      <c r="M1145" s="23" t="n">
        <v>159</v>
      </c>
      <c r="N1145" s="23" t="n">
        <v>2022</v>
      </c>
      <c r="O1145" s="23" t="n">
        <v>76</v>
      </c>
      <c r="P1145" s="23" t="n"/>
      <c r="Q1145" s="23" t="n"/>
      <c r="R1145" s="25" t="inlineStr">
        <is>
          <t>Джесс Слейтхоум — молодая амбициозная женщина, добившаяся признания как врач-физиотерапевт и специалист в коневодстве, но потерпевшая поражение на любовном фронте. Полностью сосредоточившись на заботе об отце, тяжело переживающем смерть супруги, и пытаясь спасти свою конную ферму в Йоркшире от разорения, она уже не надеется найти свое личное счастье. Пока однажды на ферму не прилетел Данте Акоста, испанский миллиардер, игрок в конное поло и тайная любовь Джесс. И у Данте свои далекоидущие планы и на ферму, и на ее обитателей.</t>
        </is>
      </c>
      <c r="S1145" s="26">
        <f>HYPERLINK("http://www.cnpol.ru/covers/20211.jpg","фото на сайте")</f>
        <v/>
      </c>
    </row>
    <row r="1146" ht="50.1" customHeight="1" s="3">
      <c r="A1146" s="23" t="n"/>
      <c r="B1146" s="24" t="inlineStr">
        <is>
          <t>20416</t>
        </is>
      </c>
      <c r="C1146" s="23" t="inlineStr">
        <is>
          <t>ЛР</t>
        </is>
      </c>
      <c r="D1146" s="23" t="inlineStr">
        <is>
          <t>Рок Джоанна</t>
        </is>
      </c>
      <c r="E1146" s="23" t="inlineStr">
        <is>
          <t>Доверься мне вновь</t>
        </is>
      </c>
      <c r="F1146" s="23" t="n">
        <v>1111</v>
      </c>
      <c r="G1146" s="23" t="n">
        <v>94</v>
      </c>
      <c r="H1146" s="23" t="n">
        <v>10</v>
      </c>
      <c r="I1146" s="23" t="n">
        <v>30</v>
      </c>
      <c r="J1146" s="23" t="inlineStr">
        <is>
          <t>978-5-227-10085-6</t>
        </is>
      </c>
      <c r="K1146" s="23" t="inlineStr">
        <is>
          <t>70x100 1/32</t>
        </is>
      </c>
      <c r="L1146" s="23" t="inlineStr">
        <is>
          <t>мяг</t>
        </is>
      </c>
      <c r="M1146" s="23" t="n">
        <v>159</v>
      </c>
      <c r="N1146" s="23" t="n">
        <v>2022</v>
      </c>
      <c r="O1146" s="23" t="n">
        <v>76</v>
      </c>
      <c r="P1146" s="23" t="n"/>
      <c r="Q1146" s="23" t="n"/>
      <c r="R1146" s="25" t="inlineStr">
        <is>
          <t>Визажист Блэр Уэсткотт определенно не была похожа на злодейку. И все же Лукас Дешам, глава известного косметического бренда «Дешам», подозревает в ней шпионку, намеревающуюся разрушить его семейный бизнес. Лукас начинает следить за Блэр и вскоре знакомится с ней, чтобы наперед предугадать любое коварное действие с ее стороны. Но он и сам не замечает, как ненависть к этой красивой девушке постепенно уступает место нежному и трогательному отношению…</t>
        </is>
      </c>
      <c r="S1146" s="26">
        <f>HYPERLINK("http://www.cnpol.ru/covers/20416.jpg","фото на сайте")</f>
        <v/>
      </c>
    </row>
    <row r="1147" ht="50.1" customHeight="1" s="3">
      <c r="A1147" s="23" t="n"/>
      <c r="B1147" s="24" t="inlineStr">
        <is>
          <t>17600</t>
        </is>
      </c>
      <c r="C1147" s="23" t="inlineStr">
        <is>
          <t>ЛР</t>
        </is>
      </c>
      <c r="D1147" s="23" t="inlineStr">
        <is>
          <t>Хейворд Дженнифер</t>
        </is>
      </c>
      <c r="E1147" s="23" t="inlineStr">
        <is>
          <t>Долг, оплаченный страстью</t>
        </is>
      </c>
      <c r="F1147" s="23" t="n">
        <v>736</v>
      </c>
      <c r="G1147" s="23" t="n">
        <v>94</v>
      </c>
      <c r="H1147" s="23" t="n">
        <v>10</v>
      </c>
      <c r="I1147" s="23" t="n">
        <v>30</v>
      </c>
      <c r="J1147" s="23" t="inlineStr">
        <is>
          <t>978-5-227-07615-1</t>
        </is>
      </c>
      <c r="K1147" s="23" t="inlineStr">
        <is>
          <t>70x100 1/32</t>
        </is>
      </c>
      <c r="L1147" s="23" t="inlineStr">
        <is>
          <t>мяг</t>
        </is>
      </c>
      <c r="M1147" s="23" t="n">
        <v>160</v>
      </c>
      <c r="N1147" s="23" t="n">
        <v>2017</v>
      </c>
      <c r="O1147" s="23" t="n">
        <v>76</v>
      </c>
      <c r="P1147" s="23" t="n"/>
      <c r="Q1147" s="23" t="n"/>
      <c r="R1147" s="25" t="inlineStr">
        <is>
          <t>Две знаменитые династии объединяются, когда Лоренцо Риччи женится на Анжелине Кармайкл. Но вскоре Анжелине начинает казаться, что для мужа их брак скорее политический ход. Тогда она принимает решение о разводе и с головой погружается в собственную карьеру. Однако у судьбы другие планы — ошибка в юридических документах вновь объединяет пару. Но насколько прочными будут их отношения во второй раз?</t>
        </is>
      </c>
      <c r="S1147" s="26">
        <f>HYPERLINK("http://www.cnpol.ru/covers/17600.jpg","фото на сайте")</f>
        <v/>
      </c>
    </row>
    <row r="1148" ht="50.1" customHeight="1" s="3">
      <c r="A1148" s="23" t="n"/>
      <c r="B1148" s="24" t="inlineStr">
        <is>
          <t>15709</t>
        </is>
      </c>
      <c r="C1148" s="23" t="inlineStr">
        <is>
          <t>ЛР</t>
        </is>
      </c>
      <c r="D1148" s="23" t="inlineStr">
        <is>
          <t>Колтер К.</t>
        </is>
      </c>
      <c r="E1148" s="23" t="inlineStr">
        <is>
          <t>Долгий путь домой</t>
        </is>
      </c>
      <c r="F1148" s="23" t="n">
        <v>481</v>
      </c>
      <c r="G1148" s="23" t="n">
        <v>94</v>
      </c>
      <c r="H1148" s="23" t="n">
        <v>10</v>
      </c>
      <c r="I1148" s="23" t="n">
        <v>30</v>
      </c>
      <c r="J1148" s="23" t="inlineStr">
        <is>
          <t>978-5-227-05649-8</t>
        </is>
      </c>
      <c r="K1148" s="23" t="inlineStr">
        <is>
          <t>70x100 1/32</t>
        </is>
      </c>
      <c r="L1148" s="23" t="inlineStr">
        <is>
          <t>мяг</t>
        </is>
      </c>
      <c r="M1148" s="23" t="n">
        <v>158</v>
      </c>
      <c r="N1148" s="23" t="n">
        <v>2014</v>
      </c>
      <c r="O1148" s="23" t="n">
        <v>76</v>
      </c>
      <c r="P1148" s="23" t="n"/>
      <c r="Q1148" s="23" t="n"/>
      <c r="R1148" s="25" t="inlineStr">
        <is>
          <t>Кейси Караветта отправляется на свадьбу лучшей подруги, которая состоится в сочельник в гостинице, давно ставшей ей родным домом. Кейси готовится принять жизненно важное решение, как вдруг снова встречается с Тернером Кеннеди, который разбил ее сердце…</t>
        </is>
      </c>
      <c r="S1148" s="26">
        <f>HYPERLINK("http://www.cnpol.ru/covers/15709.jpg","фото на сайте")</f>
        <v/>
      </c>
    </row>
    <row r="1149" ht="50.1" customHeight="1" s="3">
      <c r="A1149" s="23" t="n"/>
      <c r="B1149" s="24" t="inlineStr">
        <is>
          <t>20150</t>
        </is>
      </c>
      <c r="C1149" s="23" t="inlineStr">
        <is>
          <t>ЛР</t>
        </is>
      </c>
      <c r="D1149" s="23" t="inlineStr">
        <is>
          <t>Фуллер Л</t>
        </is>
      </c>
      <c r="E1149" s="23" t="inlineStr">
        <is>
          <t>Долгий путь к счастью</t>
        </is>
      </c>
      <c r="F1149" s="23" t="n">
        <v>1084</v>
      </c>
      <c r="G1149" s="23" t="n">
        <v>94</v>
      </c>
      <c r="H1149" s="23" t="n">
        <v>10</v>
      </c>
      <c r="I1149" s="23" t="n">
        <v>30</v>
      </c>
      <c r="J1149" s="23" t="inlineStr">
        <is>
          <t>978-5-227-09602-9</t>
        </is>
      </c>
      <c r="K1149" s="23" t="inlineStr">
        <is>
          <t>70x100 1/32</t>
        </is>
      </c>
      <c r="L1149" s="23" t="inlineStr">
        <is>
          <t>мяг</t>
        </is>
      </c>
      <c r="M1149" s="23" t="n">
        <v>159</v>
      </c>
      <c r="N1149" s="23" t="n">
        <v>2022</v>
      </c>
      <c r="O1149" s="23" t="n">
        <v>76</v>
      </c>
      <c r="P1149" s="23" t="n"/>
      <c r="Q1149" s="23" t="n"/>
      <c r="R1149" s="25" t="inlineStr">
        <is>
          <t>Когда-то сестра пожертвовала многим, чтобы обеспечить Доре возможность учиться и жить счастливо. И вот настал черед Доры платить по счетам. Отныне она заботится о своем племяннике. У них нет других родственников: мать маленького Арчи, сестра Доры, погибла, а родителей у Доры, можно сказать, нет. Молодой неопытной девушке приходится нелегко с грудным малышом. Однажды ей в голову даже приходит мысль отдать Арчи в другую семью. И вдруг в ее жизни наступает крутой поворот: из далекого Макао приезжает единокровный брат Арчи, чтобы забрать малыша себе…</t>
        </is>
      </c>
      <c r="S1149" s="26">
        <f>HYPERLINK("http://www.cnpol.ru/covers/20150.jpg","фото на сайте")</f>
        <v/>
      </c>
    </row>
    <row r="1150" ht="50.1" customHeight="1" s="3">
      <c r="A1150" s="23" t="n"/>
      <c r="B1150" s="24" t="inlineStr">
        <is>
          <t>18627</t>
        </is>
      </c>
      <c r="C1150" s="23" t="inlineStr">
        <is>
          <t>ЛР</t>
        </is>
      </c>
      <c r="D1150" s="23" t="inlineStr">
        <is>
          <t>Бехари Т.</t>
        </is>
      </c>
      <c r="E1150" s="23" t="inlineStr">
        <is>
          <t>Дом сбывшихся надежд</t>
        </is>
      </c>
      <c r="F1150" s="23" t="n">
        <v>887</v>
      </c>
      <c r="G1150" s="23" t="n">
        <v>94</v>
      </c>
      <c r="H1150" s="23" t="n">
        <v>10</v>
      </c>
      <c r="I1150" s="23" t="n">
        <v>30</v>
      </c>
      <c r="J1150" s="23" t="inlineStr">
        <is>
          <t>978-5-227-08511-5</t>
        </is>
      </c>
      <c r="K1150" s="23" t="inlineStr">
        <is>
          <t>70x100 1/32</t>
        </is>
      </c>
      <c r="L1150" s="23" t="inlineStr">
        <is>
          <t>мяг</t>
        </is>
      </c>
      <c r="M1150" s="23" t="n">
        <v>160</v>
      </c>
      <c r="N1150" s="23" t="n">
        <v>2019</v>
      </c>
      <c r="O1150" s="23" t="n">
        <v>78</v>
      </c>
      <c r="P1150" s="23" t="n"/>
      <c r="Q1150" s="23" t="n"/>
      <c r="R1150" s="25" t="inlineStr">
        <is>
          <t>Блейк и Келли работают в отеле бок о бок с девяти до пяти... И как бы они ни пытались сохранить свои отношения сугубо профессиональными, взаимное влечение становится все сильнее! Но он — ее босс, а в прошлом у обоих — сложные жизненные испытания, оставившие в их душе глубокий след. Справятся ли они? Зазвучат ли свадебные колокола?</t>
        </is>
      </c>
      <c r="S1150" s="26">
        <f>HYPERLINK("http://www.cnpol.ru/covers/18627.jpg","фото на сайте")</f>
        <v/>
      </c>
    </row>
    <row r="1151" ht="50.1" customHeight="1" s="3">
      <c r="A1151" s="23" t="n"/>
      <c r="B1151" s="24" t="inlineStr">
        <is>
          <t>17725</t>
        </is>
      </c>
      <c r="C1151" s="23" t="inlineStr">
        <is>
          <t>ЛР</t>
        </is>
      </c>
      <c r="D1151" s="23" t="inlineStr">
        <is>
          <t>Грин Э.</t>
        </is>
      </c>
      <c r="E1151" s="23" t="inlineStr">
        <is>
          <t>Дорога в страну наслаждения</t>
        </is>
      </c>
      <c r="F1151" s="23" t="n">
        <v>757</v>
      </c>
      <c r="G1151" s="23" t="n">
        <v>94</v>
      </c>
      <c r="H1151" s="23" t="n">
        <v>10</v>
      </c>
      <c r="I1151" s="23" t="n">
        <v>30</v>
      </c>
      <c r="J1151" s="23" t="inlineStr">
        <is>
          <t>978-5-227-07719-6</t>
        </is>
      </c>
      <c r="K1151" s="23" t="inlineStr">
        <is>
          <t>70x100 1/32</t>
        </is>
      </c>
      <c r="L1151" s="23" t="inlineStr">
        <is>
          <t>мяг</t>
        </is>
      </c>
      <c r="M1151" s="23" t="n">
        <v>160</v>
      </c>
      <c r="N1151" s="23" t="n">
        <v>2017</v>
      </c>
      <c r="O1151" s="23" t="n">
        <v>76</v>
      </c>
      <c r="P1151" s="23" t="n"/>
      <c r="Q1151" s="23" t="n"/>
      <c r="R1151" s="25" t="inlineStr">
        <is>
          <t>Тринити Адамс устроилась горничной в дом миллиардера Круза Де Карильо, однако после того, как хозяин попытался соблазнить ее, девушке пришлось уволиться. Тринити приняла предложение Рио, сводного брата Круза, стать няней его сыновей­близнецов. Вскоре Рио и Тринити поженились, но через год после свадьбы Рио погиб в автокатастрофе. Круз считает девушку охотницей за состоянием Де Карильо и намерен защитить племянников­сирот, лишив ее опеки. Тринити наотрез отказывается расстаться с близнецами. Тогда Круз предлагает совместную опеку, но для этого они должны вступить в брак…</t>
        </is>
      </c>
      <c r="S1151" s="26">
        <f>HYPERLINK("http://www.cnpol.ru/covers/17725.jpg","фото на сайте")</f>
        <v/>
      </c>
    </row>
    <row r="1152" ht="50.1" customHeight="1" s="3">
      <c r="A1152" s="23" t="n"/>
      <c r="B1152" s="24" t="inlineStr">
        <is>
          <t>15967</t>
        </is>
      </c>
      <c r="C1152" s="23" t="inlineStr">
        <is>
          <t>ЛР</t>
        </is>
      </c>
      <c r="D1152" s="23" t="inlineStr">
        <is>
          <t>Дуглас М.</t>
        </is>
      </c>
      <c r="E1152" s="23" t="inlineStr">
        <is>
          <t>Дружба без правил</t>
        </is>
      </c>
      <c r="F1152" s="23" t="n">
        <v>512</v>
      </c>
      <c r="G1152" s="23" t="n">
        <v>94</v>
      </c>
      <c r="H1152" s="23" t="n">
        <v>10</v>
      </c>
      <c r="I1152" s="23" t="n">
        <v>30</v>
      </c>
      <c r="J1152" s="23" t="inlineStr">
        <is>
          <t>978-5-227-05921-5</t>
        </is>
      </c>
      <c r="K1152" s="23" t="inlineStr">
        <is>
          <t>70x100 1/32</t>
        </is>
      </c>
      <c r="L1152" s="23" t="inlineStr">
        <is>
          <t>мяг</t>
        </is>
      </c>
      <c r="M1152" s="23" t="n">
        <v>158</v>
      </c>
      <c r="N1152" s="23" t="n">
        <v>2015</v>
      </c>
      <c r="O1152" s="23" t="n">
        <v>78</v>
      </c>
      <c r="P1152" s="23" t="n"/>
      <c r="Q1152" s="23" t="n"/>
      <c r="R1152" s="25" t="inlineStr">
        <is>
          <t>Амбициозная и уверенная в себе Джейн мечтает организовать собственное кафе. Однако встреча с начинающим ресторатором Рико, который совершенно забыл о том, что такое - получать удовольствие от жизни, неожиданно меняет ее планы...</t>
        </is>
      </c>
      <c r="S1152" s="26">
        <f>HYPERLINK("http://www.cnpol.ru/covers/15967.jpg","фото на сайте")</f>
        <v/>
      </c>
    </row>
    <row r="1153" ht="50.1" customHeight="1" s="3">
      <c r="A1153" s="23" t="n"/>
      <c r="B1153" s="24" t="inlineStr">
        <is>
          <t>15875</t>
        </is>
      </c>
      <c r="C1153" s="23" t="inlineStr">
        <is>
          <t>ЛР</t>
        </is>
      </c>
      <c r="D1153" s="23" t="inlineStr">
        <is>
          <t>Грэхем Л.</t>
        </is>
      </c>
      <c r="E1153" s="23" t="inlineStr">
        <is>
          <t>Его главный трофей</t>
        </is>
      </c>
      <c r="F1153" s="23" t="n">
        <v>500</v>
      </c>
      <c r="G1153" s="23" t="n">
        <v>94</v>
      </c>
      <c r="H1153" s="23" t="n">
        <v>10</v>
      </c>
      <c r="I1153" s="23" t="n">
        <v>30</v>
      </c>
      <c r="J1153" s="23" t="inlineStr">
        <is>
          <t>978-5-227-05832-4</t>
        </is>
      </c>
      <c r="K1153" s="23" t="inlineStr">
        <is>
          <t>70x100 1/32</t>
        </is>
      </c>
      <c r="L1153" s="23" t="inlineStr">
        <is>
          <t>мяг</t>
        </is>
      </c>
      <c r="M1153" s="23" t="n">
        <v>158</v>
      </c>
      <c r="N1153" s="23" t="n">
        <v>2015</v>
      </c>
      <c r="O1153" s="23" t="n">
        <v>78</v>
      </c>
      <c r="P1153" s="23" t="n"/>
      <c r="Q1153" s="23" t="n"/>
      <c r="R1153" s="25" t="inlineStr">
        <is>
          <t>Эмми Маршалл приходит в ярость, когда ее начинает шантажировать красавчик­босс. Она действительно не понимает, как ее фото попало на сайт агентства эскорт­услуг, однако он уже оплатил ее услуги, и теперь она должна провести с ним уик­энд в Греции, притворяясь его любовницей...</t>
        </is>
      </c>
      <c r="S1153" s="26">
        <f>HYPERLINK("http://www.cnpol.ru/covers/15875.jpg","фото на сайте")</f>
        <v/>
      </c>
    </row>
    <row r="1154" ht="50.1" customHeight="1" s="3">
      <c r="A1154" s="23" t="n"/>
      <c r="B1154" s="24" t="inlineStr">
        <is>
          <t>20529</t>
        </is>
      </c>
      <c r="C1154" s="23" t="inlineStr">
        <is>
          <t>ЛР</t>
        </is>
      </c>
      <c r="D1154" s="23" t="inlineStr">
        <is>
          <t>Маринелли К.</t>
        </is>
      </c>
      <c r="E1154" s="23" t="inlineStr">
        <is>
          <t>Его дерзкая горничная</t>
        </is>
      </c>
      <c r="F1154" s="23" t="n">
        <v>1127</v>
      </c>
      <c r="G1154" s="23" t="n">
        <v>94</v>
      </c>
      <c r="H1154" s="23" t="n">
        <v>10</v>
      </c>
      <c r="I1154" s="23" t="n">
        <v>30</v>
      </c>
      <c r="J1154" s="23" t="inlineStr">
        <is>
          <t>978-5-227-10220-1</t>
        </is>
      </c>
      <c r="K1154" s="23" t="inlineStr">
        <is>
          <t>70x100 1/32</t>
        </is>
      </c>
      <c r="L1154" s="23" t="inlineStr">
        <is>
          <t>мяг</t>
        </is>
      </c>
      <c r="M1154" s="23" t="n">
        <v>159</v>
      </c>
      <c r="N1154" s="23" t="n">
        <v>2023</v>
      </c>
      <c r="O1154" s="23" t="n">
        <v>76</v>
      </c>
      <c r="P1154" s="23" t="n"/>
      <c r="Q1154" s="23" t="n"/>
      <c r="R1154" s="25" t="inlineStr">
        <is>
          <t>Миллиардер Данте Шинина просыпается в номере отеля и видит перед собой бывшую возлюбленную, Алисию Доменика, с которой расстался десять лет назад. Девушка утверждает, что работает горничной в этом отеле, однако Данте не верит в совпадения и решает выяснить, что она затеяла…</t>
        </is>
      </c>
      <c r="S1154" s="26">
        <f>HYPERLINK("http://www.cnpol.ru/covers/20529.jpg","фото на сайте")</f>
        <v/>
      </c>
    </row>
    <row r="1155" ht="50.1" customHeight="1" s="3">
      <c r="A1155" s="23" t="n"/>
      <c r="B1155" s="24" t="inlineStr">
        <is>
          <t>17587</t>
        </is>
      </c>
      <c r="C1155" s="23" t="inlineStr">
        <is>
          <t>ЛР</t>
        </is>
      </c>
      <c r="D1155" s="23" t="inlineStr">
        <is>
          <t>Милберн М.</t>
        </is>
      </c>
      <c r="E1155" s="23" t="inlineStr">
        <is>
          <t>Его дерзкая пленница</t>
        </is>
      </c>
      <c r="F1155" s="23" t="n">
        <v>735</v>
      </c>
      <c r="G1155" s="23" t="n">
        <v>94</v>
      </c>
      <c r="H1155" s="23" t="n">
        <v>10</v>
      </c>
      <c r="I1155" s="23" t="n">
        <v>30</v>
      </c>
      <c r="J1155" s="23" t="inlineStr">
        <is>
          <t>978-5-227-07614-4</t>
        </is>
      </c>
      <c r="K1155" s="23" t="inlineStr">
        <is>
          <t>70x100 1/32</t>
        </is>
      </c>
      <c r="L1155" s="23" t="inlineStr">
        <is>
          <t>мяг</t>
        </is>
      </c>
      <c r="M1155" s="23" t="n">
        <v>160</v>
      </c>
      <c r="N1155" s="23" t="n">
        <v>2017</v>
      </c>
      <c r="O1155" s="23" t="n">
        <v>76</v>
      </c>
      <c r="P1155" s="23" t="n"/>
      <c r="Q1155" s="23" t="n"/>
      <c r="R1155" s="25" t="inlineStr">
        <is>
          <t>Юлий Равенсдейл — выдающийся ученый-астрофизик. Он довольно замкнут, необщителен и полностью погружен в свои исследования. Но когда в его дом попадает харизматичная и дерзкая Холли Перес, он наконец понимает, насколько скучной была его жизнь до сегодняшнего момента. Холли оказывается на его вилле не случайно: в свое время ее ложно обвинили в хулиганстве по отношению к тирану отчиму, и теперь ей назначены исправительные работы. Она врывается в спокойную и размеренную жизнь Юлия подобно вихрю. Сможет ли он, знаменитый и уважаемый человек, противостоять водовороту головокружительной страсти? Ведь Холли — девушка совсем не его круга…</t>
        </is>
      </c>
      <c r="S1155" s="26">
        <f>HYPERLINK("http://www.cnpol.ru/covers/17587.jpg","фото на сайте")</f>
        <v/>
      </c>
    </row>
    <row r="1156" ht="50.1" customHeight="1" s="3">
      <c r="A1156" s="23" t="n"/>
      <c r="B1156" s="24" t="inlineStr">
        <is>
          <t>18263</t>
        </is>
      </c>
      <c r="C1156" s="23" t="inlineStr">
        <is>
          <t>ЛР</t>
        </is>
      </c>
      <c r="D1156" s="23" t="inlineStr">
        <is>
          <t>Смарт М.</t>
        </is>
      </c>
      <c r="E1156" s="23" t="inlineStr">
        <is>
          <t>Его любимая скрипачка</t>
        </is>
      </c>
      <c r="F1156" s="23" t="n">
        <v>828</v>
      </c>
      <c r="G1156" s="23" t="n">
        <v>94</v>
      </c>
      <c r="H1156" s="23" t="n">
        <v>10</v>
      </c>
      <c r="I1156" s="23" t="n">
        <v>30</v>
      </c>
      <c r="J1156" s="23" t="inlineStr">
        <is>
          <t>978-5-227-08222-0</t>
        </is>
      </c>
      <c r="K1156" s="23" t="inlineStr">
        <is>
          <t>70x100 1/32</t>
        </is>
      </c>
      <c r="L1156" s="23" t="inlineStr">
        <is>
          <t>мяг</t>
        </is>
      </c>
      <c r="M1156" s="23" t="n">
        <v>160</v>
      </c>
      <c r="N1156" s="23" t="n">
        <v>2018</v>
      </c>
      <c r="O1156" s="23" t="n">
        <v>76</v>
      </c>
      <c r="P1156" s="23" t="n"/>
      <c r="Q1156" s="23" t="n"/>
      <c r="R1156" s="25" t="inlineStr">
        <is>
          <t>Принц Талос Каллиакис не привык к отказам. Он обязан сделать так, чтобы скрипачка Амалия Картрайт выступила перед его умирающим дедом. Талос шантажом заставляет Амалию подписать с ним контракт и увозит на свой остров, где помогает ей избавиться от страха перед сценой… и перед ним самим.</t>
        </is>
      </c>
      <c r="S1156" s="26">
        <f>HYPERLINK("http://www.cnpol.ru/covers/18263.jpg","фото на сайте")</f>
        <v/>
      </c>
    </row>
    <row r="1157" ht="50.1" customHeight="1" s="3">
      <c r="A1157" s="23" t="n"/>
      <c r="B1157" s="24" t="inlineStr">
        <is>
          <t>19368</t>
        </is>
      </c>
      <c r="C1157" s="23" t="inlineStr">
        <is>
          <t>ЛР</t>
        </is>
      </c>
      <c r="D1157" s="23" t="inlineStr">
        <is>
          <t>Рэдли Т.</t>
        </is>
      </c>
      <c r="E1157" s="23" t="inlineStr">
        <is>
          <t>Его удобная невеста</t>
        </is>
      </c>
      <c r="F1157" s="23" t="n">
        <v>1000</v>
      </c>
      <c r="G1157" s="23" t="n">
        <v>94</v>
      </c>
      <c r="H1157" s="23" t="n">
        <v>10</v>
      </c>
      <c r="I1157" s="23" t="n">
        <v>30</v>
      </c>
      <c r="J1157" s="23" t="inlineStr">
        <is>
          <t>978-5-227-09080-5</t>
        </is>
      </c>
      <c r="K1157" s="23" t="inlineStr">
        <is>
          <t>70x100 1/32</t>
        </is>
      </c>
      <c r="L1157" s="23" t="inlineStr">
        <is>
          <t>мяг</t>
        </is>
      </c>
      <c r="M1157" s="23" t="n">
        <v>160</v>
      </c>
      <c r="N1157" s="23" t="n">
        <v>2020</v>
      </c>
      <c r="O1157" s="23" t="n">
        <v>76</v>
      </c>
      <c r="P1157" s="23" t="n"/>
      <c r="Q1157" s="23" t="n"/>
      <c r="R1157" s="25" t="inlineStr">
        <is>
          <t>Красавица Джорджия вынуждена подчиниться воле отца­тирана, который требует от дочери незамедлительной свадьбы с тем человеком, которого он сам для нее выбрал. Иначе она попросту лишится наследства. Женихом Джорджии становится ее враг, харизматичный Джей Блэк, и у него свои планы на отношения с ней…</t>
        </is>
      </c>
      <c r="S1157" s="26">
        <f>HYPERLINK("http://www.cnpol.ru/covers/19368.jpg","фото на сайте")</f>
        <v/>
      </c>
    </row>
    <row r="1158" ht="50.1" customHeight="1" s="3">
      <c r="A1158" s="23" t="n"/>
      <c r="B1158" s="24" t="inlineStr">
        <is>
          <t>16064</t>
        </is>
      </c>
      <c r="C1158" s="23" t="inlineStr">
        <is>
          <t>ЛР</t>
        </is>
      </c>
      <c r="D1158" s="23" t="inlineStr">
        <is>
          <t>Мейер С.</t>
        </is>
      </c>
      <c r="E1158" s="23" t="inlineStr">
        <is>
          <t>Ее великолепный босс</t>
        </is>
      </c>
      <c r="F1158" s="23" t="n">
        <v>526</v>
      </c>
      <c r="G1158" s="23" t="n">
        <v>94</v>
      </c>
      <c r="H1158" s="23" t="n">
        <v>10</v>
      </c>
      <c r="I1158" s="23" t="n">
        <v>30</v>
      </c>
      <c r="J1158" s="23" t="inlineStr">
        <is>
          <t>978-5-227-05979-6</t>
        </is>
      </c>
      <c r="K1158" s="23" t="inlineStr">
        <is>
          <t>70x100 1/32</t>
        </is>
      </c>
      <c r="L1158" s="23" t="inlineStr">
        <is>
          <t>мяг</t>
        </is>
      </c>
      <c r="M1158" s="23" t="n">
        <v>158</v>
      </c>
      <c r="N1158" s="23" t="n">
        <v>2015</v>
      </c>
      <c r="O1158" s="23" t="n">
        <v>76</v>
      </c>
      <c r="P1158" s="23" t="n"/>
      <c r="Q1158" s="23" t="n"/>
      <c r="R1158" s="25" t="inlineStr">
        <is>
          <t>Все, о чем мечтает Оливия Прентис, — добиться успеха в своей профессии и доказать бывшему парню, жестоко ее обидевшему, что она тоже имеет право на счастье. Став временной ассистенткой бизнесмена Такера Энгла, она влюбляется в него. Но есть причина, по которой Такер никогда не решится завести серьезные отношения...</t>
        </is>
      </c>
      <c r="S1158" s="26">
        <f>HYPERLINK("http://www.cnpol.ru/covers/16064.jpg","фото на сайте")</f>
        <v/>
      </c>
    </row>
    <row r="1159" ht="50.1" customHeight="1" s="3">
      <c r="A1159" s="23" t="n"/>
      <c r="B1159" s="24" t="inlineStr">
        <is>
          <t>19945</t>
        </is>
      </c>
      <c r="C1159" s="23" t="inlineStr">
        <is>
          <t>ЛР</t>
        </is>
      </c>
      <c r="D1159" s="23" t="inlineStr">
        <is>
          <t>Милберн М.</t>
        </is>
      </c>
      <c r="E1159" s="23" t="inlineStr">
        <is>
          <t>Ее любимый враг</t>
        </is>
      </c>
      <c r="F1159" s="23" t="n">
        <v>1066</v>
      </c>
      <c r="G1159" s="23" t="n">
        <v>94</v>
      </c>
      <c r="H1159" s="23" t="n">
        <v>10</v>
      </c>
      <c r="I1159" s="23" t="n">
        <v>30</v>
      </c>
      <c r="J1159" s="23" t="inlineStr">
        <is>
          <t>978-5-227-09506-0</t>
        </is>
      </c>
      <c r="K1159" s="23" t="inlineStr">
        <is>
          <t>70x100 1/32</t>
        </is>
      </c>
      <c r="L1159" s="23" t="inlineStr">
        <is>
          <t>мяг</t>
        </is>
      </c>
      <c r="M1159" s="23" t="n">
        <v>159</v>
      </c>
      <c r="N1159" s="23" t="n">
        <v>2021</v>
      </c>
      <c r="O1159" s="23" t="n">
        <v>76</v>
      </c>
      <c r="P1159" s="23" t="n"/>
      <c r="Q1159" s="23" t="n"/>
      <c r="R1159" s="25" t="inlineStr">
        <is>
          <t>Жасмин — красива, умна, талантлива, казалось бы, успех должен ей сопутствовать во всем. Но нет, трижды женихи оставляли ее не дойдя до алтаря. А когда и четвертый отложил дату свадьбы, она решила вызвать его ревность, закрутив новый роман. Исполнить роль нового жениха она уговорила Джейка, известного плейбоя и друга детства, хотя считала его своим врагом с той ужасной ночи, когда он жестоко посмеялся над ней. Джейк, правда, с трудом, но согласился, усмотрев некоторые преимущества в положении жениха. Откуда «старые друзья» могли знать, в какой безумный водоворот любви, ревности  и страсти они ввергли себя, объявив о своей помолвке…</t>
        </is>
      </c>
      <c r="S1159" s="26">
        <f>HYPERLINK("http://www.cnpol.ru/covers/19945.jpg","фото на сайте")</f>
        <v/>
      </c>
    </row>
    <row r="1160" ht="50.1" customHeight="1" s="3">
      <c r="A1160" s="23" t="n"/>
      <c r="B1160" s="24" t="inlineStr">
        <is>
          <t>20508</t>
        </is>
      </c>
      <c r="C1160" s="23" t="inlineStr">
        <is>
          <t>ЛР</t>
        </is>
      </c>
      <c r="D1160" s="23" t="inlineStr">
        <is>
          <t>Кендрик Ш.</t>
        </is>
      </c>
      <c r="E1160" s="23" t="inlineStr">
        <is>
          <t>Ее надменный романтик</t>
        </is>
      </c>
      <c r="F1160" s="23" t="n">
        <v>1124</v>
      </c>
      <c r="G1160" s="23" t="n">
        <v>94</v>
      </c>
      <c r="H1160" s="23" t="n">
        <v>10</v>
      </c>
      <c r="I1160" s="23" t="n">
        <v>30</v>
      </c>
      <c r="J1160" s="23" t="inlineStr">
        <is>
          <t>978-5-227-10194-5</t>
        </is>
      </c>
      <c r="K1160" s="23" t="inlineStr">
        <is>
          <t>70x100 1/32</t>
        </is>
      </c>
      <c r="L1160" s="23" t="inlineStr">
        <is>
          <t>мяг</t>
        </is>
      </c>
      <c r="M1160" s="23" t="n">
        <v>159</v>
      </c>
      <c r="N1160" s="23" t="n">
        <v>2023</v>
      </c>
      <c r="O1160" s="23" t="n">
        <v>76</v>
      </c>
      <c r="P1160" s="23" t="n"/>
      <c r="Q1160" s="23" t="n"/>
      <c r="R1160" s="25" t="inlineStr">
        <is>
          <t>Зеленоглазая  скромница Кити приехала на Бали вовсе не за отдыхом.  Она работает няней у весьма требовательной супружеской пары. Вдруг, в последний день отпуска, ей захотелось каких-то незабываемых впечатлений. Желание сбылось! Случайная встреча в пафосном баре дорогого отеля  с надменным красавцем перевернула всю ее жизнь. Только вот что теперь Кити делать с последствиями этой встречи?</t>
        </is>
      </c>
      <c r="S1160" s="26">
        <f>HYPERLINK("http://www.cnpol.ru/covers/20508.jpg","фото на сайте")</f>
        <v/>
      </c>
    </row>
    <row r="1161" ht="50.1" customHeight="1" s="3">
      <c r="A1161" s="23" t="n"/>
      <c r="B1161" s="24" t="inlineStr">
        <is>
          <t>20892</t>
        </is>
      </c>
      <c r="C1161" s="23" t="inlineStr">
        <is>
          <t>ЛР</t>
        </is>
      </c>
      <c r="D1161" s="23" t="inlineStr">
        <is>
          <t>Эшенден Д.</t>
        </is>
      </c>
      <c r="E1161" s="23" t="inlineStr">
        <is>
          <t>Ее незабываемый испанец</t>
        </is>
      </c>
      <c r="F1161" s="23" t="n">
        <v>1156</v>
      </c>
      <c r="G1161" s="23" t="n">
        <v>94</v>
      </c>
      <c r="H1161" s="23" t="n">
        <v>10</v>
      </c>
      <c r="I1161" s="23" t="n">
        <v>30</v>
      </c>
      <c r="J1161" s="23" t="inlineStr">
        <is>
          <t>978-5-227-10374-1</t>
        </is>
      </c>
      <c r="K1161" s="23" t="inlineStr">
        <is>
          <t>70x100 1/32</t>
        </is>
      </c>
      <c r="L1161" s="23" t="inlineStr">
        <is>
          <t>мяг</t>
        </is>
      </c>
      <c r="M1161" s="23" t="n">
        <v>159</v>
      </c>
      <c r="N1161" s="23" t="n">
        <v>2023</v>
      </c>
      <c r="O1161" s="23" t="n">
        <v>76</v>
      </c>
      <c r="P1161" s="23" t="n"/>
      <c r="Q1161" s="23" t="n"/>
      <c r="R1161" s="25" t="inlineStr">
        <is>
          <t>Дженни — обычная девушка, работающая в благотворительном приюте. Константин — один из самых могущественных предпринимателей в Европе. Дженни всю жизнь любила только его, но Кон всегда был холоден с ней и лишь однажды не смог совладать со своими истинными чувствами...</t>
        </is>
      </c>
      <c r="S1161" s="26">
        <f>HYPERLINK("http://www.cnpol.ru/covers/20892.jpg","фото на сайте")</f>
        <v/>
      </c>
    </row>
    <row r="1162" ht="50.1" customHeight="1" s="3">
      <c r="A1162" s="23" t="n"/>
      <c r="B1162" s="24" t="inlineStr">
        <is>
          <t>16964</t>
        </is>
      </c>
      <c r="C1162" s="23" t="inlineStr">
        <is>
          <t>ЛР</t>
        </is>
      </c>
      <c r="D1162" s="23" t="inlineStr">
        <is>
          <t>Дуглас М.</t>
        </is>
      </c>
      <c r="E1162" s="23" t="inlineStr">
        <is>
          <t>Ее неотразимый защитник</t>
        </is>
      </c>
      <c r="F1162" s="23" t="n">
        <v>645</v>
      </c>
      <c r="G1162" s="23" t="n">
        <v>94</v>
      </c>
      <c r="H1162" s="23" t="n">
        <v>10</v>
      </c>
      <c r="I1162" s="23" t="n">
        <v>30</v>
      </c>
      <c r="J1162" s="23" t="inlineStr">
        <is>
          <t>978-5-227-06859-0</t>
        </is>
      </c>
      <c r="K1162" s="23" t="inlineStr">
        <is>
          <t>70x100 1/32</t>
        </is>
      </c>
      <c r="L1162" s="23" t="inlineStr">
        <is>
          <t>мяг</t>
        </is>
      </c>
      <c r="M1162" s="23" t="n">
        <v>160</v>
      </c>
      <c r="N1162" s="23" t="n">
        <v>2016</v>
      </c>
      <c r="O1162" s="23" t="n">
        <v>76</v>
      </c>
      <c r="P1162" s="23" t="n"/>
      <c r="Q1162" s="23" t="n"/>
      <c r="R1162" s="25" t="inlineStr">
        <is>
          <t>Когда офицер полиции Митч Кинг снова появился в жизни Таш, она совершенно не обрадовалась — восемь лет назад он перевернул ее мир с ног на голову. Митч спас Таш от маньяка, и все равно ей трудно смириться с вынужденным отпуском, который ей придется провести вдвоем с Митчем в уединенном коттедже. Но оказалось, что офицер Кинг может изменить ее жизнь снова — к лучшему, если только они научатся слушать и понимать друг друга…</t>
        </is>
      </c>
      <c r="S1162" s="26">
        <f>HYPERLINK("http://www.cnpol.ru/covers/16964.jpg","фото на сайте")</f>
        <v/>
      </c>
    </row>
    <row r="1163" ht="50.1" customHeight="1" s="3">
      <c r="A1163" s="23" t="inlineStr">
        <is>
          <t>Н</t>
        </is>
      </c>
      <c r="B1163" s="24" t="inlineStr">
        <is>
          <t>21489</t>
        </is>
      </c>
      <c r="C1163" s="23" t="inlineStr">
        <is>
          <t>ЛР</t>
        </is>
      </c>
      <c r="D1163" s="23" t="inlineStr">
        <is>
          <t>Ли Д.</t>
        </is>
      </c>
      <c r="E1163" s="23" t="inlineStr">
        <is>
          <t>Ее страстный дебют</t>
        </is>
      </c>
      <c r="F1163" s="23" t="n">
        <v>1184</v>
      </c>
      <c r="G1163" s="23" t="n">
        <v>94</v>
      </c>
      <c r="H1163" s="23" t="n">
        <v>10</v>
      </c>
      <c r="I1163" s="23" t="n">
        <v>30</v>
      </c>
      <c r="J1163" s="23" t="inlineStr">
        <is>
          <t>978-5-227-10566-0</t>
        </is>
      </c>
      <c r="K1163" s="23" t="inlineStr">
        <is>
          <t>70x100 1/32</t>
        </is>
      </c>
      <c r="L1163" s="23" t="inlineStr">
        <is>
          <t>мяг</t>
        </is>
      </c>
      <c r="M1163" s="23" t="n">
        <v>159</v>
      </c>
      <c r="N1163" s="23" t="n">
        <v>2024</v>
      </c>
      <c r="O1163" s="23" t="n">
        <v>76</v>
      </c>
      <c r="P1163" s="23" t="n"/>
      <c r="Q1163" s="23" t="n"/>
      <c r="R1163" s="25" t="inlineStr">
        <is>
          <t>Молодая скрипачка Меган Хан в эйфории после успешного сольного дебюта не устояла от искушения провести ночь с харизматичным незнакомцем. Под утро, сгорая от стыда и раскаяния, она тайком сбежала из номера гостиницы, даже не узнав имени страстного любовника. Меган постаралась бы забыть эту случайную связь, если бы вскоре не обнаружила, что беременна. Она приняла твердое решение в одиночку растить ребенка, но, опасаясь позора, не решалась сообщить об этом отцу и сестрам. Каково же было ее изумление, когда она встретила своего незнакомца в доме отца — генерального директора крупной корпорации…</t>
        </is>
      </c>
      <c r="S1163" s="26">
        <f>HYPERLINK("http://www.cnpol.ru/covers/21489.jpg","фото на сайте")</f>
        <v/>
      </c>
    </row>
    <row r="1164" ht="50.1" customHeight="1" s="3">
      <c r="A1164" s="23" t="n"/>
      <c r="B1164" s="24" t="inlineStr">
        <is>
          <t>18155</t>
        </is>
      </c>
      <c r="C1164" s="23" t="inlineStr">
        <is>
          <t>ЛР</t>
        </is>
      </c>
      <c r="D1164" s="23" t="inlineStr">
        <is>
          <t>Крюс К.</t>
        </is>
      </c>
      <c r="E1164" s="23" t="inlineStr">
        <is>
          <t>Еще можно все вернуть</t>
        </is>
      </c>
      <c r="F1164" s="23" t="n">
        <v>811</v>
      </c>
      <c r="G1164" s="23" t="n">
        <v>94</v>
      </c>
      <c r="H1164" s="23" t="n">
        <v>10</v>
      </c>
      <c r="I1164" s="23" t="n">
        <v>30</v>
      </c>
      <c r="J1164" s="23" t="inlineStr">
        <is>
          <t>978-5-227-08130-8</t>
        </is>
      </c>
      <c r="K1164" s="23" t="inlineStr">
        <is>
          <t>70x100 1/32</t>
        </is>
      </c>
      <c r="L1164" s="23" t="inlineStr">
        <is>
          <t>мяг</t>
        </is>
      </c>
      <c r="M1164" s="23" t="n">
        <v>160</v>
      </c>
      <c r="N1164" s="23" t="n">
        <v>2018</v>
      </c>
      <c r="O1164" s="23" t="n">
        <v>76</v>
      </c>
      <c r="P1164" s="23" t="n"/>
      <c r="Q1164" s="23" t="n"/>
      <c r="R1164" s="25" t="inlineStr">
        <is>
          <t>Молодой и могущественный король европейской страны Константинии находит в маленьком американском городке свою невесту, принцессу Санта­Домини, с которой он был обручен в детстве, но которая вот уже двадцать лет считается погибшей в автомобильной аварии. Девушка страдает амнезией и влачит более чем скромное существование, работая официанткой. Под руководством придворных короля она снова становится той, кем была по праву рождения. Более того, она влюбляется в своего спасителя. Казалось бы, брак и семейное счастье с королем не за горами… Но почему так холоден к ней король и какие планы он преследует в действительности?</t>
        </is>
      </c>
      <c r="S1164" s="26">
        <f>HYPERLINK("http://www.cnpol.ru/covers/18155.jpg","фото на сайте")</f>
        <v/>
      </c>
    </row>
    <row r="1165" ht="50.1" customHeight="1" s="3">
      <c r="A1165" s="23" t="n"/>
      <c r="B1165" s="24" t="inlineStr">
        <is>
          <t>17233</t>
        </is>
      </c>
      <c r="C1165" s="23" t="inlineStr">
        <is>
          <t>ЛР</t>
        </is>
      </c>
      <c r="D1165" s="23" t="inlineStr">
        <is>
          <t>Блейк М.</t>
        </is>
      </c>
      <c r="E1165" s="23" t="inlineStr">
        <is>
          <t>Жар ледяной страсти</t>
        </is>
      </c>
      <c r="F1165" s="23" t="n">
        <v>680</v>
      </c>
      <c r="G1165" s="23" t="n">
        <v>94</v>
      </c>
      <c r="H1165" s="23" t="n">
        <v>10</v>
      </c>
      <c r="I1165" s="23" t="n">
        <v>30</v>
      </c>
      <c r="J1165" s="23" t="inlineStr">
        <is>
          <t>978-5-227-07208-5</t>
        </is>
      </c>
      <c r="K1165" s="23" t="inlineStr">
        <is>
          <t>70x100 1/32</t>
        </is>
      </c>
      <c r="L1165" s="23" t="inlineStr">
        <is>
          <t>мяг</t>
        </is>
      </c>
      <c r="M1165" s="23" t="n">
        <v>160</v>
      </c>
      <c r="N1165" s="23" t="n">
        <v>2016</v>
      </c>
      <c r="O1165" s="23" t="n">
        <v>76</v>
      </c>
      <c r="P1165" s="23" t="n"/>
      <c r="Q1165" s="23" t="n"/>
      <c r="R1165" s="25" t="inlineStr">
        <is>
          <t>Страдая из­за семейной драмы, чемпионка по фигурному катанию Карла Нардоцци находит забытье в жарких объятиях испанского аристократа Хавьера Сантино. На следующее утро она сбегает, не зная, что, отвергнув своего любовника, становится его злейшим врагом. Три года спустя ей приходится прибегнуть к помощи Хавьера, который решает воспользоваться полученным шансом и отомстить ей: Карла должна стать его любовницей в обмен на спасение своего дома. Когда между ними разгорается настоящая страсть, Хавьер понимает, что нашел что­то более сладкое, чем месть.</t>
        </is>
      </c>
      <c r="S1165" s="26">
        <f>HYPERLINK("http://www.cnpol.ru/covers/17233.jpg","фото на сайте")</f>
        <v/>
      </c>
    </row>
    <row r="1166" ht="50.1" customHeight="1" s="3">
      <c r="A1166" s="23" t="n"/>
      <c r="B1166" s="24" t="inlineStr">
        <is>
          <t>18759</t>
        </is>
      </c>
      <c r="C1166" s="23" t="inlineStr">
        <is>
          <t>ЛР</t>
        </is>
      </c>
      <c r="D1166" s="23" t="inlineStr">
        <is>
          <t>Коннелли К.</t>
        </is>
      </c>
      <c r="E1166" s="23" t="inlineStr">
        <is>
          <t>Жаркая зима для двоих</t>
        </is>
      </c>
      <c r="F1166" s="23" t="n">
        <v>909</v>
      </c>
      <c r="G1166" s="23" t="n">
        <v>94</v>
      </c>
      <c r="H1166" s="23" t="n">
        <v>10</v>
      </c>
      <c r="I1166" s="23" t="n">
        <v>30</v>
      </c>
      <c r="J1166" s="23" t="inlineStr">
        <is>
          <t>978-5-227-08660-0</t>
        </is>
      </c>
      <c r="K1166" s="23" t="inlineStr">
        <is>
          <t>70x100 1/32</t>
        </is>
      </c>
      <c r="L1166" s="23" t="inlineStr">
        <is>
          <t>мяг</t>
        </is>
      </c>
      <c r="M1166" s="23" t="n">
        <v>160</v>
      </c>
      <c r="N1166" s="23" t="n">
        <v>2019</v>
      </c>
      <c r="O1166" s="23" t="n">
        <v>76</v>
      </c>
      <c r="P1166" s="23" t="n"/>
      <c r="Q1166" s="23" t="n"/>
      <c r="R1166" s="25" t="inlineStr">
        <is>
          <t>Миллиардер Гейб Арантини приходит в ярость, когда узнает, что провел страстную ночь с дочерью своего конкурента. Через год он снова встречается с ней и выясняет, что она родила от него ребенка. Он заставляет ее выйти за него замуж, надеясь, что ему удастся не влюбиться в нее…</t>
        </is>
      </c>
      <c r="S1166" s="26">
        <f>HYPERLINK("http://www.cnpol.ru/covers/18759.jpg","фото на сайте")</f>
        <v/>
      </c>
    </row>
    <row r="1167" ht="50.1" customHeight="1" s="3">
      <c r="A1167" s="23" t="n"/>
      <c r="B1167" s="24" t="inlineStr">
        <is>
          <t>19190</t>
        </is>
      </c>
      <c r="C1167" s="23" t="inlineStr">
        <is>
          <t>ЛР</t>
        </is>
      </c>
      <c r="D1167" s="23" t="inlineStr">
        <is>
          <t>Гилмор Д.</t>
        </is>
      </c>
      <c r="E1167" s="23" t="inlineStr">
        <is>
          <t>Жаркие бразильские ночи</t>
        </is>
      </c>
      <c r="F1167" s="23" t="n">
        <v>980</v>
      </c>
      <c r="G1167" s="23" t="n">
        <v>94</v>
      </c>
      <c r="H1167" s="23" t="n">
        <v>10</v>
      </c>
      <c r="I1167" s="23" t="n">
        <v>30</v>
      </c>
      <c r="J1167" s="23" t="inlineStr">
        <is>
          <t>978-5-227-09029-4</t>
        </is>
      </c>
      <c r="K1167" s="23" t="inlineStr">
        <is>
          <t>70x100 1/32</t>
        </is>
      </c>
      <c r="L1167" s="23" t="inlineStr">
        <is>
          <t>мяг</t>
        </is>
      </c>
      <c r="M1167" s="23" t="n">
        <v>160</v>
      </c>
      <c r="N1167" s="23" t="n">
        <v>2020</v>
      </c>
      <c r="O1167" s="23" t="n">
        <v>76</v>
      </c>
      <c r="P1167" s="23" t="n"/>
      <c r="Q1167" s="23" t="n"/>
      <c r="R1167" s="25" t="inlineStr">
        <is>
          <t>Харриет Фэйрчалд, личный ассистент миллиардера Деанджело Сантоса, получает от босса предложение отправиться с ним в Рио и там сыграть роль его жены. Она и не подозревает, что эта поездка полностью изменит ее жизнь…</t>
        </is>
      </c>
      <c r="S1167" s="26">
        <f>HYPERLINK("http://www.cnpol.ru/covers/19190.jpg","фото на сайте")</f>
        <v/>
      </c>
    </row>
    <row r="1168" ht="50.1" customHeight="1" s="3">
      <c r="A1168" s="23" t="n"/>
      <c r="B1168" s="24" t="inlineStr">
        <is>
          <t>17620</t>
        </is>
      </c>
      <c r="C1168" s="23" t="inlineStr">
        <is>
          <t>ЛР</t>
        </is>
      </c>
      <c r="D1168" s="23" t="inlineStr">
        <is>
          <t>Грин Э.</t>
        </is>
      </c>
      <c r="E1168" s="23" t="inlineStr">
        <is>
          <t>Жаркие ночи в оазисе</t>
        </is>
      </c>
      <c r="F1168" s="23" t="n">
        <v>740</v>
      </c>
      <c r="G1168" s="23" t="n">
        <v>94</v>
      </c>
      <c r="H1168" s="23" t="n">
        <v>10</v>
      </c>
      <c r="I1168" s="23" t="n">
        <v>30</v>
      </c>
      <c r="J1168" s="23" t="inlineStr">
        <is>
          <t>978-5-227-07636-6</t>
        </is>
      </c>
      <c r="K1168" s="23" t="inlineStr">
        <is>
          <t>70x100 1/32</t>
        </is>
      </c>
      <c r="L1168" s="23" t="inlineStr">
        <is>
          <t>мяг</t>
        </is>
      </c>
      <c r="M1168" s="23" t="n">
        <v>160</v>
      </c>
      <c r="N1168" s="23" t="n">
        <v>2017</v>
      </c>
      <c r="O1168" s="23" t="n">
        <v>76</v>
      </c>
      <c r="P1168" s="23" t="n"/>
      <c r="Q1168" s="23" t="n"/>
      <c r="R1168" s="25" t="inlineStr">
        <is>
          <t>Сильви Девро танцует в бурлеск­шоу. Но она совсем не похожа на своих подруг. Для нее танец — искусство, а не инструмент соблазнения. Арким аль­Саид — успешный бизнесмен, который собирается жениться на ее младшей сестре. Но судьба распоряжается иначе, ведь Сильви и Арким не могут устоять перед искушением, впервые взглянув друг на друга…</t>
        </is>
      </c>
      <c r="S1168" s="26">
        <f>HYPERLINK("http://www.cnpol.ru/covers/17620.jpg","фото на сайте")</f>
        <v/>
      </c>
    </row>
    <row r="1169" ht="50.1" customHeight="1" s="3">
      <c r="A1169" s="23" t="inlineStr">
        <is>
          <t>Н</t>
        </is>
      </c>
      <c r="B1169" s="24" t="inlineStr">
        <is>
          <t>21174</t>
        </is>
      </c>
      <c r="C1169" s="23" t="inlineStr">
        <is>
          <t>ЛР</t>
        </is>
      </c>
      <c r="D1169" s="23" t="inlineStr">
        <is>
          <t>Энтони К.</t>
        </is>
      </c>
      <c r="E1169" s="23" t="inlineStr">
        <is>
          <t>Жаркое свидание в Лондоне</t>
        </is>
      </c>
      <c r="F1169" s="23" t="n">
        <v>1177</v>
      </c>
      <c r="G1169" s="23" t="n">
        <v>94</v>
      </c>
      <c r="H1169" s="23" t="n">
        <v>10</v>
      </c>
      <c r="I1169" s="23" t="n">
        <v>30</v>
      </c>
      <c r="J1169" s="23" t="inlineStr">
        <is>
          <t>978-5-227-10517-2</t>
        </is>
      </c>
      <c r="K1169" s="23" t="inlineStr">
        <is>
          <t>70x100 1/32</t>
        </is>
      </c>
      <c r="L1169" s="23" t="inlineStr">
        <is>
          <t>мяг</t>
        </is>
      </c>
      <c r="M1169" s="23" t="n">
        <v>159</v>
      </c>
      <c r="N1169" s="23" t="n">
        <v>2024</v>
      </c>
      <c r="O1169" s="23" t="n">
        <v>76</v>
      </c>
      <c r="P1169" s="23" t="n"/>
      <c r="Q1169" s="23" t="n"/>
      <c r="R1169" s="25" t="inlineStr">
        <is>
          <t>Из-за репутации плейбоя Лэнс Астилл стал легендой бульварной прессы. Он всю жизнь бунтовал против своего строгого аристократического воспитания и попадал в скандальные истории. Пока не встретил Сару Конрад... Соблазнить и поразвлечься с девушкой, ищущей у него убежища, было бы слишком бесчестно. Даже для него. К тому же Сара страстно умоляет его помочь ей избежать устроенного брака, такого же, от которого Лэнсу не удалось спасти свою сестру. Неожиданно для самого себя Лэнс предлагает Саре руку и сердце…</t>
        </is>
      </c>
      <c r="S1169" s="26">
        <f>HYPERLINK("http://www.cnpol.ru/covers/21174.jpg","фото на сайте")</f>
        <v/>
      </c>
    </row>
    <row r="1170" ht="50.1" customHeight="1" s="3">
      <c r="A1170" s="23" t="n"/>
      <c r="B1170" s="24" t="inlineStr">
        <is>
          <t>18522</t>
        </is>
      </c>
      <c r="C1170" s="23" t="inlineStr">
        <is>
          <t>ЛР</t>
        </is>
      </c>
      <c r="D1170" s="23" t="inlineStr">
        <is>
          <t>Брок Э.</t>
        </is>
      </c>
      <c r="E1170" s="23" t="inlineStr">
        <is>
          <t>Жгучая клятва сицилийца</t>
        </is>
      </c>
      <c r="F1170" s="23" t="n">
        <v>870</v>
      </c>
      <c r="G1170" s="23" t="n">
        <v>94</v>
      </c>
      <c r="H1170" s="23" t="n">
        <v>10</v>
      </c>
      <c r="I1170" s="23" t="n">
        <v>30</v>
      </c>
      <c r="J1170" s="23" t="inlineStr">
        <is>
          <t>978-5-227-08413-2</t>
        </is>
      </c>
      <c r="K1170" s="23" t="inlineStr">
        <is>
          <t>70x100 1/32</t>
        </is>
      </c>
      <c r="L1170" s="23" t="inlineStr">
        <is>
          <t>мяг</t>
        </is>
      </c>
      <c r="M1170" s="23" t="n">
        <v>160</v>
      </c>
      <c r="N1170" s="23" t="n">
        <v>2019</v>
      </c>
      <c r="O1170" s="23" t="n">
        <v>74</v>
      </c>
      <c r="P1170" s="23" t="n"/>
      <c r="Q1170" s="23" t="n"/>
      <c r="R1170" s="25" t="inlineStr">
        <is>
          <t>Вьери Романо разыскивает сбежавшую с деньгами официантку своего элитного ночного клуба Лию Макдональд. И тут неожиданно появляется ее сестра­близнец. Харпер тоже ищет непутевую сестру. Вьери понимает, что Харпер может помочь ему реализовать разработанный план. Она должна на время притвориться невестой Вьери, чтобы успокоить умирающего крестного отца Альфонсо, который спит и видит крестника женатым. Предполагалось, что роль фиктивной невесты сыграет Лия, но, получив от Вьери аванс, девушка исчезла. Теперь сестра должна ее заменить...</t>
        </is>
      </c>
      <c r="S1170" s="26">
        <f>HYPERLINK("http://www.cnpol.ru/covers/18522.jpg","фото на сайте")</f>
        <v/>
      </c>
    </row>
    <row r="1171" ht="50.1" customHeight="1" s="3">
      <c r="A1171" s="23" t="n"/>
      <c r="B1171" s="24" t="inlineStr">
        <is>
          <t>18863</t>
        </is>
      </c>
      <c r="C1171" s="23" t="inlineStr">
        <is>
          <t>ЛР</t>
        </is>
      </c>
      <c r="D1171" s="23" t="inlineStr">
        <is>
          <t>Райс Х.</t>
        </is>
      </c>
      <c r="E1171" s="23" t="inlineStr">
        <is>
          <t>Ждала тебя всю жизнь</t>
        </is>
      </c>
      <c r="F1171" s="23" t="n">
        <v>925</v>
      </c>
      <c r="G1171" s="23" t="n">
        <v>94</v>
      </c>
      <c r="H1171" s="23" t="n">
        <v>10</v>
      </c>
      <c r="I1171" s="23" t="n">
        <v>30</v>
      </c>
      <c r="J1171" s="23" t="inlineStr">
        <is>
          <t>978-5-227-08727-0</t>
        </is>
      </c>
      <c r="K1171" s="23" t="inlineStr">
        <is>
          <t>70x100 1/32</t>
        </is>
      </c>
      <c r="L1171" s="23" t="inlineStr">
        <is>
          <t>мяг</t>
        </is>
      </c>
      <c r="M1171" s="23" t="n">
        <v>160</v>
      </c>
      <c r="N1171" s="23" t="n">
        <v>2019</v>
      </c>
      <c r="O1171" s="23" t="n">
        <v>76</v>
      </c>
      <c r="P1171" s="23" t="n"/>
      <c r="Q1171" s="23" t="n"/>
      <c r="R1171" s="25" t="inlineStr">
        <is>
          <t>Бронте О’Хара в одиночку воспитывает своего маленького племянника, у нее привычная, устоявшаяся жизнь. Но однажды в их дом стучится беда — у мальчика обнаруживают лейкоз, и лишь один человек может быть донором костного мозга — брат­близнец давно погибшего отца ребенка. Меньше всего на свете Бронте хочется просить помощи у такого жестокого человека, как Лукас Блэкстоун, но у нее нет другого выхода. Она еще не знает, что эта встреча изменит жизнь не только ее племянника, но и ее собственную.</t>
        </is>
      </c>
      <c r="S1171" s="26">
        <f>HYPERLINK("http://www.cnpol.ru/covers/18863.jpg","фото на сайте")</f>
        <v/>
      </c>
    </row>
    <row r="1172" ht="50.1" customHeight="1" s="3">
      <c r="A1172" s="23" t="n"/>
      <c r="B1172" s="24" t="inlineStr">
        <is>
          <t>16431</t>
        </is>
      </c>
      <c r="C1172" s="23" t="inlineStr">
        <is>
          <t>ЛР</t>
        </is>
      </c>
      <c r="D1172" s="23" t="inlineStr">
        <is>
          <t>Пемброк С.</t>
        </is>
      </c>
      <c r="E1172" s="23" t="inlineStr">
        <is>
          <t>Ждала только тебя</t>
        </is>
      </c>
      <c r="F1172" s="23" t="n">
        <v>577</v>
      </c>
      <c r="G1172" s="23" t="n">
        <v>94</v>
      </c>
      <c r="H1172" s="23" t="n">
        <v>10</v>
      </c>
      <c r="I1172" s="23" t="n">
        <v>30</v>
      </c>
      <c r="J1172" s="23" t="inlineStr">
        <is>
          <t>978-5-227-06292-5</t>
        </is>
      </c>
      <c r="K1172" s="23" t="inlineStr">
        <is>
          <t>70x100 1/32</t>
        </is>
      </c>
      <c r="L1172" s="23" t="inlineStr">
        <is>
          <t>мяг</t>
        </is>
      </c>
      <c r="M1172" s="23" t="n">
        <v>158</v>
      </c>
      <c r="N1172" s="23" t="n">
        <v>2016</v>
      </c>
      <c r="O1172" s="23" t="n">
        <v>76</v>
      </c>
      <c r="P1172" s="23" t="n"/>
      <c r="Q1172" s="23" t="n"/>
      <c r="R1172" s="25" t="inlineStr">
        <is>
          <t>Тия Моррисон и Флинн Эштон готовятся к свадьбе. Они не любят друг друга, но их брак, одобренный обеими семьями, пойдет на пользу бизнесу. Однако с приездом блудного сына, Зика, с которым у Тии в юности был бурный роман, упорядоченная жизнь обитателей виллы заканчивается, а свадьба оказывается под вопросом.</t>
        </is>
      </c>
      <c r="S1172" s="26">
        <f>HYPERLINK("http://www.cnpol.ru/covers/16431.jpg","фото на сайте")</f>
        <v/>
      </c>
    </row>
    <row r="1173" ht="50.1" customHeight="1" s="3">
      <c r="A1173" s="23" t="n"/>
      <c r="B1173" s="24" t="inlineStr">
        <is>
          <t>20661</t>
        </is>
      </c>
      <c r="C1173" s="23" t="inlineStr">
        <is>
          <t>ЛР</t>
        </is>
      </c>
      <c r="D1173" s="23" t="inlineStr">
        <is>
          <t>Уэст Э.</t>
        </is>
      </c>
      <c r="E1173" s="23" t="inlineStr">
        <is>
          <t>Жду тебя всегда</t>
        </is>
      </c>
      <c r="F1173" s="23" t="n">
        <v>1140</v>
      </c>
      <c r="G1173" s="23" t="n">
        <v>94</v>
      </c>
      <c r="H1173" s="23" t="n">
        <v>10</v>
      </c>
      <c r="I1173" s="23" t="n">
        <v>30</v>
      </c>
      <c r="J1173" s="23" t="inlineStr">
        <is>
          <t>978-5-227-10306-2</t>
        </is>
      </c>
      <c r="K1173" s="23" t="inlineStr">
        <is>
          <t>70x100 1/32</t>
        </is>
      </c>
      <c r="L1173" s="23" t="inlineStr">
        <is>
          <t>мяг</t>
        </is>
      </c>
      <c r="M1173" s="23" t="n">
        <v>159</v>
      </c>
      <c r="N1173" s="23" t="n">
        <v>2023</v>
      </c>
      <c r="O1173" s="23" t="n">
        <v>76</v>
      </c>
      <c r="P1173" s="23" t="n"/>
      <c r="Q1173" s="23" t="n"/>
      <c r="R1173" s="25" t="inlineStr">
        <is>
          <t>Принцесса Ильза сбегает в Монако после очередной неудачной помолвки. Ей хочется почувствовать себя красивой, желанной и привлекательной. Возможно, ее давний знакомый Ной поможет ей вновь научиться радоваться жизни. Правда, в их отношениях не все так просто...</t>
        </is>
      </c>
      <c r="S1173" s="26">
        <f>HYPERLINK("http://www.cnpol.ru/covers/20661.jpg","фото на сайте")</f>
        <v/>
      </c>
    </row>
    <row r="1174" ht="50.1" customHeight="1" s="3">
      <c r="A1174" s="23" t="n"/>
      <c r="B1174" s="24" t="inlineStr">
        <is>
          <t>18657</t>
        </is>
      </c>
      <c r="C1174" s="23" t="inlineStr">
        <is>
          <t>ЛР</t>
        </is>
      </c>
      <c r="D1174" s="23" t="inlineStr">
        <is>
          <t>Милн Н.</t>
        </is>
      </c>
      <c r="E1174" s="23" t="inlineStr">
        <is>
          <t>Жду тебя у алтаря</t>
        </is>
      </c>
      <c r="F1174" s="23" t="n">
        <v>893</v>
      </c>
      <c r="G1174" s="23" t="n">
        <v>94</v>
      </c>
      <c r="H1174" s="23" t="n">
        <v>10</v>
      </c>
      <c r="I1174" s="23" t="n">
        <v>30</v>
      </c>
      <c r="J1174" s="23" t="inlineStr">
        <is>
          <t>978-5-227-08546-7</t>
        </is>
      </c>
      <c r="K1174" s="23" t="inlineStr">
        <is>
          <t>70x100 1/32</t>
        </is>
      </c>
      <c r="L1174" s="23" t="inlineStr">
        <is>
          <t>мяг</t>
        </is>
      </c>
      <c r="M1174" s="23" t="n">
        <v>160</v>
      </c>
      <c r="N1174" s="23" t="n">
        <v>2019</v>
      </c>
      <c r="O1174" s="23" t="n">
        <v>78</v>
      </c>
      <c r="P1174" s="23" t="n"/>
      <c r="Q1174" s="23" t="n"/>
      <c r="R1174" s="25" t="inlineStr">
        <is>
          <t>Пышная свадьба принца Стефана с Холли Романо — лишь прикрытие брака по расчету, и у них одна и та же цель — заполучить свою долю земельного участка, одинаково важного для обоих. Казалось бы, у этого брака, в котором нет места для любви, нет и будущего, но что делать с взаимным притяжением? Молодожены договариваются поддаться ему лишь на время медового месяца. Но чувства не укладываются в условия сделки.</t>
        </is>
      </c>
      <c r="S1174" s="26">
        <f>HYPERLINK("http://www.cnpol.ru/covers/18657.jpg","фото на сайте")</f>
        <v/>
      </c>
    </row>
    <row r="1175" ht="50.1" customHeight="1" s="3">
      <c r="A1175" s="23" t="n"/>
      <c r="B1175" s="24" t="inlineStr">
        <is>
          <t>16498</t>
        </is>
      </c>
      <c r="C1175" s="23" t="inlineStr">
        <is>
          <t>ЛР</t>
        </is>
      </c>
      <c r="D1175" s="23" t="inlineStr">
        <is>
          <t>Уолкер К.</t>
        </is>
      </c>
      <c r="E1175" s="23" t="inlineStr">
        <is>
          <t>Желанная месть</t>
        </is>
      </c>
      <c r="F1175" s="23" t="n">
        <v>585</v>
      </c>
      <c r="G1175" s="23" t="n">
        <v>94</v>
      </c>
      <c r="H1175" s="23" t="n">
        <v>10</v>
      </c>
      <c r="I1175" s="23" t="n">
        <v>30</v>
      </c>
      <c r="J1175" s="23" t="inlineStr">
        <is>
          <t>978-5-227-06393-9</t>
        </is>
      </c>
      <c r="K1175" s="23" t="inlineStr">
        <is>
          <t>70x100 1/32</t>
        </is>
      </c>
      <c r="L1175" s="23" t="inlineStr">
        <is>
          <t>мяг</t>
        </is>
      </c>
      <c r="M1175" s="23" t="n">
        <v>158</v>
      </c>
      <c r="N1175" s="23" t="n">
        <v>2016</v>
      </c>
      <c r="O1175" s="23" t="n">
        <v>76</v>
      </c>
      <c r="P1175" s="23" t="n"/>
      <c r="Q1175" s="23" t="n"/>
      <c r="R1175" s="25" t="inlineStr">
        <is>
          <t>Для Дарио брак с леди Элис — это не только способ отомстить своему единокровному брату Маркусу, но и возможность получить наследство и признание отца, который жаждет породниться с аристократической семьей. Элис вынуждена согласиться на брак по расчету, чтобы при помощи денег Дарио спасти родителей от суда. Но они оба, и Дарио, и Элис, не предусмотрели одного — взаимного влечения…</t>
        </is>
      </c>
      <c r="S1175" s="26">
        <f>HYPERLINK("http://www.cnpol.ru/covers/16498.jpg","фото на сайте")</f>
        <v/>
      </c>
    </row>
    <row r="1176" ht="50.1" customHeight="1" s="3">
      <c r="A1176" s="23" t="n"/>
      <c r="B1176" s="24" t="inlineStr">
        <is>
          <t>17804</t>
        </is>
      </c>
      <c r="C1176" s="23" t="inlineStr">
        <is>
          <t>ЛР</t>
        </is>
      </c>
      <c r="D1176" s="23" t="inlineStr">
        <is>
          <t>Фэй Д.</t>
        </is>
      </c>
      <c r="E1176" s="23" t="inlineStr">
        <is>
          <t>Желанная награда для холостяка</t>
        </is>
      </c>
      <c r="F1176" s="23" t="n">
        <v>769</v>
      </c>
      <c r="G1176" s="23" t="n">
        <v>94</v>
      </c>
      <c r="H1176" s="23" t="n">
        <v>10</v>
      </c>
      <c r="I1176" s="23" t="n">
        <v>30</v>
      </c>
      <c r="J1176" s="23" t="inlineStr">
        <is>
          <t>978-5-227-07753-0</t>
        </is>
      </c>
      <c r="K1176" s="23" t="inlineStr">
        <is>
          <t>70x100 1/32</t>
        </is>
      </c>
      <c r="L1176" s="23" t="inlineStr">
        <is>
          <t>мяг</t>
        </is>
      </c>
      <c r="M1176" s="23" t="n">
        <v>160</v>
      </c>
      <c r="N1176" s="23" t="n">
        <v>2017</v>
      </c>
      <c r="O1176" s="23" t="n">
        <v>76</v>
      </c>
      <c r="P1176" s="23" t="n"/>
      <c r="Q1176" s="23" t="n"/>
      <c r="R1176" s="25" t="inlineStr">
        <is>
          <t>Холли Абрамс и ее босс, красавец­миллиардер Финн Локвуд, провели незабываемую ночь и договорились расстаться без всяких обязательств. Казалось бы, условия были оговорены изначально, да и Холли не планировала влюбляться в начальника, вот только после страстной ночи она поняла, что работать дальше им будет сложно. Она стала избегать Финна, и все же они сталкиваются на совместном благотворительном мероприятии, которое проходит на роскошной яхте Финна. Холли внезапно чувствует приступ тошноты и списы­вает все на морскую болезнь, но врач сообщает ей, что к Рождеству их с Финном ждет двойной сюрприз…</t>
        </is>
      </c>
      <c r="S1176" s="26">
        <f>HYPERLINK("http://www.cnpol.ru/covers/17804.jpg","фото на сайте")</f>
        <v/>
      </c>
    </row>
    <row r="1177" ht="50.1" customHeight="1" s="3">
      <c r="A1177" s="23" t="n"/>
      <c r="B1177" s="24" t="inlineStr">
        <is>
          <t>19507</t>
        </is>
      </c>
      <c r="C1177" s="23" t="inlineStr">
        <is>
          <t>ЛР</t>
        </is>
      </c>
      <c r="D1177" s="23" t="inlineStr">
        <is>
          <t>Кендрик Ш.</t>
        </is>
      </c>
      <c r="E1177" s="23" t="inlineStr">
        <is>
          <t>Желанная провокация</t>
        </is>
      </c>
      <c r="F1177" s="23" t="n">
        <v>1017</v>
      </c>
      <c r="G1177" s="23" t="n">
        <v>94</v>
      </c>
      <c r="H1177" s="23" t="n">
        <v>10</v>
      </c>
      <c r="I1177" s="23" t="n">
        <v>30</v>
      </c>
      <c r="J1177" s="23" t="inlineStr">
        <is>
          <t>978-5-227-09155-0</t>
        </is>
      </c>
      <c r="K1177" s="23" t="inlineStr">
        <is>
          <t>70x100 1/32</t>
        </is>
      </c>
      <c r="L1177" s="23" t="inlineStr">
        <is>
          <t>мяг</t>
        </is>
      </c>
      <c r="M1177" s="23" t="n">
        <v>160</v>
      </c>
      <c r="N1177" s="23" t="n">
        <v>2021</v>
      </c>
      <c r="O1177" s="23" t="n">
        <v>76</v>
      </c>
      <c r="P1177" s="23" t="n"/>
      <c r="Q1177" s="23" t="n"/>
      <c r="R1177" s="25" t="inlineStr">
        <is>
          <t>В далекой юности, когда Эмили Грин была падчерицей богатого аргентинского землевладельца, а Алехандро Сабато — бедным сыном его экономки, молодые люди полюбили друг друга, но Эмили заставили расстаться с недостаточно родовитым парнем. Прошли годы, все изменилось. Эмили поселилась в маленькой квартирке в Лондоне, а Алех стал аргентинским миллиардером, бизнесменом и плейбоем. Они не забыли друг друга, более того, в душе Алеха поселились горечь и обида за то, что его жестоко отвергли, и он решил отомстить, разыграв целый спектакль…</t>
        </is>
      </c>
      <c r="S1177" s="26">
        <f>HYPERLINK("http://www.cnpol.ru/covers/19507.jpg","фото на сайте")</f>
        <v/>
      </c>
    </row>
    <row r="1178" ht="50.1" customHeight="1" s="3">
      <c r="A1178" s="23" t="n"/>
      <c r="B1178" s="24" t="inlineStr">
        <is>
          <t>19418</t>
        </is>
      </c>
      <c r="C1178" s="23" t="inlineStr">
        <is>
          <t>ЛР</t>
        </is>
      </c>
      <c r="D1178" s="23" t="inlineStr">
        <is>
          <t>Беннет Д.</t>
        </is>
      </c>
      <c r="E1178" s="23" t="inlineStr">
        <is>
          <t>Желанная распутница</t>
        </is>
      </c>
      <c r="F1178" s="23" t="n">
        <v>1004</v>
      </c>
      <c r="G1178" s="23" t="n">
        <v>94</v>
      </c>
      <c r="H1178" s="23" t="n">
        <v>10</v>
      </c>
      <c r="I1178" s="23" t="n">
        <v>30</v>
      </c>
      <c r="J1178" s="23" t="inlineStr">
        <is>
          <t>978-5-227-09108-6</t>
        </is>
      </c>
      <c r="K1178" s="23" t="inlineStr">
        <is>
          <t>70x100 1/32</t>
        </is>
      </c>
      <c r="L1178" s="23" t="inlineStr">
        <is>
          <t>мяг</t>
        </is>
      </c>
      <c r="M1178" s="23" t="n">
        <v>160</v>
      </c>
      <c r="N1178" s="23" t="n">
        <v>2020</v>
      </c>
      <c r="O1178" s="23" t="n">
        <v>76</v>
      </c>
      <c r="P1178" s="23" t="n"/>
      <c r="Q1178" s="23" t="n"/>
      <c r="R1178" s="25" t="inlineStr">
        <is>
          <t>Детектив Лукас Форд не предполагал, что спустя двенадцать лет к нему обратится его бывшая любовница Пейсли Морган. Он не простил ее за то, что она бросила его, поэтому решает отомстить ей. Лукас предлагает Пейсли выйти за него замуж в качестве расплаты за расследование ее дела…</t>
        </is>
      </c>
      <c r="S1178" s="26">
        <f>HYPERLINK("http://www.cnpol.ru/covers/19418.jpg","фото на сайте")</f>
        <v/>
      </c>
    </row>
    <row r="1179" ht="50.1" customHeight="1" s="3">
      <c r="A1179" s="23" t="n"/>
      <c r="B1179" s="24" t="inlineStr">
        <is>
          <t>20271</t>
        </is>
      </c>
      <c r="C1179" s="23" t="inlineStr">
        <is>
          <t>ЛР</t>
        </is>
      </c>
      <c r="D1179" s="23" t="inlineStr">
        <is>
          <t>Коллинз Д.</t>
        </is>
      </c>
      <c r="E1179" s="23" t="inlineStr">
        <is>
          <t>Желанный скандал</t>
        </is>
      </c>
      <c r="F1179" s="23" t="n">
        <v>1095</v>
      </c>
      <c r="G1179" s="23" t="n">
        <v>94</v>
      </c>
      <c r="H1179" s="23" t="n">
        <v>10</v>
      </c>
      <c r="I1179" s="23" t="n">
        <v>30</v>
      </c>
      <c r="J1179" s="23" t="inlineStr">
        <is>
          <t>978-5-227-09808-5</t>
        </is>
      </c>
      <c r="K1179" s="23" t="inlineStr">
        <is>
          <t>70x100 1/32</t>
        </is>
      </c>
      <c r="L1179" s="23" t="inlineStr">
        <is>
          <t>мяг</t>
        </is>
      </c>
      <c r="M1179" s="23" t="n">
        <v>159</v>
      </c>
      <c r="N1179" s="23" t="n">
        <v>2022</v>
      </c>
      <c r="O1179" s="23" t="n">
        <v>76</v>
      </c>
      <c r="P1179" s="23" t="n"/>
      <c r="Q1179" s="23" t="n"/>
      <c r="R1179" s="25" t="inlineStr">
        <is>
          <t>Король Валлии, Люка, хочет отказаться от трона в пользу своей сестры. Для этого ему нужно спровоцировать скандал и выставить себя в неприглядном свете. Он нанимает для этой задачи специального человека — Эми Миллер, которая волею судьбы сама разрушает его безупречную репутацию.</t>
        </is>
      </c>
      <c r="S1179" s="26">
        <f>HYPERLINK("http://www.cnpol.ru/covers/20271.jpg","фото на сайте")</f>
        <v/>
      </c>
    </row>
    <row r="1180" ht="50.1" customHeight="1" s="3">
      <c r="A1180" s="23" t="n"/>
      <c r="B1180" s="24" t="inlineStr">
        <is>
          <t>16357</t>
        </is>
      </c>
      <c r="C1180" s="23" t="inlineStr">
        <is>
          <t>ЛР</t>
        </is>
      </c>
      <c r="D1180" s="23" t="inlineStr">
        <is>
          <t>Маринелли К.</t>
        </is>
      </c>
      <c r="E1180" s="23" t="inlineStr">
        <is>
          <t>Желанный трофей</t>
        </is>
      </c>
      <c r="F1180" s="23" t="n">
        <v>567</v>
      </c>
      <c r="G1180" s="23" t="n">
        <v>94</v>
      </c>
      <c r="H1180" s="23" t="n">
        <v>10</v>
      </c>
      <c r="I1180" s="23" t="n">
        <v>30</v>
      </c>
      <c r="J1180" s="23" t="inlineStr">
        <is>
          <t>978-5-227-06249-9</t>
        </is>
      </c>
      <c r="K1180" s="23" t="inlineStr">
        <is>
          <t>70x100 1/32</t>
        </is>
      </c>
      <c r="L1180" s="23" t="inlineStr">
        <is>
          <t>мяг</t>
        </is>
      </c>
      <c r="M1180" s="23" t="n">
        <v>158</v>
      </c>
      <c r="N1180" s="23" t="n">
        <v>2015</v>
      </c>
      <c r="O1180" s="23" t="n">
        <v>76</v>
      </c>
      <c r="P1180" s="23" t="n"/>
      <c r="Q1180" s="23" t="n"/>
      <c r="R1180" s="25" t="inlineStr">
        <is>
          <t>Принцесса Лейла живет под опекой отца, который строго ее контролирует и запрещает покидать пределы дворца. Получив неделю свободы, принцесса знакомится с сексуальным Микаэлем Романовым. Этот мужчина покорил ее воображение. Однако случилось то, чего она не предвидела: она влюбилась. Смогут ли молодые люди убедить короля благословить их брак и быть счастливыми?</t>
        </is>
      </c>
      <c r="S1180" s="26">
        <f>HYPERLINK("http://www.cnpol.ru/covers/16357.jpg","фото на сайте")</f>
        <v/>
      </c>
    </row>
    <row r="1181" ht="50.1" customHeight="1" s="3">
      <c r="A1181" s="23" t="n"/>
      <c r="B1181" s="24" t="inlineStr">
        <is>
          <t>17279</t>
        </is>
      </c>
      <c r="C1181" s="23" t="inlineStr">
        <is>
          <t>ЛР</t>
        </is>
      </c>
      <c r="D1181" s="23" t="inlineStr">
        <is>
          <t>Уилсон С.</t>
        </is>
      </c>
      <c r="E1181" s="23" t="inlineStr">
        <is>
          <t>Жемчужина на счастье</t>
        </is>
      </c>
      <c r="F1181" s="23" t="n">
        <v>686</v>
      </c>
      <c r="G1181" s="23" t="n">
        <v>94</v>
      </c>
      <c r="H1181" s="23" t="n">
        <v>10</v>
      </c>
      <c r="I1181" s="23" t="n">
        <v>30</v>
      </c>
      <c r="J1181" s="23" t="inlineStr">
        <is>
          <t>978-5-227-07284-9</t>
        </is>
      </c>
      <c r="K1181" s="23" t="inlineStr">
        <is>
          <t>70x100 1/32</t>
        </is>
      </c>
      <c r="L1181" s="23" t="inlineStr">
        <is>
          <t>мяг</t>
        </is>
      </c>
      <c r="M1181" s="23" t="n">
        <v>160</v>
      </c>
      <c r="N1181" s="23" t="n">
        <v>2017</v>
      </c>
      <c r="O1181" s="23" t="n">
        <v>76</v>
      </c>
      <c r="P1181" s="23" t="n"/>
      <c r="Q1181" s="23" t="n"/>
      <c r="R1181" s="25" t="inlineStr">
        <is>
          <t>Аддисон Коннор покупает семейный тур в райский уголок. Там, вдали от телефона и Интернета, она хочет заставить своего мужа ­Калеба, с головой ушедшего в работу, вспомнить, что у него есть жена и сын. Прежде чем сообщить Калебу о новой беременности, Аддисон хочет выяснить, любит ли ее муж, как раньше, или им лучше расстаться.</t>
        </is>
      </c>
      <c r="S1181" s="26">
        <f>HYPERLINK("http://www.cnpol.ru/covers/17279.jpg","фото на сайте")</f>
        <v/>
      </c>
    </row>
    <row r="1182" ht="50.1" customHeight="1" s="3">
      <c r="A1182" s="23" t="n"/>
      <c r="B1182" s="24" t="inlineStr">
        <is>
          <t>15521</t>
        </is>
      </c>
      <c r="C1182" s="23" t="inlineStr">
        <is>
          <t>ЛР</t>
        </is>
      </c>
      <c r="D1182" s="23" t="inlineStr">
        <is>
          <t>Кендрик Ш.</t>
        </is>
      </c>
      <c r="E1182" s="23" t="inlineStr">
        <is>
          <t>Жена и любовница</t>
        </is>
      </c>
      <c r="F1182" s="23" t="n">
        <v>456</v>
      </c>
      <c r="G1182" s="23" t="n">
        <v>94</v>
      </c>
      <c r="H1182" s="23" t="n">
        <v>10</v>
      </c>
      <c r="I1182" s="23" t="n">
        <v>30</v>
      </c>
      <c r="J1182" s="23" t="inlineStr">
        <is>
          <t>978-5-227-05485-2</t>
        </is>
      </c>
      <c r="K1182" s="23" t="inlineStr">
        <is>
          <t>70x100 1/32</t>
        </is>
      </c>
      <c r="L1182" s="23" t="inlineStr">
        <is>
          <t>мяг</t>
        </is>
      </c>
      <c r="M1182" s="23" t="n">
        <v>158</v>
      </c>
      <c r="N1182" s="23" t="n">
        <v>2014</v>
      </c>
      <c r="O1182" s="23" t="n">
        <v>78</v>
      </c>
      <c r="P1182" s="23" t="n"/>
      <c r="Q1182" s="23" t="n"/>
      <c r="R1182" s="25" t="inlineStr">
        <is>
          <t>Лекси и Ксенон были счастливы, пока их не настигла беда: Лекси потеряла ребенка и вскоре узнала, что больше никогда не сможет иметь детей. Не в силах вынести разочарование и боль мужа, она ушла, решив дать ему свободу. Однако истинную любовь нельзя забыть, да и Ксенон не готов так легко сдаться.</t>
        </is>
      </c>
      <c r="S1182" s="26">
        <f>HYPERLINK("http://www.cnpol.ru/covers/15521.jpg","фото на сайте")</f>
        <v/>
      </c>
    </row>
    <row r="1183" ht="50.1" customHeight="1" s="3">
      <c r="A1183" s="23" t="n"/>
      <c r="B1183" s="24" t="inlineStr">
        <is>
          <t>15708</t>
        </is>
      </c>
      <c r="C1183" s="23" t="inlineStr">
        <is>
          <t>ЛР</t>
        </is>
      </c>
      <c r="D1183" s="23" t="inlineStr">
        <is>
          <t>Крюс К.</t>
        </is>
      </c>
      <c r="E1183" s="23" t="inlineStr">
        <is>
          <t>Жена на замену</t>
        </is>
      </c>
      <c r="F1183" s="23" t="n">
        <v>480</v>
      </c>
      <c r="G1183" s="23" t="n">
        <v>94</v>
      </c>
      <c r="H1183" s="23" t="n">
        <v>10</v>
      </c>
      <c r="I1183" s="23" t="n">
        <v>30</v>
      </c>
      <c r="J1183" s="23" t="inlineStr">
        <is>
          <t>978-5-227-05648-1</t>
        </is>
      </c>
      <c r="K1183" s="23" t="inlineStr">
        <is>
          <t>70x100 1/32</t>
        </is>
      </c>
      <c r="L1183" s="23" t="inlineStr">
        <is>
          <t>мяг</t>
        </is>
      </c>
      <c r="M1183" s="23" t="n">
        <v>158</v>
      </c>
      <c r="N1183" s="23" t="n">
        <v>2014</v>
      </c>
      <c r="O1183" s="23" t="n">
        <v>76</v>
      </c>
      <c r="P1183" s="23" t="n"/>
      <c r="Q1183" s="23" t="n"/>
      <c r="R1183" s="25" t="inlineStr">
        <is>
          <t>Бекке Уитни предложили выдать себя за двоюродную сестру, лежащую в коме. Молодая женщина, не признанная состоятельными родственниками, нуждается в деньгах. Дав согласие, Бекка попадает в мир богатых и знаменитых и... в объятия Тео, ради которого и был разработан хитроумный план.</t>
        </is>
      </c>
      <c r="S1183" s="26">
        <f>HYPERLINK("http://www.cnpol.ru/covers/15708.jpg","фото на сайте")</f>
        <v/>
      </c>
    </row>
    <row r="1184" ht="50.1" customHeight="1" s="3">
      <c r="A1184" s="23" t="n"/>
      <c r="B1184" s="24" t="inlineStr">
        <is>
          <t>16976</t>
        </is>
      </c>
      <c r="C1184" s="23" t="inlineStr">
        <is>
          <t>ЛР</t>
        </is>
      </c>
      <c r="D1184" s="23" t="inlineStr">
        <is>
          <t>Фэй Д.</t>
        </is>
      </c>
      <c r="E1184" s="23" t="inlineStr">
        <is>
          <t>Женатый холостяк</t>
        </is>
      </c>
      <c r="F1184" s="23" t="n">
        <v>646</v>
      </c>
      <c r="G1184" s="23" t="n">
        <v>94</v>
      </c>
      <c r="H1184" s="23" t="n">
        <v>10</v>
      </c>
      <c r="I1184" s="23" t="n">
        <v>30</v>
      </c>
      <c r="J1184" s="23" t="inlineStr">
        <is>
          <t>978-5-227-06860-6</t>
        </is>
      </c>
      <c r="K1184" s="23" t="inlineStr">
        <is>
          <t>70x100 1/32</t>
        </is>
      </c>
      <c r="L1184" s="23" t="inlineStr">
        <is>
          <t>мяг</t>
        </is>
      </c>
      <c r="M1184" s="23" t="n">
        <v>158</v>
      </c>
      <c r="N1184" s="23" t="n">
        <v>2016</v>
      </c>
      <c r="O1184" s="23" t="n">
        <v>76</v>
      </c>
      <c r="P1184" s="23" t="n"/>
      <c r="Q1184" s="23" t="n"/>
      <c r="R1184" s="25" t="inlineStr">
        <is>
          <t>Бывший плейбой Деметриус, став наследным принцем, остепенился. Он занят государственными делами. Он завоевывает доверие народа. Ему удается все, кроме одного — выяснить, почему бывшая жена отказывается подписать документы о разводе…</t>
        </is>
      </c>
      <c r="S1184" s="26">
        <f>HYPERLINK("http://www.cnpol.ru/covers/16976.jpg","фото на сайте")</f>
        <v/>
      </c>
    </row>
    <row r="1185" ht="50.1" customHeight="1" s="3">
      <c r="A1185" s="23" t="n"/>
      <c r="B1185" s="24" t="inlineStr">
        <is>
          <t>19525</t>
        </is>
      </c>
      <c r="C1185" s="23" t="inlineStr">
        <is>
          <t>ЛР</t>
        </is>
      </c>
      <c r="D1185" s="23" t="inlineStr">
        <is>
          <t>Уэст Э.</t>
        </is>
      </c>
      <c r="E1185" s="23" t="inlineStr">
        <is>
          <t>Женись на мне немедленно!</t>
        </is>
      </c>
      <c r="F1185" s="23" t="n">
        <v>1018</v>
      </c>
      <c r="G1185" s="23" t="n">
        <v>94</v>
      </c>
      <c r="H1185" s="23" t="n">
        <v>10</v>
      </c>
      <c r="I1185" s="23" t="n">
        <v>30</v>
      </c>
      <c r="J1185" s="23" t="inlineStr">
        <is>
          <t>978-5-227-09177-2</t>
        </is>
      </c>
      <c r="K1185" s="23" t="inlineStr">
        <is>
          <t>70x100 1/32</t>
        </is>
      </c>
      <c r="L1185" s="23" t="inlineStr">
        <is>
          <t>мяг</t>
        </is>
      </c>
      <c r="M1185" s="23" t="n">
        <v>160</v>
      </c>
      <c r="N1185" s="23" t="n">
        <v>2021</v>
      </c>
      <c r="O1185" s="23" t="n">
        <v>76</v>
      </c>
      <c r="P1185" s="23" t="n"/>
      <c r="Q1185" s="23" t="n"/>
      <c r="R1185" s="25" t="inlineStr">
        <is>
          <t>Греческий магнат Кристо Каридес обнаруживает, что его жена, Эмма Пайпер, на которой он женился по расчету, сбежала прямо с их свадьбы. После долгих поисков Кристо находит ее на уединенной вилле. Он намерен вернуть Эмму, соблазнив ее, но проведенные вместе с ней дни и ночи меняют этого расчетливого бизнесмена, считавшего, что он не способен полюбить.</t>
        </is>
      </c>
      <c r="S1185" s="26">
        <f>HYPERLINK("http://www.cnpol.ru/covers/19525.jpg","фото на сайте")</f>
        <v/>
      </c>
    </row>
    <row r="1186" ht="50.1" customHeight="1" s="3">
      <c r="A1186" s="23" t="n"/>
      <c r="B1186" s="24" t="inlineStr">
        <is>
          <t>17732</t>
        </is>
      </c>
      <c r="C1186" s="23" t="inlineStr">
        <is>
          <t>ЛР</t>
        </is>
      </c>
      <c r="D1186" s="23" t="inlineStr">
        <is>
          <t>Лукас Д.</t>
        </is>
      </c>
      <c r="E1186" s="23" t="inlineStr">
        <is>
          <t>Жениться ради мести</t>
        </is>
      </c>
      <c r="F1186" s="23" t="n">
        <v>759</v>
      </c>
      <c r="G1186" s="23" t="n">
        <v>94</v>
      </c>
      <c r="H1186" s="23" t="n">
        <v>10</v>
      </c>
      <c r="I1186" s="23" t="n">
        <v>30</v>
      </c>
      <c r="J1186" s="23" t="inlineStr">
        <is>
          <t>978-5-227-07721-9</t>
        </is>
      </c>
      <c r="K1186" s="23" t="inlineStr">
        <is>
          <t>70x100 1/32</t>
        </is>
      </c>
      <c r="L1186" s="23" t="inlineStr">
        <is>
          <t>мяг</t>
        </is>
      </c>
      <c r="M1186" s="23" t="n">
        <v>160</v>
      </c>
      <c r="N1186" s="23" t="n">
        <v>2017</v>
      </c>
      <c r="O1186" s="23" t="n">
        <v>76</v>
      </c>
      <c r="P1186" s="23" t="n"/>
      <c r="Q1186" s="23" t="n"/>
      <c r="R1186" s="25" t="inlineStr">
        <is>
          <t>Лейни Генри чуть не попала под колеса роскошного автомобиля, принадлежащего человеку­загадке - миллиардеру Кассиусу Блэку. После знакомства с Кассиусом жизнь Лейни стала напоминать сказку: роскошное платье в подарок, бал, ночь любви и предложение выйти за него замуж. Лейни слишком поздно поняла, для чего Кассиусу нужна жена…</t>
        </is>
      </c>
      <c r="S1186" s="26">
        <f>HYPERLINK("http://www.cnpol.ru/covers/17732.jpg","фото на сайте")</f>
        <v/>
      </c>
    </row>
    <row r="1187" ht="50.1" customHeight="1" s="3">
      <c r="A1187" s="23" t="n"/>
      <c r="B1187" s="24" t="inlineStr">
        <is>
          <t>17610</t>
        </is>
      </c>
      <c r="C1187" s="23" t="inlineStr">
        <is>
          <t>ЛР</t>
        </is>
      </c>
      <c r="D1187" s="23" t="inlineStr">
        <is>
          <t>Хейворд Дженнифер</t>
        </is>
      </c>
      <c r="E1187" s="23" t="inlineStr">
        <is>
          <t>Жених - незнакомец</t>
        </is>
      </c>
      <c r="F1187" s="23" t="n">
        <v>738</v>
      </c>
      <c r="G1187" s="23" t="n">
        <v>94</v>
      </c>
      <c r="H1187" s="23" t="n">
        <v>10</v>
      </c>
      <c r="I1187" s="23" t="n">
        <v>30</v>
      </c>
      <c r="J1187" s="23" t="inlineStr">
        <is>
          <t>978-5-227-07634-2</t>
        </is>
      </c>
      <c r="K1187" s="23" t="inlineStr">
        <is>
          <t>70x100 1/32</t>
        </is>
      </c>
      <c r="L1187" s="23" t="inlineStr">
        <is>
          <t>мяг</t>
        </is>
      </c>
      <c r="M1187" s="23" t="n">
        <v>160</v>
      </c>
      <c r="N1187" s="23" t="n">
        <v>2017</v>
      </c>
      <c r="O1187" s="23" t="n">
        <v>76</v>
      </c>
      <c r="P1187" s="23" t="n"/>
      <c r="Q1187" s="23" t="n"/>
      <c r="R1187" s="25" t="inlineStr">
        <is>
          <t>Чтобы продать доставшееся в наследство кольцо и отдать долги, Мина Мастрантино должна выйти замуж. Жених, выбранный для нее матерью, внушает только страх, поэтому, когда за час до свадьбы на пороге дома появляется красивый незнакомец и предлагает фиктивный брак в обмен на продажу ему кольца, Мина без раздумий дает согласие. Но неожиданно выясняется, что деньги за кольцо она сможет получить только через год.</t>
        </is>
      </c>
      <c r="S1187" s="26">
        <f>HYPERLINK("http://www.cnpol.ru/covers/17610.jpg","фото на сайте")</f>
        <v/>
      </c>
    </row>
    <row r="1188" ht="50.1" customHeight="1" s="3">
      <c r="A1188" s="23" t="n"/>
      <c r="B1188" s="24" t="inlineStr">
        <is>
          <t>17492</t>
        </is>
      </c>
      <c r="C1188" s="23" t="inlineStr">
        <is>
          <t>ЛР</t>
        </is>
      </c>
      <c r="D1188" s="23" t="inlineStr">
        <is>
          <t>Фэй Дж.</t>
        </is>
      </c>
      <c r="E1188" s="23" t="inlineStr">
        <is>
          <t>Женщина с солнечной улыбкой</t>
        </is>
      </c>
      <c r="F1188" s="23" t="n">
        <v>720</v>
      </c>
      <c r="G1188" s="23" t="n">
        <v>94</v>
      </c>
      <c r="H1188" s="23" t="n">
        <v>10</v>
      </c>
      <c r="I1188" s="23" t="n">
        <v>30</v>
      </c>
      <c r="J1188" s="23" t="inlineStr">
        <is>
          <t>978-5-227-07476-8</t>
        </is>
      </c>
      <c r="K1188" s="23" t="inlineStr">
        <is>
          <t>70x100 1/32</t>
        </is>
      </c>
      <c r="L1188" s="23" t="inlineStr">
        <is>
          <t>мяг</t>
        </is>
      </c>
      <c r="M1188" s="23" t="n">
        <v>160</v>
      </c>
      <c r="N1188" s="23" t="n">
        <v>2017</v>
      </c>
      <c r="O1188" s="23" t="n">
        <v>76</v>
      </c>
      <c r="P1188" s="23" t="n"/>
      <c r="Q1188" s="23" t="n"/>
      <c r="R1188" s="25" t="inlineStr">
        <is>
          <t>После страстной ночи в объятиях миллиардера Нико Стравоса горничная София Мур обнаруживает, что беременна. Нико намерен удержать ее любой ценой. Он приглашает Софию в кругосветное путешествие, решив убедить ее стать его женой. Но дело в том, что у Софии есть твердые принципы: она не собирается выходить замуж…</t>
        </is>
      </c>
      <c r="S1188" s="26">
        <f>HYPERLINK("http://www.cnpol.ru/covers/17492.jpg","фото на сайте")</f>
        <v/>
      </c>
    </row>
    <row r="1189" ht="50.1" customHeight="1" s="3">
      <c r="A1189" s="23" t="n"/>
      <c r="B1189" s="24" t="inlineStr">
        <is>
          <t>15547</t>
        </is>
      </c>
      <c r="C1189" s="23" t="inlineStr">
        <is>
          <t>ЛР</t>
        </is>
      </c>
      <c r="D1189" s="23" t="inlineStr">
        <is>
          <t>Джамп Ш.</t>
        </is>
      </c>
      <c r="E1189" s="23" t="inlineStr">
        <is>
          <t>Живи на грани</t>
        </is>
      </c>
      <c r="F1189" s="23" t="n">
        <v>461</v>
      </c>
      <c r="G1189" s="23" t="n">
        <v>94</v>
      </c>
      <c r="H1189" s="23" t="n">
        <v>10</v>
      </c>
      <c r="I1189" s="23" t="n">
        <v>30</v>
      </c>
      <c r="J1189" s="23" t="inlineStr">
        <is>
          <t>978-5-227-05609-2</t>
        </is>
      </c>
      <c r="K1189" s="23" t="inlineStr">
        <is>
          <t>70x100 1/32</t>
        </is>
      </c>
      <c r="L1189" s="23" t="inlineStr">
        <is>
          <t>мяг</t>
        </is>
      </c>
      <c r="M1189" s="23" t="n">
        <v>158</v>
      </c>
      <c r="N1189" s="23" t="n">
        <v>2014</v>
      </c>
      <c r="O1189" s="23" t="n">
        <v>76</v>
      </c>
      <c r="P1189" s="23" t="n"/>
      <c r="Q1189" s="23" t="n"/>
      <c r="R1189" s="25" t="inlineStr">
        <is>
          <t>Что делать, если на смену былой супружеской любви пришли скандалы и упреки? Эмили Уотсон наконец­то признала, что у них с мужем серьезные проблемы. Больше всего на свете ей хочется наладить отношения, но, сколько бы она ни пыталась, ничего не меняется, и в конце концов она все­таки решается уйти...</t>
        </is>
      </c>
      <c r="S1189" s="26">
        <f>HYPERLINK("http://www.cnpol.ru/covers/15547.jpg","фото на сайте")</f>
        <v/>
      </c>
    </row>
    <row r="1190" ht="50.1" customHeight="1" s="3">
      <c r="A1190" s="23" t="n"/>
      <c r="B1190" s="24" t="inlineStr">
        <is>
          <t>20161</t>
        </is>
      </c>
      <c r="C1190" s="23" t="inlineStr">
        <is>
          <t>ЛР</t>
        </is>
      </c>
      <c r="D1190" s="23" t="inlineStr">
        <is>
          <t>Кендрик Ш.</t>
        </is>
      </c>
      <c r="E1190" s="23" t="inlineStr">
        <is>
          <t>Жить лишь тобой</t>
        </is>
      </c>
      <c r="F1190" s="23" t="n">
        <v>1087</v>
      </c>
      <c r="G1190" s="23" t="n">
        <v>94</v>
      </c>
      <c r="H1190" s="23" t="n">
        <v>10</v>
      </c>
      <c r="I1190" s="23" t="n">
        <v>30</v>
      </c>
      <c r="J1190" s="23" t="inlineStr">
        <is>
          <t>978-5-227-09671-5</t>
        </is>
      </c>
      <c r="K1190" s="23" t="inlineStr">
        <is>
          <t>70x100 1/32</t>
        </is>
      </c>
      <c r="L1190" s="23" t="inlineStr">
        <is>
          <t>мяг</t>
        </is>
      </c>
      <c r="M1190" s="23" t="n">
        <v>159</v>
      </c>
      <c r="N1190" s="23" t="n">
        <v>2022</v>
      </c>
      <c r="O1190" s="23" t="n">
        <v>76</v>
      </c>
      <c r="P1190" s="23" t="n"/>
      <c r="Q1190" s="23" t="n"/>
      <c r="R1190" s="25" t="inlineStr">
        <is>
          <t>Тара Фицпатрик шесть лет работает экономкой в доме миллиардера Лукаса Конвея. Лукас ценит и уважает свою помощницу, однако совсем не видит в ней женщину… до тех пор, пока Тара не принимает решение уйти. Лукас приглашает девушку на деловое свидание, которое непредсказуемым образом заканчивается поцелуем. Наутро Лукас уезжает из Дублина, не зная, что единственная ночь страсти изменила его судьбу навсегда…</t>
        </is>
      </c>
      <c r="S1190" s="26">
        <f>HYPERLINK("http://www.cnpol.ru/covers/20161.jpg","фото на сайте")</f>
        <v/>
      </c>
    </row>
    <row r="1191" ht="50.1" customHeight="1" s="3">
      <c r="A1191" s="23" t="n"/>
      <c r="B1191" s="24" t="inlineStr">
        <is>
          <t>17208</t>
        </is>
      </c>
      <c r="C1191" s="23" t="inlineStr">
        <is>
          <t>ЛР</t>
        </is>
      </c>
      <c r="D1191" s="23" t="inlineStr">
        <is>
          <t>Пэмми Т.</t>
        </is>
      </c>
      <c r="E1191" s="23" t="inlineStr">
        <is>
          <t>Жить настоящим</t>
        </is>
      </c>
      <c r="F1191" s="23" t="n">
        <v>679</v>
      </c>
      <c r="G1191" s="23" t="n">
        <v>94</v>
      </c>
      <c r="H1191" s="23" t="n">
        <v>10</v>
      </c>
      <c r="I1191" s="23" t="n">
        <v>30</v>
      </c>
      <c r="J1191" s="23" t="inlineStr">
        <is>
          <t>978-5-227-07207-8</t>
        </is>
      </c>
      <c r="K1191" s="23" t="inlineStr">
        <is>
          <t>70x100 1/32</t>
        </is>
      </c>
      <c r="L1191" s="23" t="inlineStr">
        <is>
          <t>мяг</t>
        </is>
      </c>
      <c r="M1191" s="23" t="n">
        <v>160</v>
      </c>
      <c r="N1191" s="23" t="n">
        <v>2016</v>
      </c>
      <c r="O1191" s="23" t="n">
        <v>76</v>
      </c>
      <c r="P1191" s="23" t="n"/>
      <c r="Q1191" s="23" t="n"/>
      <c r="R1191" s="25" t="inlineStr">
        <is>
          <t>Принц Азиз натворил много бед. Из­за его безрассудства погибла сестра, был ранен брат, а сам он много лет скрывался в пустыне. Помочь Азизу может только Нихат, которую он когда­то любил и которая, как он считал, бросила его ради карьеры врача.</t>
        </is>
      </c>
      <c r="S1191" s="26">
        <f>HYPERLINK("http://www.cnpol.ru/covers/17208.jpg","фото на сайте")</f>
        <v/>
      </c>
    </row>
    <row r="1192" ht="50.1" customHeight="1" s="3">
      <c r="A1192" s="23" t="inlineStr">
        <is>
          <t>Н</t>
        </is>
      </c>
      <c r="B1192" s="24" t="inlineStr">
        <is>
          <t>21235</t>
        </is>
      </c>
      <c r="C1192" s="23" t="inlineStr">
        <is>
          <t>ЛР</t>
        </is>
      </c>
      <c r="D1192" s="23" t="inlineStr">
        <is>
          <t>Маринелли К.</t>
        </is>
      </c>
      <c r="E1192" s="23" t="inlineStr">
        <is>
          <t>Жить только тобой</t>
        </is>
      </c>
      <c r="F1192" s="23" t="n">
        <v>1179</v>
      </c>
      <c r="G1192" s="23" t="n">
        <v>94</v>
      </c>
      <c r="H1192" s="23" t="n">
        <v>10</v>
      </c>
      <c r="I1192" s="23" t="n">
        <v>30</v>
      </c>
      <c r="J1192" s="23" t="inlineStr">
        <is>
          <t>978-5-227-10519-6</t>
        </is>
      </c>
      <c r="K1192" s="23" t="inlineStr">
        <is>
          <t>70x100 1/32</t>
        </is>
      </c>
      <c r="L1192" s="23" t="inlineStr">
        <is>
          <t>мяг</t>
        </is>
      </c>
      <c r="M1192" s="23" t="n">
        <v>159</v>
      </c>
      <c r="N1192" s="23" t="n">
        <v>2024</v>
      </c>
      <c r="O1192" s="23" t="n">
        <v>76</v>
      </c>
      <c r="P1192" s="23" t="n"/>
      <c r="Q1192" s="23" t="n"/>
      <c r="R1192" s="25" t="inlineStr">
        <is>
          <t>Эмили — стеснительная и скромная девушка, у которой в один момент рушится жизнь. Благодаря подруге у нее появляется возможность снова заняться любимым делом — фотографией, а кроме того, съездить в Херес, в Испанию, чтобы сделать сайт для винной лавки семьи Ромеро. Подруга сразу предупреждает Эмили, что братья Ромеро — красавцы и с ними нужно быть осторожнее...</t>
        </is>
      </c>
      <c r="S1192" s="26">
        <f>HYPERLINK("http://www.cnpol.ru/covers/21235.jpg","фото на сайте")</f>
        <v/>
      </c>
    </row>
    <row r="1193" ht="50.1" customHeight="1" s="3">
      <c r="A1193" s="23" t="n"/>
      <c r="B1193" s="24" t="inlineStr">
        <is>
          <t>17984</t>
        </is>
      </c>
      <c r="C1193" s="23" t="inlineStr">
        <is>
          <t>ЛР</t>
        </is>
      </c>
      <c r="D1193" s="23" t="inlineStr">
        <is>
          <t>Леннокс М.</t>
        </is>
      </c>
      <c r="E1193" s="23" t="inlineStr">
        <is>
          <t>За ним на край света</t>
        </is>
      </c>
      <c r="F1193" s="23" t="n">
        <v>792</v>
      </c>
      <c r="G1193" s="23" t="n">
        <v>94</v>
      </c>
      <c r="H1193" s="23" t="n">
        <v>10</v>
      </c>
      <c r="I1193" s="23" t="n">
        <v>30</v>
      </c>
      <c r="J1193" s="23" t="inlineStr">
        <is>
          <t>978-5-227-08018-9</t>
        </is>
      </c>
      <c r="K1193" s="23" t="inlineStr">
        <is>
          <t>70x100 1/32</t>
        </is>
      </c>
      <c r="L1193" s="23" t="inlineStr">
        <is>
          <t>мяг</t>
        </is>
      </c>
      <c r="M1193" s="23" t="n">
        <v>160</v>
      </c>
      <c r="N1193" s="23" t="n">
        <v>2018</v>
      </c>
      <c r="O1193" s="23" t="n">
        <v>76</v>
      </c>
      <c r="P1193" s="23" t="n"/>
      <c r="Q1193" s="23" t="n"/>
      <c r="R1193" s="25" t="inlineStr">
        <is>
          <t>Зачем дочери одного из самых богатых людей в Австралии отправляться в глушь подальше от светского общества, нарядов, балов, чтобы погрузиться в самую грязную и тяжелую работу? Какие демоны гнали девушку? Казалось бы, у нее есть все, чтобы радоваться жизни. Однако быть счастливой — целая наука, и, похоже, Пенелопа даже не начинала ее постигать, а рядом не оказалось никого, кто бы помог девушке, кому было бы не все равно, что с ней происходит. И все же она встретила своего рыцаря, правда, он был не на белом, а на черном коне, и не в сверкающих доспехах, а в обычном костюме фермера. Остается только понять, нужны ли они друг другу…</t>
        </is>
      </c>
      <c r="S1193" s="26">
        <f>HYPERLINK("http://www.cnpol.ru/covers/17984.jpg","фото на сайте")</f>
        <v/>
      </c>
    </row>
    <row r="1194" ht="50.1" customHeight="1" s="3">
      <c r="A1194" s="23" t="n"/>
      <c r="B1194" s="24" t="inlineStr">
        <is>
          <t>19615</t>
        </is>
      </c>
      <c r="C1194" s="23" t="inlineStr">
        <is>
          <t>ЛР</t>
        </is>
      </c>
      <c r="D1194" s="23" t="inlineStr">
        <is>
          <t>Де Пало А.</t>
        </is>
      </c>
      <c r="E1194" s="23" t="inlineStr">
        <is>
          <t>Забытая ночь</t>
        </is>
      </c>
      <c r="F1194" s="23" t="n">
        <v>1031</v>
      </c>
      <c r="G1194" s="23" t="n">
        <v>94</v>
      </c>
      <c r="H1194" s="23" t="n">
        <v>10</v>
      </c>
      <c r="I1194" s="23" t="n">
        <v>30</v>
      </c>
      <c r="J1194" s="23" t="inlineStr">
        <is>
          <t>978-5-227-09275-5</t>
        </is>
      </c>
      <c r="K1194" s="23" t="inlineStr">
        <is>
          <t>70x100 1/32</t>
        </is>
      </c>
      <c r="L1194" s="23" t="inlineStr">
        <is>
          <t>мяг</t>
        </is>
      </c>
      <c r="M1194" s="23" t="n">
        <v>160</v>
      </c>
      <c r="N1194" s="23" t="n">
        <v>2021</v>
      </c>
      <c r="O1194" s="23" t="n">
        <v>76</v>
      </c>
      <c r="P1194" s="23" t="n"/>
      <c r="Q1194" s="23" t="n"/>
      <c r="R1194" s="25" t="inlineStr">
        <is>
          <t>Серафима Перини, талантливый физиотерапевт, уже однажды обожглась, став жертвой обаяния непорядочного мужчины. И она поклялась себе, что больше с ней такого не случится. Но как противостоять Джордану Серенгетти, прославленному хоккеисту, с его неповторимым шармом, перед которым не может устоять ни одна женщина?</t>
        </is>
      </c>
      <c r="S1194" s="26">
        <f>HYPERLINK("http://www.cnpol.ru/covers/19615.jpg","фото на сайте")</f>
        <v/>
      </c>
    </row>
    <row r="1195" ht="50.1" customHeight="1" s="3">
      <c r="A1195" s="23" t="n"/>
      <c r="B1195" s="24" t="inlineStr">
        <is>
          <t>16822</t>
        </is>
      </c>
      <c r="C1195" s="23" t="inlineStr">
        <is>
          <t>ЛР</t>
        </is>
      </c>
      <c r="D1195" s="23" t="inlineStr">
        <is>
          <t>Шоу Ш.</t>
        </is>
      </c>
      <c r="E1195" s="23" t="inlineStr">
        <is>
          <t>Заветная победа</t>
        </is>
      </c>
      <c r="F1195" s="23" t="n">
        <v>627</v>
      </c>
      <c r="G1195" s="23" t="n">
        <v>94</v>
      </c>
      <c r="H1195" s="23" t="n">
        <v>10</v>
      </c>
      <c r="I1195" s="23" t="n">
        <v>30</v>
      </c>
      <c r="J1195" s="23" t="inlineStr">
        <is>
          <t>978-5-227-06788-3</t>
        </is>
      </c>
      <c r="K1195" s="23" t="inlineStr">
        <is>
          <t>70x90 1/32</t>
        </is>
      </c>
      <c r="L1195" s="23" t="inlineStr">
        <is>
          <t>мяг</t>
        </is>
      </c>
      <c r="M1195" s="23" t="n">
        <v>160</v>
      </c>
      <c r="N1195" s="23" t="n">
        <v>2016</v>
      </c>
      <c r="O1195" s="23" t="n">
        <v>76</v>
      </c>
      <c r="P1195" s="23" t="n"/>
      <c r="Q1195" s="23" t="n"/>
      <c r="R1195" s="25" t="inlineStr">
        <is>
          <t>Шейх Кадир, обольстительный сердцеед и любитель женщин, перед свадьбой с юной принцессой клянется ей в верности. Но путешествуя в Англию, он попадает в кораблекрушение. Его спасает самоуверенная и решительная Лекси-пилот, профессионал своего дела. Она живет исключительно работой и не помышляет о романе с шейхом. Знакомство друг с другом меняет их мировосприятие — Кадир теряет привычный самоконтроль, а Лекси поддается сильной страсти. Их обоих тянет друг к другу неудержимо, но шейх не может нарушить клятву, данную молодой принцессе…</t>
        </is>
      </c>
      <c r="S1195" s="26">
        <f>HYPERLINK("http://www.cnpol.ru/covers/16822.jpg","фото на сайте")</f>
        <v/>
      </c>
    </row>
    <row r="1196" ht="50.1" customHeight="1" s="3">
      <c r="A1196" s="23" t="n"/>
      <c r="B1196" s="24" t="inlineStr">
        <is>
          <t>18648</t>
        </is>
      </c>
      <c r="C1196" s="23" t="inlineStr">
        <is>
          <t>ЛР</t>
        </is>
      </c>
      <c r="D1196" s="23" t="inlineStr">
        <is>
          <t>Дуглас М.</t>
        </is>
      </c>
      <c r="E1196" s="23" t="inlineStr">
        <is>
          <t>Завоевать его сердце дважды</t>
        </is>
      </c>
      <c r="F1196" s="23" t="n">
        <v>891</v>
      </c>
      <c r="G1196" s="23" t="n">
        <v>94</v>
      </c>
      <c r="H1196" s="23" t="n">
        <v>10</v>
      </c>
      <c r="I1196" s="23" t="n">
        <v>30</v>
      </c>
      <c r="J1196" s="23" t="inlineStr">
        <is>
          <t>978-5-227-08544-3</t>
        </is>
      </c>
      <c r="K1196" s="23" t="inlineStr">
        <is>
          <t>70x100 1/32</t>
        </is>
      </c>
      <c r="L1196" s="23" t="inlineStr">
        <is>
          <t>мяг</t>
        </is>
      </c>
      <c r="M1196" s="23" t="n">
        <v>160</v>
      </c>
      <c r="N1196" s="23" t="n">
        <v>2019</v>
      </c>
      <c r="O1196" s="23" t="n">
        <v>78</v>
      </c>
      <c r="P1196" s="23" t="n"/>
      <c r="Q1196" s="23" t="n"/>
      <c r="R1196" s="25" t="inlineStr">
        <is>
          <t>У очаровательной светской львицы Софи Митчелл и закоренелого красавца-холостяка Уилла Патерсона много общего, однако есть одно обстоятельство, из-за которого они никогда, даже если бы очень этого захотели, не смогут быть вместе…</t>
        </is>
      </c>
      <c r="S1196" s="26">
        <f>HYPERLINK("http://www.cnpol.ru/covers/18648.jpg","фото на сайте")</f>
        <v/>
      </c>
    </row>
    <row r="1197" ht="50.1" customHeight="1" s="3">
      <c r="A1197" s="23" t="n"/>
      <c r="B1197" s="24" t="inlineStr">
        <is>
          <t>20499</t>
        </is>
      </c>
      <c r="C1197" s="23" t="inlineStr">
        <is>
          <t>ЛР</t>
        </is>
      </c>
      <c r="D1197" s="23" t="inlineStr">
        <is>
          <t>Линдсей И.</t>
        </is>
      </c>
      <c r="E1197" s="23" t="inlineStr">
        <is>
          <t>Завоевать жену у алтаря</t>
        </is>
      </c>
      <c r="F1197" s="23" t="n">
        <v>1122</v>
      </c>
      <c r="G1197" s="23" t="n">
        <v>94</v>
      </c>
      <c r="H1197" s="23" t="n">
        <v>10</v>
      </c>
      <c r="I1197" s="23" t="n">
        <v>30</v>
      </c>
      <c r="J1197" s="23" t="inlineStr">
        <is>
          <t>978-5-227-10192-1</t>
        </is>
      </c>
      <c r="K1197" s="23" t="inlineStr">
        <is>
          <t>70x100 1/32</t>
        </is>
      </c>
      <c r="L1197" s="23" t="inlineStr">
        <is>
          <t>мяг</t>
        </is>
      </c>
      <c r="M1197" s="23" t="n">
        <v>159</v>
      </c>
      <c r="N1197" s="23" t="n">
        <v>2023</v>
      </c>
      <c r="O1197" s="23" t="n">
        <v>78</v>
      </c>
      <c r="P1197" s="23" t="n"/>
      <c r="Q1197" s="23" t="n"/>
      <c r="R1197" s="25" t="inlineStr">
        <is>
          <t>Гэбриел Каррингтон, владелец ранчо, пережив несчастную любовь, хочет найти себе жену с помощью агентства и построить брак исключительно на деловой основе. Ведь жена нужна ему для того, чтобы родить наследника. На одном из приемов в местном клубе Гэйб знакомится с Розалиндой Бэнкс, дизайнером модной одежды. Они проводят ночь и расстаются. Спустя пять недель Розалинда сообщает, что беременна. Гэбриел тут же предлагает ей выйти за него замуж…</t>
        </is>
      </c>
      <c r="S1197" s="26">
        <f>HYPERLINK("http://www.cnpol.ru/covers/20499.jpg","фото на сайте")</f>
        <v/>
      </c>
    </row>
    <row r="1198" ht="50.1" customHeight="1" s="3">
      <c r="A1198" s="23" t="n"/>
      <c r="B1198" s="24" t="inlineStr">
        <is>
          <t>17952</t>
        </is>
      </c>
      <c r="C1198" s="23" t="inlineStr">
        <is>
          <t>ЛР</t>
        </is>
      </c>
      <c r="D1198" s="23" t="inlineStr">
        <is>
          <t>Фрэнсис Б.</t>
        </is>
      </c>
      <c r="E1198" s="23" t="inlineStr">
        <is>
          <t>Завоюй меня снова</t>
        </is>
      </c>
      <c r="F1198" s="23" t="n">
        <v>789</v>
      </c>
      <c r="G1198" s="23" t="n">
        <v>94</v>
      </c>
      <c r="H1198" s="23" t="n">
        <v>10</v>
      </c>
      <c r="I1198" s="23" t="n">
        <v>30</v>
      </c>
      <c r="J1198" s="23" t="inlineStr">
        <is>
          <t>978-5-227-07995-4</t>
        </is>
      </c>
      <c r="K1198" s="23" t="inlineStr">
        <is>
          <t>70x100 1/32</t>
        </is>
      </c>
      <c r="L1198" s="23" t="inlineStr">
        <is>
          <t>мяг</t>
        </is>
      </c>
      <c r="M1198" s="23" t="n">
        <v>160</v>
      </c>
      <c r="N1198" s="23" t="n">
        <v>2018</v>
      </c>
      <c r="O1198" s="23" t="n">
        <v>76</v>
      </c>
      <c r="P1198" s="23" t="n"/>
      <c r="Q1198" s="23" t="n"/>
      <c r="R1198" s="25" t="n"/>
      <c r="S1198" s="26">
        <f>HYPERLINK("http://www.cnpol.ru/covers/17952.jpg","фото на сайте")</f>
        <v/>
      </c>
    </row>
    <row r="1199" ht="50.1" customHeight="1" s="3">
      <c r="A1199" s="23" t="n"/>
      <c r="B1199" s="24" t="inlineStr">
        <is>
          <t>17521</t>
        </is>
      </c>
      <c r="C1199" s="23" t="inlineStr">
        <is>
          <t>ЛР</t>
        </is>
      </c>
      <c r="D1199" s="23" t="inlineStr">
        <is>
          <t>Милберн М.</t>
        </is>
      </c>
      <c r="E1199" s="23" t="inlineStr">
        <is>
          <t>Загадка ее чар</t>
        </is>
      </c>
      <c r="F1199" s="23" t="n">
        <v>724</v>
      </c>
      <c r="G1199" s="23" t="n">
        <v>94</v>
      </c>
      <c r="H1199" s="23" t="n">
        <v>10</v>
      </c>
      <c r="I1199" s="23" t="n">
        <v>30</v>
      </c>
      <c r="J1199" s="23" t="inlineStr">
        <is>
          <t>978-5-227-07578-9</t>
        </is>
      </c>
      <c r="K1199" s="23" t="inlineStr">
        <is>
          <t>70x100 1/32</t>
        </is>
      </c>
      <c r="L1199" s="23" t="inlineStr">
        <is>
          <t>мяг</t>
        </is>
      </c>
      <c r="M1199" s="23" t="n">
        <v>160</v>
      </c>
      <c r="N1199" s="23" t="n">
        <v>2017</v>
      </c>
      <c r="O1199" s="23" t="n">
        <v>76</v>
      </c>
      <c r="P1199" s="23" t="n"/>
      <c r="Q1199" s="23" t="n"/>
      <c r="R1199" s="25" t="inlineStr">
        <is>
          <t>Красивая, яркая и независимая Мод Уинвуд с детства мечтает стать актрисой. Она ведет размеренный и спокойный образ жизни, упорно трудится, не забывая о своей мечте. Мать Мод перед смертью сообщает дочери, что ее отец — знаменитый актер Ричард Равенсдейл, который хочет, чтобы она вошла в его семью. Но своенравная и гордая Мод не любит играть по чужим правилам. И даже когда ее отец присылает своего адвоката Флинна, обаятельного и самоуверенного красавца, Мод не изменяет себе. Флинну, за плечами которого  уже есть опыт неудачных отношений, сразу же понравилась Мод, но он не собирается смешивать работу и личную жизнь. Единственное, что его волнует, — просьба Ричарда. Флинн уверен, что сможет использовать все свое мастерство и переубедить Мод. Но с каждым днем общение с ней все больше угрожает его профессиональной репутации, ведь притяжение, которое он испытывает к эксцентричной красавице, начинает мешать работе…</t>
        </is>
      </c>
      <c r="S1199" s="26">
        <f>HYPERLINK("http://www.cnpol.ru/covers/17521.jpg","фото на сайте")</f>
        <v/>
      </c>
    </row>
    <row r="1200" ht="50.1" customHeight="1" s="3">
      <c r="A1200" s="23" t="n"/>
      <c r="B1200" s="24" t="inlineStr">
        <is>
          <t>19904</t>
        </is>
      </c>
      <c r="C1200" s="23" t="inlineStr">
        <is>
          <t>ЛР</t>
        </is>
      </c>
      <c r="D1200" s="23" t="inlineStr">
        <is>
          <t>Шилд К.</t>
        </is>
      </c>
      <c r="E1200" s="23" t="inlineStr">
        <is>
          <t>Загляни в свое сердце</t>
        </is>
      </c>
      <c r="F1200" s="23" t="n">
        <v>1062</v>
      </c>
      <c r="G1200" s="23" t="n">
        <v>94</v>
      </c>
      <c r="H1200" s="23" t="n">
        <v>10</v>
      </c>
      <c r="I1200" s="23" t="n">
        <v>30</v>
      </c>
      <c r="J1200" s="23" t="inlineStr">
        <is>
          <t>978-5-227-09502-2</t>
        </is>
      </c>
      <c r="K1200" s="23" t="inlineStr">
        <is>
          <t>70x100 1/32</t>
        </is>
      </c>
      <c r="L1200" s="23" t="inlineStr">
        <is>
          <t>мяг</t>
        </is>
      </c>
      <c r="M1200" s="23" t="n">
        <v>159</v>
      </c>
      <c r="N1200" s="23" t="n">
        <v>2021</v>
      </c>
      <c r="O1200" s="23" t="n">
        <v>76</v>
      </c>
      <c r="P1200" s="23" t="n"/>
      <c r="Q1200" s="23" t="n"/>
      <c r="R1200" s="25" t="inlineStr">
        <is>
          <t>Нуждаясь в финансовой поддержке, Харли Уингейт возвращается в родной город. На благотворительном мероприятии Харли неожиданно сталкивается с Грантом Эвереттом — человеком, который пять лет назад разбил ей сердце, — и обнаруживает, что их влечение друг к другу никуда не исчезло. Грант не желает иметь с Харли ничего общего, пока внезапно она не сообщает ему, что у них есть сын.</t>
        </is>
      </c>
      <c r="S1200" s="26">
        <f>HYPERLINK("http://www.cnpol.ru/covers/19904.jpg","фото на сайте")</f>
        <v/>
      </c>
    </row>
    <row r="1201" ht="50.1" customHeight="1" s="3">
      <c r="A1201" s="23" t="n"/>
      <c r="B1201" s="24" t="inlineStr">
        <is>
          <t>20210</t>
        </is>
      </c>
      <c r="C1201" s="23" t="inlineStr">
        <is>
          <t>ЛР</t>
        </is>
      </c>
      <c r="D1201" s="23" t="inlineStr">
        <is>
          <t>Хьюит К.</t>
        </is>
      </c>
      <c r="E1201" s="23" t="inlineStr">
        <is>
          <t>Заговор двух сердец</t>
        </is>
      </c>
      <c r="F1201" s="23" t="n">
        <v>1090</v>
      </c>
      <c r="G1201" s="23" t="n">
        <v>94</v>
      </c>
      <c r="H1201" s="23" t="n">
        <v>10</v>
      </c>
      <c r="I1201" s="23" t="n">
        <v>30</v>
      </c>
      <c r="J1201" s="23" t="inlineStr">
        <is>
          <t>978-5-227-09690-6</t>
        </is>
      </c>
      <c r="K1201" s="23" t="inlineStr">
        <is>
          <t>70x100 1/32</t>
        </is>
      </c>
      <c r="L1201" s="23" t="inlineStr">
        <is>
          <t>мяг</t>
        </is>
      </c>
      <c r="M1201" s="23" t="n">
        <v>159</v>
      </c>
      <c r="N1201" s="23" t="n">
        <v>2022</v>
      </c>
      <c r="O1201" s="23" t="n">
        <v>76</v>
      </c>
      <c r="P1201" s="23" t="n"/>
      <c r="Q1201" s="23" t="n"/>
      <c r="R1201" s="25" t="inlineStr">
        <is>
          <t>При первой встрече Фаусто счел Лизу «невзрачной и утомительной». Но очень скоро его мнение о ней изменилось. Однако его фамильная гордость и предубеждения не позволяли ему даже думать о том, чтобы вступить в отношения с девушкой из неравной ему семьи…</t>
        </is>
      </c>
      <c r="S1201" s="26">
        <f>HYPERLINK("http://www.cnpol.ru/covers/20210.jpg","фото на сайте")</f>
        <v/>
      </c>
    </row>
    <row r="1202" ht="50.1" customHeight="1" s="3">
      <c r="A1202" s="23" t="n"/>
      <c r="B1202" s="24" t="inlineStr">
        <is>
          <t>19191</t>
        </is>
      </c>
      <c r="C1202" s="23" t="inlineStr">
        <is>
          <t>ЛР</t>
        </is>
      </c>
      <c r="D1202" s="23" t="inlineStr">
        <is>
          <t>Портер Д.</t>
        </is>
      </c>
      <c r="E1202" s="23" t="inlineStr">
        <is>
          <t>Заманчивая свадебная клятва</t>
        </is>
      </c>
      <c r="F1202" s="23" t="n">
        <v>981</v>
      </c>
      <c r="G1202" s="23" t="n">
        <v>94</v>
      </c>
      <c r="H1202" s="23" t="n">
        <v>10</v>
      </c>
      <c r="I1202" s="23" t="n">
        <v>30</v>
      </c>
      <c r="J1202" s="23" t="inlineStr">
        <is>
          <t>978-5-227-09030-0</t>
        </is>
      </c>
      <c r="K1202" s="23" t="inlineStr">
        <is>
          <t>70x100 1/32</t>
        </is>
      </c>
      <c r="L1202" s="23" t="inlineStr">
        <is>
          <t>мяг</t>
        </is>
      </c>
      <c r="M1202" s="23" t="n">
        <v>160</v>
      </c>
      <c r="N1202" s="23" t="n">
        <v>2020</v>
      </c>
      <c r="O1202" s="23" t="n">
        <v>76</v>
      </c>
      <c r="P1202" s="23" t="n"/>
      <c r="Q1202" s="23" t="n"/>
      <c r="R1202" s="25" t="inlineStr">
        <is>
          <t>Джозефин Робб всегда любила уединение и чувствовала себя счастливой только на родном острове Кронос. Но тихой и спокойной жизни пришел конец, когда к ее острову приплыла шикарная яхта, на борту которой развлекались богатые люди. Однажды вечером девушка услышала шум и увидела, как за борт упал мужчина. Ей не оставалось ничего другого, как кинуться в воду спасать его. Но она даже не представляла, насколько изменится ее жизнь после этого события…</t>
        </is>
      </c>
      <c r="S1202" s="26">
        <f>HYPERLINK("http://www.cnpol.ru/covers/19191.jpg","фото на сайте")</f>
        <v/>
      </c>
    </row>
    <row r="1203" ht="50.1" customHeight="1" s="3">
      <c r="A1203" s="23" t="n"/>
      <c r="B1203" s="24" t="inlineStr">
        <is>
          <t>18410</t>
        </is>
      </c>
      <c r="C1203" s="23" t="inlineStr">
        <is>
          <t>ЛР</t>
        </is>
      </c>
      <c r="D1203" s="23" t="inlineStr">
        <is>
          <t>Уильямс А.</t>
        </is>
      </c>
      <c r="E1203" s="23" t="inlineStr">
        <is>
          <t>Заманчивое наказание</t>
        </is>
      </c>
      <c r="F1203" s="23" t="n">
        <v>853</v>
      </c>
      <c r="G1203" s="23" t="n">
        <v>94</v>
      </c>
      <c r="H1203" s="23" t="n">
        <v>10</v>
      </c>
      <c r="I1203" s="23" t="n">
        <v>30</v>
      </c>
      <c r="J1203" s="23" t="inlineStr">
        <is>
          <t>978-5-227-08358-6</t>
        </is>
      </c>
      <c r="K1203" s="23" t="inlineStr">
        <is>
          <t>70x100 1/32</t>
        </is>
      </c>
      <c r="L1203" s="23" t="inlineStr">
        <is>
          <t>мяг</t>
        </is>
      </c>
      <c r="M1203" s="23" t="n">
        <v>160</v>
      </c>
      <c r="N1203" s="23" t="n">
        <v>2018</v>
      </c>
      <c r="O1203" s="23" t="n">
        <v>76</v>
      </c>
      <c r="P1203" s="23" t="n"/>
      <c r="Q1203" s="23" t="n"/>
      <c r="R1203" s="25" t="inlineStr">
        <is>
          <t>Софи Уоттс повредила дорогой автомобиль своего заклятого врага, миллиардера Матиаса Риверо, и не знает, как расплатиться с ним. Он предлагает ей довольно необычный способ вернуть долг: поработать поваром на его пышной вечеринке. Софи не сразу понимает, в чем подвох…</t>
        </is>
      </c>
      <c r="S1203" s="26">
        <f>HYPERLINK("http://www.cnpol.ru/covers/18410.jpg","фото на сайте")</f>
        <v/>
      </c>
    </row>
    <row r="1204" ht="50.1" customHeight="1" s="3">
      <c r="A1204" s="23" t="n"/>
      <c r="B1204" s="24" t="inlineStr">
        <is>
          <t>17114</t>
        </is>
      </c>
      <c r="C1204" s="23" t="inlineStr">
        <is>
          <t>ЛР</t>
        </is>
      </c>
      <c r="D1204" s="23" t="inlineStr">
        <is>
          <t>Паркер В.</t>
        </is>
      </c>
      <c r="E1204" s="23" t="inlineStr">
        <is>
          <t>Заменить тобой весь мир</t>
        </is>
      </c>
      <c r="F1204" s="23" t="n">
        <v>664</v>
      </c>
      <c r="G1204" s="23" t="n">
        <v>94</v>
      </c>
      <c r="H1204" s="23" t="n">
        <v>10</v>
      </c>
      <c r="I1204" s="23" t="n">
        <v>30</v>
      </c>
      <c r="J1204" s="23" t="inlineStr">
        <is>
          <t>978-5-227-07073-9</t>
        </is>
      </c>
      <c r="K1204" s="23" t="inlineStr">
        <is>
          <t>70x100 1/32</t>
        </is>
      </c>
      <c r="L1204" s="23" t="inlineStr">
        <is>
          <t>мяг</t>
        </is>
      </c>
      <c r="M1204" s="23" t="n">
        <v>160</v>
      </c>
      <c r="N1204" s="23" t="n">
        <v>2016</v>
      </c>
      <c r="O1204" s="23" t="n">
        <v>76</v>
      </c>
      <c r="P1204" s="23" t="n"/>
      <c r="Q1204" s="23" t="n"/>
      <c r="R1204" s="25" t="inlineStr">
        <is>
          <t>Когда король поручил вернуть Лукасу Гарсии свою непокорную дочь домой, тот подумал, что его ждет очередная рутинная работа. Его заблуждение длилось ровно до того момента, пока он не встретил строптивую принцессу Клаудию Верболт, не желавшую возвра­щаться в страну, из которой ее когда­то изгнали. Лукаса и Клаудию неудержимо потянуло друг к другу, даже несмотря на то, что за проведенные вдали от дома годы принцесса обрела независимость и ­стала бесконечно далека от предписанной ей роли. Вот только ­Лукас не тот человек, которому можно перечить…</t>
        </is>
      </c>
      <c r="S1204" s="26">
        <f>HYPERLINK("http://www.cnpol.ru/covers/17114.jpg","фото на сайте")</f>
        <v/>
      </c>
    </row>
    <row r="1205" ht="50.1" customHeight="1" s="3">
      <c r="A1205" s="23" t="n"/>
      <c r="B1205" s="24" t="inlineStr">
        <is>
          <t>16651</t>
        </is>
      </c>
      <c r="C1205" s="23" t="inlineStr">
        <is>
          <t>ЛР</t>
        </is>
      </c>
      <c r="D1205" s="23" t="inlineStr">
        <is>
          <t>Андерсон И.</t>
        </is>
      </c>
      <c r="E1205" s="23" t="inlineStr">
        <is>
          <t>Замуж за лучшего друга</t>
        </is>
      </c>
      <c r="F1205" s="23" t="n">
        <v>604</v>
      </c>
      <c r="G1205" s="23" t="n">
        <v>94</v>
      </c>
      <c r="H1205" s="23" t="n">
        <v>10</v>
      </c>
      <c r="I1205" s="23" t="n">
        <v>30</v>
      </c>
      <c r="J1205" s="23" t="inlineStr">
        <is>
          <t>978-5-227-06559-9</t>
        </is>
      </c>
      <c r="K1205" s="23" t="inlineStr">
        <is>
          <t>70x100 1/32</t>
        </is>
      </c>
      <c r="L1205" s="23" t="inlineStr">
        <is>
          <t>мяг</t>
        </is>
      </c>
      <c r="M1205" s="23" t="n">
        <v>160</v>
      </c>
      <c r="N1205" s="23" t="n">
        <v>2016</v>
      </c>
      <c r="O1205" s="23" t="n">
        <v>76</v>
      </c>
      <c r="P1205" s="23" t="n"/>
      <c r="Q1205" s="23" t="n"/>
      <c r="R1205" s="25" t="inlineStr">
        <is>
          <t>Осознав в последний момент, что совершает большую ошибку, Эми сбегает из­под венца. Ей неловко и стыдно, поэтому, когда друг детства Лео предлагает ей поехать с ним в Тоскану, она сразу же соглашается. Она думает, что вдали от дома сможет вновь обрести душевный покой, но внезапно вспыхнувшая между ней и Лео страсть переворачивает ее привычный мир с ног на голову.</t>
        </is>
      </c>
      <c r="S1205" s="26">
        <f>HYPERLINK("http://www.cnpol.ru/covers/16651.jpg","фото на сайте")</f>
        <v/>
      </c>
    </row>
    <row r="1206" ht="50.1" customHeight="1" s="3">
      <c r="A1206" s="23" t="n"/>
      <c r="B1206" s="24" t="inlineStr">
        <is>
          <t>16348</t>
        </is>
      </c>
      <c r="C1206" s="23" t="inlineStr">
        <is>
          <t>ЛР</t>
        </is>
      </c>
      <c r="D1206" s="23" t="inlineStr">
        <is>
          <t>Уинтерз Р.</t>
        </is>
      </c>
      <c r="E1206" s="23" t="inlineStr">
        <is>
          <t>Замуж за принца</t>
        </is>
      </c>
      <c r="F1206" s="23" t="n">
        <v>565</v>
      </c>
      <c r="G1206" s="23" t="n">
        <v>94</v>
      </c>
      <c r="H1206" s="23" t="n">
        <v>10</v>
      </c>
      <c r="I1206" s="23" t="n">
        <v>30</v>
      </c>
      <c r="J1206" s="23" t="inlineStr">
        <is>
          <t>978-5-227-06247-5</t>
        </is>
      </c>
      <c r="K1206" s="23" t="inlineStr">
        <is>
          <t>70x100 1/32</t>
        </is>
      </c>
      <c r="L1206" s="23" t="inlineStr">
        <is>
          <t>мяг</t>
        </is>
      </c>
      <c r="M1206" s="23" t="n">
        <v>158</v>
      </c>
      <c r="N1206" s="23" t="n">
        <v>2015</v>
      </c>
      <c r="O1206" s="23" t="n">
        <v>76</v>
      </c>
      <c r="P1206" s="23" t="n"/>
      <c r="Q1206" s="23" t="n"/>
      <c r="R1206" s="25" t="inlineStr">
        <is>
          <t>После гибели жениха Каролина зареклась сближаться с кем­либо, собираясь прожить всю жизнь в одиночестве. Но поездка в отпуск вместе с лучшей подругой приготовила ей сюрприз — настоящего принца, который снова пробуждает ее к жизни. Однако их страсть запретна, ведь принц помолвлен и день свадьбы уже назначен…</t>
        </is>
      </c>
      <c r="S1206" s="26">
        <f>HYPERLINK("http://www.cnpol.ru/covers/16348.jpg","фото на сайте")</f>
        <v/>
      </c>
    </row>
    <row r="1207" ht="50.1" customHeight="1" s="3">
      <c r="A1207" s="23" t="n"/>
      <c r="B1207" s="24" t="inlineStr">
        <is>
          <t>19270</t>
        </is>
      </c>
      <c r="C1207" s="23" t="inlineStr">
        <is>
          <t>ЛР</t>
        </is>
      </c>
      <c r="D1207" s="23" t="inlineStr">
        <is>
          <t>Кенан Л.</t>
        </is>
      </c>
      <c r="E1207" s="23" t="inlineStr">
        <is>
          <t>Замуж любой ценой</t>
        </is>
      </c>
      <c r="F1207" s="23" t="n">
        <v>988</v>
      </c>
      <c r="G1207" s="23" t="n">
        <v>94</v>
      </c>
      <c r="H1207" s="23" t="n">
        <v>10</v>
      </c>
      <c r="I1207" s="23" t="n">
        <v>30</v>
      </c>
      <c r="J1207" s="23" t="inlineStr">
        <is>
          <t>978-5-227-09051-5</t>
        </is>
      </c>
      <c r="K1207" s="23" t="inlineStr">
        <is>
          <t>70x100 1/32</t>
        </is>
      </c>
      <c r="L1207" s="23" t="inlineStr">
        <is>
          <t>мяг</t>
        </is>
      </c>
      <c r="M1207" s="23" t="n">
        <v>160</v>
      </c>
      <c r="N1207" s="23" t="n">
        <v>2020</v>
      </c>
      <c r="O1207" s="23" t="n">
        <v>76</v>
      </c>
      <c r="P1207" s="23" t="n"/>
      <c r="Q1207" s="23" t="n"/>
      <c r="R1207" s="25" t="inlineStr">
        <is>
          <t>Сет Мастерз вырос вдали от своих братьев и никогда не знал отца. Потеряв мать, которая умерла от лейкемии, он дал себе обещание открыть исследовательский центр, который будет заниматься заболеваниями крови. На центр нужны немалые средства, а Сет знает, что его отец должен был завещать ему часть своего состояния. Вот только есть одна загвоздка: все наследники обязаны быть женаты. Сет не планировал жениться, но адвокат подсказывает ему неожиданное решение проблемы: возможно заключить фиктивный брак. Внезапно ему встречается девушка, которая заставляет его рассмотреть подобную альтернативу…</t>
        </is>
      </c>
      <c r="S1207" s="26">
        <f>HYPERLINK("http://www.cnpol.ru/covers/19270.jpg","фото на сайте")</f>
        <v/>
      </c>
    </row>
    <row r="1208" ht="50.1" customHeight="1" s="3">
      <c r="A1208" s="23" t="n"/>
      <c r="B1208" s="24" t="inlineStr">
        <is>
          <t>18323</t>
        </is>
      </c>
      <c r="C1208" s="23" t="inlineStr">
        <is>
          <t>ЛР</t>
        </is>
      </c>
      <c r="D1208" s="23" t="inlineStr">
        <is>
          <t>Уолкер К.</t>
        </is>
      </c>
      <c r="E1208" s="23" t="inlineStr">
        <is>
          <t>Замуж назло  любовнику</t>
        </is>
      </c>
      <c r="F1208" s="23" t="n">
        <v>838</v>
      </c>
      <c r="G1208" s="23" t="n">
        <v>94</v>
      </c>
      <c r="H1208" s="23" t="n">
        <v>10</v>
      </c>
      <c r="I1208" s="23" t="n">
        <v>30</v>
      </c>
      <c r="J1208" s="23" t="inlineStr">
        <is>
          <t>978-5-227-08323-4</t>
        </is>
      </c>
      <c r="K1208" s="23" t="inlineStr">
        <is>
          <t>70x100 1/32</t>
        </is>
      </c>
      <c r="L1208" s="23" t="inlineStr">
        <is>
          <t>мяг</t>
        </is>
      </c>
      <c r="M1208" s="23" t="n">
        <v>160</v>
      </c>
      <c r="N1208" s="23" t="n">
        <v>2018</v>
      </c>
      <c r="O1208" s="23" t="n">
        <v>76</v>
      </c>
      <c r="P1208" s="23" t="n"/>
      <c r="Q1208" s="23" t="n"/>
      <c r="R1208" s="25" t="inlineStr">
        <is>
          <t>Имоджен О’Салливан собиралась выйти замуж за друга детства по разумному расчету. Этот брак должен был спасти ее семью от разорения. Но за два дня до свадьбы явился Рауль Кардини, единственный мужчина, о котором она мечтала и который разбил ей сердце. Он прилетел в Англию, чтобы скомпрометировать Имоджен, отомстить за то, что она разочаровала его. Однако стоило им увидеться, как они поняли, что не могут жить друг без друга, но как преодолеть взаимное недоверие?</t>
        </is>
      </c>
      <c r="S1208" s="26">
        <f>HYPERLINK("http://www.cnpol.ru/covers/18323.jpg","фото на сайте")</f>
        <v/>
      </c>
    </row>
    <row r="1209" ht="50.1" customHeight="1" s="3">
      <c r="A1209" s="23" t="n"/>
      <c r="B1209" s="24" t="inlineStr">
        <is>
          <t>19014</t>
        </is>
      </c>
      <c r="C1209" s="23" t="inlineStr">
        <is>
          <t>ЛР</t>
        </is>
      </c>
      <c r="D1209" s="23" t="inlineStr">
        <is>
          <t>Хэйс Э.</t>
        </is>
      </c>
      <c r="E1209" s="23" t="inlineStr">
        <is>
          <t>Замуж со второй попытки</t>
        </is>
      </c>
      <c r="F1209" s="23" t="n">
        <v>957</v>
      </c>
      <c r="G1209" s="23" t="n">
        <v>94</v>
      </c>
      <c r="H1209" s="23" t="n">
        <v>10</v>
      </c>
      <c r="I1209" s="23" t="n">
        <v>30</v>
      </c>
      <c r="J1209" s="23" t="inlineStr">
        <is>
          <t>978-5-227-08910-6</t>
        </is>
      </c>
      <c r="K1209" s="23" t="inlineStr">
        <is>
          <t>70x100 1/32</t>
        </is>
      </c>
      <c r="L1209" s="23" t="inlineStr">
        <is>
          <t>мяг</t>
        </is>
      </c>
      <c r="M1209" s="23" t="n">
        <v>160</v>
      </c>
      <c r="N1209" s="23" t="n">
        <v>2020</v>
      </c>
      <c r="O1209" s="23" t="n">
        <v>76</v>
      </c>
      <c r="P1209" s="23" t="n"/>
      <c r="Q1209" s="23" t="n"/>
      <c r="R1209" s="25" t="inlineStr">
        <is>
          <t>Коттедж в шотландской глуши кажется художнице Милле О’Брайен идеальным убежищем для женщины с разбитым сердцем. Она хотела забыть поскорее о несостоявшейся свадьбе. Отправляясь в эти края, Милла надеялась на одиночество и была потрясена тем, что красавец Кормак Бьюкенен так быстро запал ей в душу. У Кормака своя беда, его терзает вина за гибель друга. Встретились два раненых сердца, у которых появилась надежда на исцеление и настоящую любовь…</t>
        </is>
      </c>
      <c r="S1209" s="26">
        <f>HYPERLINK("http://www.cnpol.ru/covers/19014.jpg","фото на сайте")</f>
        <v/>
      </c>
    </row>
    <row r="1210" ht="50.1" customHeight="1" s="3">
      <c r="A1210" s="23" t="n"/>
      <c r="B1210" s="24" t="inlineStr">
        <is>
          <t>17178</t>
        </is>
      </c>
      <c r="C1210" s="23" t="inlineStr">
        <is>
          <t>ЛР</t>
        </is>
      </c>
      <c r="D1210" s="23" t="inlineStr">
        <is>
          <t>Смарт М.</t>
        </is>
      </c>
      <c r="E1210" s="23" t="inlineStr">
        <is>
          <t>Замужем за врагом</t>
        </is>
      </c>
      <c r="F1210" s="23" t="n">
        <v>675</v>
      </c>
      <c r="G1210" s="23" t="n">
        <v>94</v>
      </c>
      <c r="H1210" s="23" t="n">
        <v>10</v>
      </c>
      <c r="I1210" s="23" t="n">
        <v>30</v>
      </c>
      <c r="J1210" s="23" t="inlineStr">
        <is>
          <t>978-5-227-07203-0</t>
        </is>
      </c>
      <c r="K1210" s="23" t="inlineStr">
        <is>
          <t>70x100 1/32</t>
        </is>
      </c>
      <c r="L1210" s="23" t="inlineStr">
        <is>
          <t>мяг</t>
        </is>
      </c>
      <c r="M1210" s="23" t="n">
        <v>160</v>
      </c>
      <c r="N1210" s="23" t="n">
        <v>2016</v>
      </c>
      <c r="O1210" s="23" t="n">
        <v>76</v>
      </c>
      <c r="P1210" s="23" t="n"/>
      <c r="Q1210" s="23" t="n"/>
      <c r="R1210" s="25" t="inlineStr">
        <is>
          <t>Елена Риччи становится женой Габриеля Мантенья, который угрожает разоблачить преступления ее родного отца. Ради спасения семьи она подписывает брачный контракт, согласно которому должна родить ребенка своему врагу. Проходит некоторое время, и Елена влюбляется в Габриеля, чьи чувства, похоже, взаимны...</t>
        </is>
      </c>
      <c r="S1210" s="26">
        <f>HYPERLINK("http://www.cnpol.ru/covers/17178.jpg","фото на сайте")</f>
        <v/>
      </c>
    </row>
    <row r="1211" ht="50.1" customHeight="1" s="3">
      <c r="A1211" s="23" t="n"/>
      <c r="B1211" s="24" t="inlineStr">
        <is>
          <t>16997</t>
        </is>
      </c>
      <c r="C1211" s="23" t="inlineStr">
        <is>
          <t>ЛР</t>
        </is>
      </c>
      <c r="D1211" s="23" t="inlineStr">
        <is>
          <t>Уоллис Бадж</t>
        </is>
      </c>
      <c r="E1211" s="23" t="inlineStr">
        <is>
          <t>Запомни: ты моя</t>
        </is>
      </c>
      <c r="F1211" s="23" t="n">
        <v>651</v>
      </c>
      <c r="G1211" s="23" t="n">
        <v>94</v>
      </c>
      <c r="H1211" s="23" t="n">
        <v>10</v>
      </c>
      <c r="I1211" s="23" t="n">
        <v>30</v>
      </c>
      <c r="J1211" s="23" t="inlineStr">
        <is>
          <t>978-5-227-07036-4</t>
        </is>
      </c>
      <c r="K1211" s="23" t="inlineStr">
        <is>
          <t>70x100 1/32</t>
        </is>
      </c>
      <c r="L1211" s="23" t="inlineStr">
        <is>
          <t>мяг</t>
        </is>
      </c>
      <c r="M1211" s="23" t="n">
        <v>160</v>
      </c>
      <c r="N1211" s="23" t="n">
        <v>2016</v>
      </c>
      <c r="O1211" s="23" t="n">
        <v>76</v>
      </c>
      <c r="P1211" s="23" t="n"/>
      <c r="Q1211" s="23" t="n"/>
      <c r="R1211" s="25" t="n"/>
      <c r="S1211" s="26">
        <f>HYPERLINK("http://www.cnpol.ru/covers/16997.jpg","фото на сайте")</f>
        <v/>
      </c>
    </row>
    <row r="1212" ht="50.1" customHeight="1" s="3">
      <c r="A1212" s="23" t="n"/>
      <c r="B1212" s="24" t="inlineStr">
        <is>
          <t>16526</t>
        </is>
      </c>
      <c r="C1212" s="23" t="inlineStr">
        <is>
          <t>ЛР</t>
        </is>
      </c>
      <c r="D1212" s="23" t="inlineStr">
        <is>
          <t>Шеперд К.</t>
        </is>
      </c>
      <c r="E1212" s="23" t="inlineStr">
        <is>
          <t>Запредельная нежность</t>
        </is>
      </c>
      <c r="F1212" s="23" t="n">
        <v>591</v>
      </c>
      <c r="G1212" s="23" t="n">
        <v>94</v>
      </c>
      <c r="H1212" s="23" t="n">
        <v>10</v>
      </c>
      <c r="I1212" s="23" t="n">
        <v>30</v>
      </c>
      <c r="J1212" s="23" t="inlineStr">
        <is>
          <t>978-5-227-06487-5</t>
        </is>
      </c>
      <c r="K1212" s="23" t="inlineStr">
        <is>
          <t>70x100 1/32</t>
        </is>
      </c>
      <c r="L1212" s="23" t="inlineStr">
        <is>
          <t>мяг</t>
        </is>
      </c>
      <c r="M1212" s="23" t="n">
        <v>158</v>
      </c>
      <c r="N1212" s="23" t="n">
        <v>2016</v>
      </c>
      <c r="O1212" s="23" t="n">
        <v>76</v>
      </c>
      <c r="P1212" s="23" t="n"/>
      <c r="Q1212" s="23" t="n"/>
      <c r="R1212" s="25" t="n"/>
      <c r="S1212" s="26">
        <f>HYPERLINK("http://www.cnpol.ru/covers/16526.jpg","фото на сайте")</f>
        <v/>
      </c>
    </row>
    <row r="1213" ht="50.1" customHeight="1" s="3">
      <c r="A1213" s="23" t="n"/>
      <c r="B1213" s="24" t="inlineStr">
        <is>
          <t>17832</t>
        </is>
      </c>
      <c r="C1213" s="23" t="inlineStr">
        <is>
          <t>ЛР</t>
        </is>
      </c>
      <c r="D1213" s="23" t="inlineStr">
        <is>
          <t>Эйтс М.</t>
        </is>
      </c>
      <c r="E1213" s="23" t="inlineStr">
        <is>
          <t>Запредельный накал страсти</t>
        </is>
      </c>
      <c r="F1213" s="23" t="n">
        <v>773</v>
      </c>
      <c r="G1213" s="23" t="n">
        <v>94</v>
      </c>
      <c r="H1213" s="23" t="n">
        <v>10</v>
      </c>
      <c r="I1213" s="23" t="n">
        <v>30</v>
      </c>
      <c r="J1213" s="23" t="inlineStr">
        <is>
          <t>978-5-227-07757-8</t>
        </is>
      </c>
      <c r="K1213" s="23" t="inlineStr">
        <is>
          <t>70x100 1/32</t>
        </is>
      </c>
      <c r="L1213" s="23" t="inlineStr">
        <is>
          <t>мяг</t>
        </is>
      </c>
      <c r="M1213" s="23" t="n">
        <v>160</v>
      </c>
      <c r="N1213" s="23" t="n">
        <v>2017</v>
      </c>
      <c r="O1213" s="23" t="n">
        <v>76</v>
      </c>
      <c r="P1213" s="23" t="n"/>
      <c r="Q1213" s="23" t="n"/>
      <c r="R1213" s="25" t="n"/>
      <c r="S1213" s="26">
        <f>HYPERLINK("http://www.cnpol.ru/covers/17832.jpg","фото на сайте")</f>
        <v/>
      </c>
    </row>
    <row r="1214" ht="50.1" customHeight="1" s="3">
      <c r="A1214" s="23" t="n"/>
      <c r="B1214" s="24" t="inlineStr">
        <is>
          <t>16934</t>
        </is>
      </c>
      <c r="C1214" s="23" t="inlineStr">
        <is>
          <t>ЛР</t>
        </is>
      </c>
      <c r="D1214" s="23" t="inlineStr">
        <is>
          <t>Крюс К.</t>
        </is>
      </c>
      <c r="E1214" s="23" t="inlineStr">
        <is>
          <t>Запретный союз</t>
        </is>
      </c>
      <c r="F1214" s="23" t="n">
        <v>641</v>
      </c>
      <c r="G1214" s="23" t="n">
        <v>94</v>
      </c>
      <c r="H1214" s="23" t="n">
        <v>10</v>
      </c>
      <c r="I1214" s="23" t="n">
        <v>30</v>
      </c>
      <c r="J1214" s="23" t="inlineStr">
        <is>
          <t>978-5-227-06855-2</t>
        </is>
      </c>
      <c r="K1214" s="23" t="inlineStr">
        <is>
          <t>70x100 1/32</t>
        </is>
      </c>
      <c r="L1214" s="23" t="inlineStr">
        <is>
          <t>мяг</t>
        </is>
      </c>
      <c r="M1214" s="23" t="n">
        <v>160</v>
      </c>
      <c r="N1214" s="23" t="n">
        <v>2016</v>
      </c>
      <c r="O1214" s="23" t="n">
        <v>76</v>
      </c>
      <c r="P1214" s="23" t="n"/>
      <c r="Q1214" s="23" t="n"/>
      <c r="R1214" s="25" t="n"/>
      <c r="S1214" s="26">
        <f>HYPERLINK("http://www.cnpol.ru/covers/16934.jpg","фото на сайте")</f>
        <v/>
      </c>
    </row>
    <row r="1215" ht="50.1" customHeight="1" s="3">
      <c r="A1215" s="23" t="n"/>
      <c r="B1215" s="24" t="inlineStr">
        <is>
          <t>17586</t>
        </is>
      </c>
      <c r="C1215" s="23" t="inlineStr">
        <is>
          <t>ЛР</t>
        </is>
      </c>
      <c r="D1215" s="23" t="inlineStr">
        <is>
          <t>Коллинз Д.</t>
        </is>
      </c>
      <c r="E1215" s="23" t="inlineStr">
        <is>
          <t>Звезды сошлись на Бали</t>
        </is>
      </c>
      <c r="F1215" s="23" t="n">
        <v>734</v>
      </c>
      <c r="G1215" s="23" t="n">
        <v>94</v>
      </c>
      <c r="H1215" s="23" t="n">
        <v>10</v>
      </c>
      <c r="I1215" s="23" t="n">
        <v>30</v>
      </c>
      <c r="J1215" s="23" t="inlineStr">
        <is>
          <t>978-5-227-07613-7</t>
        </is>
      </c>
      <c r="K1215" s="23" t="inlineStr">
        <is>
          <t>70x100 1/32</t>
        </is>
      </c>
      <c r="L1215" s="23" t="inlineStr">
        <is>
          <t>мяг</t>
        </is>
      </c>
      <c r="M1215" s="23" t="n">
        <v>160</v>
      </c>
      <c r="N1215" s="23" t="n">
        <v>2017</v>
      </c>
      <c r="O1215" s="23" t="n">
        <v>76</v>
      </c>
      <c r="P1215" s="23" t="n"/>
      <c r="Q1215" s="23" t="n"/>
      <c r="R1215" s="25" t="inlineStr">
        <is>
          <t>Оказавшись с двумя малышами на руках, Тео Макрикоста обратился за помощью к Джайе — единственной женщине, которой он доверял. Полтора года назад они оба решили отвлечься от проблем, провели вместе необыкновенную ночь и расстались, казалось, навсегда. Но в самый неожиданный момент Джайя преподносит Тео сногсшибательный сюрприз. Сможет ли Тео принять столь резкие перемены в своей жизни?</t>
        </is>
      </c>
      <c r="S1215" s="26">
        <f>HYPERLINK("http://www.cnpol.ru/covers/17586.jpg","фото на сайте")</f>
        <v/>
      </c>
    </row>
    <row r="1216" ht="50.1" customHeight="1" s="3">
      <c r="A1216" s="23" t="n"/>
      <c r="B1216" s="24" t="inlineStr">
        <is>
          <t>17691</t>
        </is>
      </c>
      <c r="C1216" s="23" t="inlineStr">
        <is>
          <t>ЛР</t>
        </is>
      </c>
      <c r="D1216" s="23" t="inlineStr">
        <is>
          <t>Блейк М.</t>
        </is>
      </c>
      <c r="E1216" s="23" t="inlineStr">
        <is>
          <t>Знаю, ты меня ждал</t>
        </is>
      </c>
      <c r="F1216" s="23" t="n">
        <v>752</v>
      </c>
      <c r="G1216" s="23" t="n">
        <v>94</v>
      </c>
      <c r="H1216" s="23" t="n">
        <v>10</v>
      </c>
      <c r="I1216" s="23" t="n">
        <v>30</v>
      </c>
      <c r="J1216" s="23" t="inlineStr">
        <is>
          <t>978-5-227-07704-2</t>
        </is>
      </c>
      <c r="K1216" s="23" t="inlineStr">
        <is>
          <t>70x100 1/32</t>
        </is>
      </c>
      <c r="L1216" s="23" t="inlineStr">
        <is>
          <t>мяг</t>
        </is>
      </c>
      <c r="M1216" s="23" t="n">
        <v>160</v>
      </c>
      <c r="N1216" s="23" t="n">
        <v>2017</v>
      </c>
      <c r="O1216" s="23" t="n">
        <v>76</v>
      </c>
      <c r="P1216" s="23" t="n"/>
      <c r="Q1216" s="23" t="n"/>
      <c r="R1216" s="25" t="inlineStr">
        <is>
          <t>Элиза Джеймесон работает пиар­консультантом в фирме своих родителей, но она всегда мечтала рисовать. Чтобы выстроить свою жизнь так, как ей хочется, она должна выплатить родителям долг за свое обучение, и тогда она сможет уволиться. А для этого ей нужно подписать контракт с Алехандро Агиларом. Алехандро – настоящий волк­одиночка, он идет по жизни, не имея никаких привязанностей, а главное место в жизни занимает его работа. У Элизы тоже не все просто с личными отношениями, но она открывает свое сердце Алехандро и надеется, что сможет помочь ему понять самого себя и научить любить…</t>
        </is>
      </c>
      <c r="S1216" s="26">
        <f>HYPERLINK("http://www.cnpol.ru/covers/17691.jpg","фото на сайте")</f>
        <v/>
      </c>
    </row>
    <row r="1217" ht="50.1" customHeight="1" s="3">
      <c r="A1217" s="23" t="n"/>
      <c r="B1217" s="24" t="inlineStr">
        <is>
          <t>18164</t>
        </is>
      </c>
      <c r="C1217" s="23" t="inlineStr">
        <is>
          <t>ЛР</t>
        </is>
      </c>
      <c r="D1217" s="23" t="inlineStr">
        <is>
          <t>Стивенс С.</t>
        </is>
      </c>
      <c r="E1217" s="23" t="inlineStr">
        <is>
          <t>Знаю, ты рядом</t>
        </is>
      </c>
      <c r="F1217" s="23" t="n">
        <v>813</v>
      </c>
      <c r="G1217" s="23" t="n">
        <v>94</v>
      </c>
      <c r="H1217" s="23" t="n">
        <v>10</v>
      </c>
      <c r="I1217" s="23" t="n">
        <v>30</v>
      </c>
      <c r="J1217" s="23" t="inlineStr">
        <is>
          <t>978-5-227-08132-2</t>
        </is>
      </c>
      <c r="K1217" s="23" t="inlineStr">
        <is>
          <t>70x100 1/32</t>
        </is>
      </c>
      <c r="L1217" s="23" t="inlineStr">
        <is>
          <t>мяг</t>
        </is>
      </c>
      <c r="M1217" s="23" t="n">
        <v>160</v>
      </c>
      <c r="N1217" s="23" t="n">
        <v>2018</v>
      </c>
      <c r="O1217" s="23" t="n">
        <v>76</v>
      </c>
      <c r="P1217" s="23" t="n"/>
      <c r="Q1217" s="23" t="n"/>
      <c r="R1217" s="25" t="inlineStr">
        <is>
          <t>Обаятельная скромница Лейла Скаванга решается наконец вый­ти из тени своих блистательных сестер и зажить полной жизнью, как завещала ее покойная мама. На одном из светских раутов Лейла дерзко заигрывает с красавцем­плейбоем Раффой. Ее раскованное смелое поведение не осталось незамеченным сестрами, которые тут же начинают предостерегать ее от опасности: ведь Раффа — известный сердцеед. Лейла уверена, что такой красавчик никогда всерьез не заинтересуется тихой серой мышкой. Но Раффа с неподдельным энтузиазмом отвечает на ее флирт…</t>
        </is>
      </c>
      <c r="S1217" s="26">
        <f>HYPERLINK("http://www.cnpol.ru/covers/18164.jpg","фото на сайте")</f>
        <v/>
      </c>
    </row>
    <row r="1218" ht="50.1" customHeight="1" s="3">
      <c r="A1218" s="23" t="n"/>
      <c r="B1218" s="24" t="inlineStr">
        <is>
          <t>18994</t>
        </is>
      </c>
      <c r="C1218" s="23" t="inlineStr">
        <is>
          <t>ЛР</t>
        </is>
      </c>
      <c r="D1218" s="23" t="inlineStr">
        <is>
          <t>Кендрик Ш.</t>
        </is>
      </c>
      <c r="E1218" s="23" t="inlineStr">
        <is>
          <t>Зов желаний</t>
        </is>
      </c>
      <c r="F1218" s="23" t="n">
        <v>951</v>
      </c>
      <c r="G1218" s="23" t="n">
        <v>94</v>
      </c>
      <c r="H1218" s="23" t="n">
        <v>10</v>
      </c>
      <c r="I1218" s="23" t="n">
        <v>30</v>
      </c>
      <c r="J1218" s="23" t="inlineStr">
        <is>
          <t>978-5-227-08882-6</t>
        </is>
      </c>
      <c r="K1218" s="23" t="inlineStr">
        <is>
          <t>70x100 1/32</t>
        </is>
      </c>
      <c r="L1218" s="23" t="inlineStr">
        <is>
          <t>мяг</t>
        </is>
      </c>
      <c r="M1218" s="23" t="n">
        <v>160</v>
      </c>
      <c r="N1218" s="23" t="n">
        <v>2019</v>
      </c>
      <c r="O1218" s="23" t="n">
        <v>76</v>
      </c>
      <c r="P1218" s="23" t="n"/>
      <c r="Q1218" s="23" t="n"/>
      <c r="R1218" s="25" t="inlineStr">
        <is>
          <t>На роскошной свадьбе своей сестры Тамсин Уилсон не устояла перед чарами красавца миллиардера Ксана Константинидеса и провела волшебную ночь в его постели. Девушка понимала, что миллиардеры не заводят настоящих романов с официантками, и не ждала продолжения отношений. Однако вскоре Ксан снова возник в ее жизни и сделал ей невероятное и странное предложение…</t>
        </is>
      </c>
      <c r="S1218" s="26">
        <f>HYPERLINK("http://www.cnpol.ru/covers/18994.jpg","фото на сайте")</f>
        <v/>
      </c>
    </row>
    <row r="1219" ht="50.1" customHeight="1" s="3">
      <c r="A1219" s="23" t="n"/>
      <c r="B1219" s="24" t="inlineStr">
        <is>
          <t>17862</t>
        </is>
      </c>
      <c r="C1219" s="23" t="inlineStr">
        <is>
          <t>ЛР</t>
        </is>
      </c>
      <c r="D1219" s="23" t="inlineStr">
        <is>
          <t>Джеймс Д.</t>
        </is>
      </c>
      <c r="E1219" s="23" t="inlineStr">
        <is>
          <t>Золушка с приданым</t>
        </is>
      </c>
      <c r="F1219" s="23" t="n">
        <v>777</v>
      </c>
      <c r="G1219" s="23" t="n">
        <v>94</v>
      </c>
      <c r="H1219" s="23" t="n">
        <v>10</v>
      </c>
      <c r="I1219" s="23" t="n">
        <v>30</v>
      </c>
      <c r="J1219" s="23" t="inlineStr">
        <is>
          <t>978-5-227-07783-7</t>
        </is>
      </c>
      <c r="K1219" s="23" t="inlineStr">
        <is>
          <t>70x100 1/32</t>
        </is>
      </c>
      <c r="L1219" s="23" t="inlineStr">
        <is>
          <t>мяг</t>
        </is>
      </c>
      <c r="M1219" s="23" t="n">
        <v>160</v>
      </c>
      <c r="N1219" s="23" t="n">
        <v>2017</v>
      </c>
      <c r="O1219" s="23" t="n">
        <v>76</v>
      </c>
      <c r="P1219" s="23" t="n"/>
      <c r="Q1219" s="23" t="n"/>
      <c r="R1219" s="25" t="inlineStr">
        <is>
          <t>Злобная мачеха превратила жизнь Элен Маунтфорд в ад. Разорив и доведя до смерти отца Элен, она грозит продать фамильную усадьбу Хаугтон — единственное убежище одинокой, осиротевшей девушки. Богатый и всесильный Макс Василикос готов купить усадьбу, но Элен собирается до последнего защищать родной дом. Макс не привык отступать и полон решимости сломить сопротивление Элен. Хитростью он заманивает ее в Лондон на роскошный благотворительный бал. Неожиданно на его глазах нескладная замарашка Элен превращается в королеву бала. Макс не остается равнодушным к ее чарам…</t>
        </is>
      </c>
      <c r="S1219" s="26">
        <f>HYPERLINK("http://www.cnpol.ru/covers/17862.jpg","фото на сайте")</f>
        <v/>
      </c>
    </row>
    <row r="1220" ht="50.1" customHeight="1" s="3">
      <c r="A1220" s="23" t="n"/>
      <c r="B1220" s="24" t="inlineStr">
        <is>
          <t>17155</t>
        </is>
      </c>
      <c r="C1220" s="23" t="inlineStr">
        <is>
          <t>ЛР</t>
        </is>
      </c>
      <c r="D1220" s="23" t="inlineStr">
        <is>
          <t>Уильямс А.</t>
        </is>
      </c>
      <c r="E1220" s="23" t="inlineStr">
        <is>
          <t>Игра в соблазнение</t>
        </is>
      </c>
      <c r="F1220" s="23" t="n">
        <v>671</v>
      </c>
      <c r="G1220" s="23" t="n">
        <v>94</v>
      </c>
      <c r="H1220" s="23" t="n">
        <v>10</v>
      </c>
      <c r="I1220" s="23" t="n">
        <v>30</v>
      </c>
      <c r="J1220" s="23" t="inlineStr">
        <is>
          <t>978-5-227-07121-7</t>
        </is>
      </c>
      <c r="K1220" s="23" t="inlineStr">
        <is>
          <t>70x100 1/32</t>
        </is>
      </c>
      <c r="L1220" s="23" t="inlineStr">
        <is>
          <t>мяг</t>
        </is>
      </c>
      <c r="M1220" s="23" t="n">
        <v>160</v>
      </c>
      <c r="N1220" s="23" t="n">
        <v>2016</v>
      </c>
      <c r="O1220" s="23" t="n">
        <v>76</v>
      </c>
      <c r="P1220" s="23" t="n"/>
      <c r="Q1220" s="23" t="n"/>
      <c r="R1220" s="25" t="inlineStr">
        <is>
          <t>Миллиардер Стефано Ганн предлагает будущему адвокату, Санни Портер, стать няней его дочери. Стефано чувствует влечение к сторонящейся его Санни. Он бросает ей вызов и предлагает недолгие отношения без обязательств.</t>
        </is>
      </c>
      <c r="S1220" s="26">
        <f>HYPERLINK("http://www.cnpol.ru/covers/17155.jpg","фото на сайте")</f>
        <v/>
      </c>
    </row>
    <row r="1221" ht="50.1" customHeight="1" s="3">
      <c r="A1221" s="23" t="n"/>
      <c r="B1221" s="24" t="inlineStr">
        <is>
          <t>18179</t>
        </is>
      </c>
      <c r="C1221" s="23" t="inlineStr">
        <is>
          <t>ЛР</t>
        </is>
      </c>
      <c r="D1221" s="23" t="inlineStr">
        <is>
          <t>Джеймс Д.</t>
        </is>
      </c>
      <c r="E1221" s="23" t="inlineStr">
        <is>
          <t>Игра лишь для двоих</t>
        </is>
      </c>
      <c r="F1221" s="23" t="n">
        <v>815</v>
      </c>
      <c r="G1221" s="23" t="n">
        <v>94</v>
      </c>
      <c r="H1221" s="23" t="n">
        <v>10</v>
      </c>
      <c r="I1221" s="23" t="n">
        <v>30</v>
      </c>
      <c r="J1221" s="23" t="inlineStr">
        <is>
          <t>978-5-227-08151-3</t>
        </is>
      </c>
      <c r="K1221" s="23" t="inlineStr">
        <is>
          <t>70x100 1/32</t>
        </is>
      </c>
      <c r="L1221" s="23" t="inlineStr">
        <is>
          <t>мяг</t>
        </is>
      </c>
      <c r="M1221" s="23" t="n">
        <v>160</v>
      </c>
      <c r="N1221" s="23" t="n">
        <v>2018</v>
      </c>
      <c r="O1221" s="23" t="n">
        <v>76</v>
      </c>
      <c r="P1221" s="23" t="n"/>
      <c r="Q1221" s="23" t="n"/>
      <c r="R1221" s="25" t="inlineStr">
        <is>
          <t>Элоиз Дин собралась в одиночестве провести каникулы в Париже, но вместо этого оказалась в компании плейбоя Вито Вискари. Вито, всю жизнь мечтавший встретить настоящую любовь, не сразу замечает, как мимолетное увлечение перерастает в более серьезное чувство. Но происки жены его покойного дяди лишают молодого человека шанса на счастье. Вито теряет свою красавицу Элоиз, а когда после долгих поисков находит снова, ее подлый обман разбивает ему сердце.</t>
        </is>
      </c>
      <c r="S1221" s="26">
        <f>HYPERLINK("http://www.cnpol.ru/covers/18179.jpg","фото на сайте")</f>
        <v/>
      </c>
    </row>
    <row r="1222" ht="50.1" customHeight="1" s="3">
      <c r="A1222" s="23" t="n"/>
      <c r="B1222" s="24" t="inlineStr">
        <is>
          <t>16684</t>
        </is>
      </c>
      <c r="C1222" s="23" t="inlineStr">
        <is>
          <t>ЛР</t>
        </is>
      </c>
      <c r="D1222" s="23" t="inlineStr">
        <is>
          <t>Уильямс А.</t>
        </is>
      </c>
      <c r="E1222" s="23" t="inlineStr">
        <is>
          <t>Игрушка в его руках</t>
        </is>
      </c>
      <c r="F1222" s="23" t="n">
        <v>608</v>
      </c>
      <c r="G1222" s="23" t="n">
        <v>94</v>
      </c>
      <c r="H1222" s="23" t="n">
        <v>10</v>
      </c>
      <c r="I1222" s="23" t="n">
        <v>30</v>
      </c>
      <c r="J1222" s="23" t="inlineStr">
        <is>
          <t>978-5-227-06703-6</t>
        </is>
      </c>
      <c r="K1222" s="23" t="inlineStr">
        <is>
          <t>70x100 1/32</t>
        </is>
      </c>
      <c r="L1222" s="23" t="inlineStr">
        <is>
          <t>мяг</t>
        </is>
      </c>
      <c r="M1222" s="23" t="n">
        <v>160</v>
      </c>
      <c r="N1222" s="23" t="n">
        <v>2016</v>
      </c>
      <c r="O1222" s="23" t="n">
        <v>76</v>
      </c>
      <c r="P1222" s="23" t="n"/>
      <c r="Q1222" s="23" t="n"/>
      <c r="R1222" s="25" t="inlineStr">
        <is>
          <t>Лора тяжело переживает окончание неудачного романа, бросает работу, веселую лондонскую жизнь и переезжает в тихую шотландскую деревеньку к бабушке, чтобы зализать раны. Она верит, что обязательно встретит хорошего, порядочного парня, но судьба решает все по­своему: она знакомится с богатым и высокомерным сыном своего пожилого соседа. Возможно, спокойная жизнь, к которой так стремилась Лора, вовсе не для нее?</t>
        </is>
      </c>
      <c r="S1222" s="26">
        <f>HYPERLINK("http://www.cnpol.ru/covers/16684.jpg","фото на сайте")</f>
        <v/>
      </c>
    </row>
    <row r="1223" ht="50.1" customHeight="1" s="3">
      <c r="A1223" s="23" t="n"/>
      <c r="B1223" s="24" t="inlineStr">
        <is>
          <t>17351</t>
        </is>
      </c>
      <c r="C1223" s="23" t="inlineStr">
        <is>
          <t>ЛР</t>
        </is>
      </c>
      <c r="D1223" s="23" t="inlineStr">
        <is>
          <t>Стивенс С.</t>
        </is>
      </c>
      <c r="E1223" s="23" t="inlineStr">
        <is>
          <t>Идеальная сделка</t>
        </is>
      </c>
      <c r="F1223" s="23" t="n">
        <v>699</v>
      </c>
      <c r="G1223" s="23" t="n">
        <v>94</v>
      </c>
      <c r="H1223" s="23" t="n">
        <v>10</v>
      </c>
      <c r="I1223" s="23" t="n">
        <v>30</v>
      </c>
      <c r="J1223" s="23" t="inlineStr">
        <is>
          <t>978-5-227-07315-0</t>
        </is>
      </c>
      <c r="K1223" s="23" t="inlineStr">
        <is>
          <t>70x100 1/32</t>
        </is>
      </c>
      <c r="L1223" s="23" t="inlineStr">
        <is>
          <t>мяг</t>
        </is>
      </c>
      <c r="M1223" s="23" t="n">
        <v>160</v>
      </c>
      <c r="N1223" s="23" t="n">
        <v>2017</v>
      </c>
      <c r="O1223" s="23" t="n">
        <v>76</v>
      </c>
      <c r="P1223" s="23" t="n"/>
      <c r="Q1223" s="23" t="n"/>
      <c r="R1223" s="25" t="inlineStr">
        <is>
          <t>Тиаго Сантос, один из лучших игроков в поло и покоритель ­женских сердец, по завещанию деда должен жениться в ближайшее время. Только в этом случае он сможет претендовать на ферму, на которой прожил почти всю свою жизнь и которой так дорожит. В это время Тиаго встречает давнюю знакомую, Данни Кэмерон. Она сильная и независимая женщина, а лошади — ее страсть. И она идеально подходит на роль жены Тиаго.</t>
        </is>
      </c>
      <c r="S1223" s="26">
        <f>HYPERLINK("http://www.cnpol.ru/covers/17351.jpg","фото на сайте")</f>
        <v/>
      </c>
    </row>
    <row r="1224" ht="50.1" customHeight="1" s="3">
      <c r="A1224" s="23" t="n"/>
      <c r="B1224" s="24" t="inlineStr">
        <is>
          <t>18428</t>
        </is>
      </c>
      <c r="C1224" s="23" t="inlineStr">
        <is>
          <t>ЛР</t>
        </is>
      </c>
      <c r="D1224" s="23" t="inlineStr">
        <is>
          <t>Милберн М.</t>
        </is>
      </c>
      <c r="E1224" s="23" t="inlineStr">
        <is>
          <t>Идеальная фиктивная жена</t>
        </is>
      </c>
      <c r="F1224" s="23" t="n">
        <v>857</v>
      </c>
      <c r="G1224" s="23" t="n">
        <v>94</v>
      </c>
      <c r="H1224" s="23" t="n">
        <v>10</v>
      </c>
      <c r="I1224" s="23" t="n">
        <v>30</v>
      </c>
      <c r="J1224" s="23" t="inlineStr">
        <is>
          <t>978-5-227-08383-8</t>
        </is>
      </c>
      <c r="K1224" s="23" t="inlineStr">
        <is>
          <t>70x100 1/32</t>
        </is>
      </c>
      <c r="L1224" s="23" t="inlineStr">
        <is>
          <t>мяг</t>
        </is>
      </c>
      <c r="M1224" s="23" t="n">
        <v>160</v>
      </c>
      <c r="N1224" s="23" t="n">
        <v>2018</v>
      </c>
      <c r="O1224" s="23" t="n">
        <v>76</v>
      </c>
      <c r="P1224" s="23" t="n"/>
      <c r="Q1224" s="23" t="n"/>
      <c r="R1224" s="25" t="inlineStr">
        <is>
          <t>Известная колумнистка модного журнала Эбби Харт произвела фурор, появившись на престижном благотворительном балу со своим женихом Люком Шелвертоном. И никто не догадался, что их отношения ненастоящие и что Эбби живет придуманной жизнью. Чтобы сохранить работу и репутацию, она просит Шелвертона сыграть роль ее будущего мужа и не замечает, как влюбляется в своего спасителя. Но Люк, переживший в прошлом личную трагедию, не ­готов к серьезным отношениям. Но, может быть, пока не готов?</t>
        </is>
      </c>
      <c r="S1224" s="26">
        <f>HYPERLINK("http://www.cnpol.ru/covers/18428.jpg","фото на сайте")</f>
        <v/>
      </c>
    </row>
    <row r="1225" ht="50.1" customHeight="1" s="3">
      <c r="A1225" s="23" t="n"/>
      <c r="B1225" s="24" t="inlineStr">
        <is>
          <t>19009</t>
        </is>
      </c>
      <c r="C1225" s="23" t="inlineStr">
        <is>
          <t>ЛР</t>
        </is>
      </c>
      <c r="D1225" s="23" t="inlineStr">
        <is>
          <t>Аштон Л.</t>
        </is>
      </c>
      <c r="E1225" s="23" t="inlineStr">
        <is>
          <t>Идеальное венчание</t>
        </is>
      </c>
      <c r="F1225" s="23" t="n">
        <v>954</v>
      </c>
      <c r="G1225" s="23" t="n">
        <v>94</v>
      </c>
      <c r="H1225" s="23" t="n">
        <v>10</v>
      </c>
      <c r="I1225" s="23" t="n">
        <v>30</v>
      </c>
      <c r="J1225" s="23" t="inlineStr">
        <is>
          <t>978-5-227-08907-6</t>
        </is>
      </c>
      <c r="K1225" s="23" t="inlineStr">
        <is>
          <t>70x100 1/32</t>
        </is>
      </c>
      <c r="L1225" s="23" t="inlineStr">
        <is>
          <t>мяг</t>
        </is>
      </c>
      <c r="M1225" s="23" t="n">
        <v>160</v>
      </c>
      <c r="N1225" s="23" t="n">
        <v>2020</v>
      </c>
      <c r="O1225" s="23" t="n">
        <v>76</v>
      </c>
      <c r="P1225" s="23" t="n"/>
      <c r="Q1225" s="23" t="n"/>
      <c r="R1225" s="25" t="inlineStr">
        <is>
          <t>Ана Томашич получает титул принцессы по завещанию отца, который не признавал ее до самой смерти. Королевская семья благосклонно приняла новую родственницу. Спустя год она обручена, у нее достойный жених, но в день свадьбы Ана понимает, что не может выйти замуж за человека, которого не любит, и сбегает от алтаря. Разразился скандал, и кузен Марко отправляет ее в Италию на виллу своего армейского друга Риса Норта. Рис живет в горах отшельником после смерти жены. Страсть бросает их в объятия друг друга, они пережили волшебную ночь, а на следующий день принцесса Ана уехала навсегда. Но вскоре она узнает, что беременна, и решает выяснить, кем будет для нее и ее ребенка Рис Норт...</t>
        </is>
      </c>
      <c r="S1225" s="26">
        <f>HYPERLINK("http://www.cnpol.ru/covers/19009.jpg","фото на сайте")</f>
        <v/>
      </c>
    </row>
    <row r="1226" ht="50.1" customHeight="1" s="3">
      <c r="A1226" s="23" t="n"/>
      <c r="B1226" s="24" t="inlineStr">
        <is>
          <t>20000</t>
        </is>
      </c>
      <c r="C1226" s="23" t="inlineStr">
        <is>
          <t>ЛР</t>
        </is>
      </c>
      <c r="D1226" s="23" t="inlineStr">
        <is>
          <t>Коллинз Д.</t>
        </is>
      </c>
      <c r="E1226" s="23" t="inlineStr">
        <is>
          <t>Идеальное соблазнение</t>
        </is>
      </c>
      <c r="F1226" s="23" t="n">
        <v>1072</v>
      </c>
      <c r="G1226" s="23" t="n">
        <v>94</v>
      </c>
      <c r="H1226" s="23" t="n">
        <v>10</v>
      </c>
      <c r="I1226" s="23" t="n">
        <v>30</v>
      </c>
      <c r="J1226" s="23" t="inlineStr">
        <is>
          <t>978-5-227-09562-6</t>
        </is>
      </c>
      <c r="K1226" s="23" t="inlineStr">
        <is>
          <t>70x100 1/32</t>
        </is>
      </c>
      <c r="L1226" s="23" t="inlineStr">
        <is>
          <t>мяг</t>
        </is>
      </c>
      <c r="M1226" s="23" t="n">
        <v>159</v>
      </c>
      <c r="N1226" s="23" t="n">
        <v>2021</v>
      </c>
      <c r="O1226" s="23" t="n">
        <v>76</v>
      </c>
      <c r="P1226" s="23" t="n"/>
      <c r="Q1226" s="23" t="n"/>
      <c r="R1226" s="25" t="inlineStr">
        <is>
          <t>Наследный принц Жамаира, Касим, однажды должен жениться на женщине, которую выбрал для него отец. Но неожиданно он встречает дерзкую красавицу Анжелику. Поначалу Касим считает, что Анжелика тайно встречается  с женихом его сестры. И чтобы доказать это всем, принц решается на авантюру: он хочет сделать Анжелику своей любовницей. Но вот только Касим и сам неожиданно попадает под чары красавицы…</t>
        </is>
      </c>
      <c r="S1226" s="26">
        <f>HYPERLINK("http://www.cnpol.ru/covers/20000.jpg","фото на сайте")</f>
        <v/>
      </c>
    </row>
    <row r="1227" ht="50.1" customHeight="1" s="3">
      <c r="A1227" s="23" t="n"/>
      <c r="B1227" s="24" t="inlineStr">
        <is>
          <t>17280</t>
        </is>
      </c>
      <c r="C1227" s="23" t="inlineStr">
        <is>
          <t>ЛР</t>
        </is>
      </c>
      <c r="D1227" s="23" t="inlineStr">
        <is>
          <t>Хьюит К.</t>
        </is>
      </c>
      <c r="E1227" s="23" t="inlineStr">
        <is>
          <t>Идеальны друг для друга</t>
        </is>
      </c>
      <c r="F1227" s="23" t="n">
        <v>687</v>
      </c>
      <c r="G1227" s="23" t="n">
        <v>94</v>
      </c>
      <c r="H1227" s="23" t="n">
        <v>10</v>
      </c>
      <c r="I1227" s="23" t="n">
        <v>30</v>
      </c>
      <c r="J1227" s="23" t="inlineStr">
        <is>
          <t>978-5-227-07285-6</t>
        </is>
      </c>
      <c r="K1227" s="23" t="inlineStr">
        <is>
          <t>70x100 1/32</t>
        </is>
      </c>
      <c r="L1227" s="23" t="inlineStr">
        <is>
          <t>мяг</t>
        </is>
      </c>
      <c r="M1227" s="23" t="n">
        <v>160</v>
      </c>
      <c r="N1227" s="23" t="n">
        <v>2017</v>
      </c>
      <c r="O1227" s="23" t="n">
        <v>76</v>
      </c>
      <c r="P1227" s="23" t="n"/>
      <c r="Q1227" s="23" t="n"/>
      <c r="R1227" s="25" t="inlineStr">
        <is>
          <t>Алессандро Диомеди предпочел бы жизнь обычного человека. Но он — король маленького государства Мальдиния, где после смерти его отца осталось много неразрешенных проблем. Не меньше их и в личной жизни Алессандро, он обязан жениться. Его невеста Лиана Атерно, дочь князя Абруццо, раздражает Алессандро своей замкнутостью. Но за внешней холодностью прячется чувствительная и ранимая женщина. Сможет ли Алессандро растопить лед в их отношениях и завоевать любовь Лианы?</t>
        </is>
      </c>
      <c r="S1227" s="26">
        <f>HYPERLINK("http://www.cnpol.ru/covers/17280.jpg","фото на сайте")</f>
        <v/>
      </c>
    </row>
    <row r="1228" ht="50.1" customHeight="1" s="3">
      <c r="A1228" s="23" t="n"/>
      <c r="B1228" s="24" t="inlineStr">
        <is>
          <t>17601</t>
        </is>
      </c>
      <c r="C1228" s="23" t="inlineStr">
        <is>
          <t>ЛР</t>
        </is>
      </c>
      <c r="D1228" s="23" t="inlineStr">
        <is>
          <t>Грэхем Л.</t>
        </is>
      </c>
      <c r="E1228" s="23" t="inlineStr">
        <is>
          <t>Из плейбоев в идеальные мужья</t>
        </is>
      </c>
      <c r="F1228" s="23" t="n">
        <v>737</v>
      </c>
      <c r="G1228" s="23" t="n">
        <v>94</v>
      </c>
      <c r="H1228" s="23" t="n">
        <v>10</v>
      </c>
      <c r="I1228" s="23" t="n">
        <v>30</v>
      </c>
      <c r="J1228" s="23" t="inlineStr">
        <is>
          <t>978-5-227-07616-8</t>
        </is>
      </c>
      <c r="K1228" s="23" t="inlineStr">
        <is>
          <t>70x100 1/32</t>
        </is>
      </c>
      <c r="L1228" s="23" t="inlineStr">
        <is>
          <t>мяг</t>
        </is>
      </c>
      <c r="M1228" s="23" t="n">
        <v>160</v>
      </c>
      <c r="N1228" s="23" t="n">
        <v>2017</v>
      </c>
      <c r="O1228" s="23" t="n">
        <v>76</v>
      </c>
      <c r="P1228" s="23" t="n"/>
      <c r="Q1228" s="23" t="n"/>
      <c r="R1228" s="25" t="inlineStr">
        <is>
          <t>Безжалостный и циничный Аполлон Метраксис — неисправимый холостяк. Однако после смерти отца он обязан жениться и родить наследника, чтобы вступить в права наследования. На роль своей жены он выбирает девушку, которая привлекает его только тем, что испытывает к нему стойкую неприязнь. Парикмахерша Пикси Робинсон совсем не годится в жены Аполлону. Но несмотря на разницу мировоззрений, он женится на ней, обещая решить проблемы с ее братом и обеспечить богатую жизнь. Но после свадьбы его ждет сюрприз...</t>
        </is>
      </c>
      <c r="S1228" s="26">
        <f>HYPERLINK("http://www.cnpol.ru/covers/17601.jpg","фото на сайте")</f>
        <v/>
      </c>
    </row>
    <row r="1229" ht="50.1" customHeight="1" s="3">
      <c r="A1229" s="23" t="n"/>
      <c r="B1229" s="24" t="inlineStr">
        <is>
          <t>20955</t>
        </is>
      </c>
      <c r="C1229" s="23" t="inlineStr">
        <is>
          <t>ЛР</t>
        </is>
      </c>
      <c r="D1229" s="23" t="inlineStr">
        <is>
          <t>Обин С.</t>
        </is>
      </c>
      <c r="E1229" s="23" t="inlineStr">
        <is>
          <t>Из плейбоя в романтики</t>
        </is>
      </c>
      <c r="F1229" s="23" t="n">
        <v>1163</v>
      </c>
      <c r="G1229" s="23" t="n">
        <v>94</v>
      </c>
      <c r="H1229" s="23" t="n">
        <v>10</v>
      </c>
      <c r="I1229" s="23" t="n">
        <v>30</v>
      </c>
      <c r="J1229" s="23" t="inlineStr">
        <is>
          <t>978-5-227-10459-5</t>
        </is>
      </c>
      <c r="K1229" s="23" t="inlineStr">
        <is>
          <t>70x100 1/32</t>
        </is>
      </c>
      <c r="L1229" s="23" t="inlineStr">
        <is>
          <t>мяг</t>
        </is>
      </c>
      <c r="M1229" s="23" t="n">
        <v>159</v>
      </c>
      <c r="N1229" s="23" t="n">
        <v>2024</v>
      </c>
      <c r="O1229" s="23" t="n">
        <v>76</v>
      </c>
      <c r="P1229" s="23" t="n"/>
      <c r="Q1229" s="23" t="n"/>
      <c r="R1229" s="25" t="inlineStr">
        <is>
          <t>Практичный и целеустремленный Лоу вместе с братьями владеет винокурней, сулящей большие доходы. Но его бизнесу нужны инвестиции финансового магната Кейна. Может ли роман с дочерью этого магната, дерзкой красавицей Марлоу, помешать самой важной сделке в жизни Лоу?</t>
        </is>
      </c>
      <c r="S1229" s="26">
        <f>HYPERLINK("http://www.cnpol.ru/covers/20955.jpg","фото на сайте")</f>
        <v/>
      </c>
    </row>
    <row r="1230" ht="50.1" customHeight="1" s="3">
      <c r="A1230" s="23" t="n"/>
      <c r="B1230" s="24" t="inlineStr">
        <is>
          <t>18237</t>
        </is>
      </c>
      <c r="C1230" s="23" t="inlineStr">
        <is>
          <t>ЛР</t>
        </is>
      </c>
      <c r="D1230" s="23" t="inlineStr">
        <is>
          <t>Лоренс К.</t>
        </is>
      </c>
      <c r="E1230" s="23" t="inlineStr">
        <is>
          <t>Измена накануне венчания</t>
        </is>
      </c>
      <c r="F1230" s="23" t="n">
        <v>824</v>
      </c>
      <c r="G1230" s="23" t="n">
        <v>94</v>
      </c>
      <c r="H1230" s="23" t="n">
        <v>10</v>
      </c>
      <c r="I1230" s="23" t="n">
        <v>30</v>
      </c>
      <c r="J1230" s="23" t="inlineStr">
        <is>
          <t>978-5-227-08218-3</t>
        </is>
      </c>
      <c r="K1230" s="23" t="inlineStr">
        <is>
          <t>70x108 1/32</t>
        </is>
      </c>
      <c r="L1230" s="23" t="inlineStr">
        <is>
          <t>мяг</t>
        </is>
      </c>
      <c r="M1230" s="23" t="n">
        <v>160</v>
      </c>
      <c r="N1230" s="23" t="n">
        <v>2018</v>
      </c>
      <c r="O1230" s="23" t="n">
        <v>76</v>
      </c>
      <c r="P1230" s="23" t="n"/>
      <c r="Q1230" s="23" t="n"/>
      <c r="R1230" s="25" t="inlineStr">
        <is>
          <t>Как быть, если ты должна стать женой будущего короля, но влюблена в его несносного брата? И как поступить, если твой жених сбегает накануне свадьбы? Красавице Сабрине придется ответить на эти сложные вопросы, а заодно постараться стать счастливой.</t>
        </is>
      </c>
      <c r="S1230" s="26">
        <f>HYPERLINK("http://www.cnpol.ru/covers/18237.jpg","фото на сайте")</f>
        <v/>
      </c>
    </row>
    <row r="1231" ht="50.1" customHeight="1" s="3">
      <c r="A1231" s="23" t="n"/>
      <c r="B1231" s="24" t="inlineStr">
        <is>
          <t>18825</t>
        </is>
      </c>
      <c r="C1231" s="23" t="inlineStr">
        <is>
          <t>ЛР</t>
        </is>
      </c>
      <c r="D1231" s="23" t="inlineStr">
        <is>
          <t>Уильямс А.</t>
        </is>
      </c>
      <c r="E1231" s="23" t="inlineStr">
        <is>
          <t>Искры желаний</t>
        </is>
      </c>
      <c r="F1231" s="23" t="n">
        <v>918</v>
      </c>
      <c r="G1231" s="23" t="n">
        <v>94</v>
      </c>
      <c r="H1231" s="23" t="n">
        <v>10</v>
      </c>
      <c r="I1231" s="23" t="n">
        <v>30</v>
      </c>
      <c r="J1231" s="23" t="inlineStr">
        <is>
          <t>978-5-227-08695-2</t>
        </is>
      </c>
      <c r="K1231" s="23" t="inlineStr">
        <is>
          <t>70x100 1/32</t>
        </is>
      </c>
      <c r="L1231" s="23" t="inlineStr">
        <is>
          <t>мяг</t>
        </is>
      </c>
      <c r="M1231" s="23" t="n">
        <v>160</v>
      </c>
      <c r="N1231" s="23" t="n">
        <v>2019</v>
      </c>
      <c r="O1231" s="23" t="n">
        <v>76</v>
      </c>
      <c r="P1231" s="23" t="n"/>
      <c r="Q1231" s="23" t="n"/>
      <c r="R1231" s="25" t="inlineStr">
        <is>
          <t>Мэдди Галло проводит страстную ночь с Лео Конти, а потом узнает, что он миллиардер и намерен отобрать у нее магазин, который она получила в наследство. Вскоре она обнаруживает, что беременна от Лео. Узнав об этом, он сразу предлагает ей пожениться, но получает категоричный отказ.</t>
        </is>
      </c>
      <c r="S1231" s="26">
        <f>HYPERLINK("http://www.cnpol.ru/covers/18825.jpg","фото на сайте")</f>
        <v/>
      </c>
    </row>
    <row r="1232" ht="50.1" customHeight="1" s="3">
      <c r="A1232" s="23" t="n"/>
      <c r="B1232" s="24" t="inlineStr">
        <is>
          <t>17861</t>
        </is>
      </c>
      <c r="C1232" s="23" t="inlineStr">
        <is>
          <t>ЛР</t>
        </is>
      </c>
      <c r="D1232" s="23" t="inlineStr">
        <is>
          <t>Уолкер К.</t>
        </is>
      </c>
      <c r="E1232" s="23" t="inlineStr">
        <is>
          <t>Искры незабываемых чувств</t>
        </is>
      </c>
      <c r="F1232" s="23" t="n">
        <v>776</v>
      </c>
      <c r="G1232" s="23" t="n">
        <v>94</v>
      </c>
      <c r="H1232" s="23" t="n">
        <v>10</v>
      </c>
      <c r="I1232" s="23" t="n">
        <v>30</v>
      </c>
      <c r="J1232" s="23" t="inlineStr">
        <is>
          <t>978-5-227-07782-0</t>
        </is>
      </c>
      <c r="K1232" s="23" t="inlineStr">
        <is>
          <t>70x100 1/32</t>
        </is>
      </c>
      <c r="L1232" s="23" t="inlineStr">
        <is>
          <t>мяг</t>
        </is>
      </c>
      <c r="M1232" s="23" t="n">
        <v>160</v>
      </c>
      <c r="N1232" s="23" t="n">
        <v>2017</v>
      </c>
      <c r="O1232" s="23" t="n">
        <v>76</v>
      </c>
      <c r="P1232" s="23" t="n"/>
      <c r="Q1232" s="23" t="n"/>
      <c r="R1232" s="25" t="inlineStr">
        <is>
          <t>По просьбе любимой сестры Эсмеральды Найро Морено прилетает в Лондон, чтобы найти и привезти в Испанию кутюрье Роуз Кавальеро, которая должна создать для Эсмеральды роскошное подвенечное платье. Роуз с ужасом узнает в знаменитом миллионере Морено юношу, от которого она бежала однажды ночью. А он в ней — ту самую Рыжую, что когда­то предала его и бросила. Оба сгорают от любви и страсти, но не хотят признаться в этом друг другу, обоим мешают обида и взаимное недоверие, а он к тому же хочет отомстить ей за предательство…</t>
        </is>
      </c>
      <c r="S1232" s="26">
        <f>HYPERLINK("http://www.cnpol.ru/covers/17861.jpg","фото на сайте")</f>
        <v/>
      </c>
    </row>
    <row r="1233" ht="50.1" customHeight="1" s="3">
      <c r="A1233" s="23" t="n"/>
      <c r="B1233" s="24" t="inlineStr">
        <is>
          <t>20639</t>
        </is>
      </c>
      <c r="C1233" s="23" t="inlineStr">
        <is>
          <t>ЛР</t>
        </is>
      </c>
      <c r="D1233" s="23" t="inlineStr">
        <is>
          <t>Андерсон Н.</t>
        </is>
      </c>
      <c r="E1233" s="23" t="inlineStr">
        <is>
          <t>Искры соблазна</t>
        </is>
      </c>
      <c r="F1233" s="23" t="n">
        <v>1139</v>
      </c>
      <c r="G1233" s="23" t="n">
        <v>94</v>
      </c>
      <c r="H1233" s="23" t="n">
        <v>10</v>
      </c>
      <c r="I1233" s="23" t="n">
        <v>30</v>
      </c>
      <c r="J1233" s="23" t="inlineStr">
        <is>
          <t>978-5-227-10305-5</t>
        </is>
      </c>
      <c r="K1233" s="23" t="inlineStr">
        <is>
          <t>70x100 1/32</t>
        </is>
      </c>
      <c r="L1233" s="23" t="inlineStr">
        <is>
          <t>мяг</t>
        </is>
      </c>
      <c r="M1233" s="23" t="n">
        <v>159</v>
      </c>
      <c r="N1233" s="23" t="n">
        <v>2023</v>
      </c>
      <c r="O1233" s="23" t="n">
        <v>76</v>
      </c>
      <c r="P1233" s="23" t="n"/>
      <c r="Q1233" s="23" t="n"/>
      <c r="R1233" s="25" t="inlineStr">
        <is>
          <t>Элси Винтер совершает вынужденную посадку в Сильвабоне. Она в ужасе, потому что не желает видеться с надменным королем Фелипе, который совсем недавно приказал ей убраться из его страны. Но при очередной встрече с ним она понимает, что, несмотря на обиду, не сможет противостоять его опасному очарованию.</t>
        </is>
      </c>
      <c r="S1233" s="26">
        <f>HYPERLINK("http://www.cnpol.ru/covers/20639.jpg","фото на сайте")</f>
        <v/>
      </c>
    </row>
    <row r="1234" ht="50.1" customHeight="1" s="3">
      <c r="A1234" s="23" t="n"/>
      <c r="B1234" s="24" t="inlineStr">
        <is>
          <t>16617</t>
        </is>
      </c>
      <c r="C1234" s="23" t="inlineStr">
        <is>
          <t>ЛР</t>
        </is>
      </c>
      <c r="D1234" s="23" t="inlineStr">
        <is>
          <t>Эйтс М.</t>
        </is>
      </c>
      <c r="E1234" s="23" t="inlineStr">
        <is>
          <t>Искушение ддля принцессы</t>
        </is>
      </c>
      <c r="F1234" s="23" t="n">
        <v>598</v>
      </c>
      <c r="G1234" s="23" t="n">
        <v>94</v>
      </c>
      <c r="H1234" s="23" t="n">
        <v>10</v>
      </c>
      <c r="I1234" s="23" t="n">
        <v>30</v>
      </c>
      <c r="J1234" s="23" t="inlineStr">
        <is>
          <t>978-5-227-06528-5</t>
        </is>
      </c>
      <c r="K1234" s="23" t="inlineStr">
        <is>
          <t>70x100 1/32</t>
        </is>
      </c>
      <c r="L1234" s="23" t="inlineStr">
        <is>
          <t>мяг</t>
        </is>
      </c>
      <c r="M1234" s="23" t="n">
        <v>160</v>
      </c>
      <c r="N1234" s="23" t="n">
        <v>2016</v>
      </c>
      <c r="O1234" s="23" t="n">
        <v>76</v>
      </c>
      <c r="P1234" s="23" t="n"/>
      <c r="Q1234" s="23" t="n"/>
      <c r="R1234" s="25" t="inlineStr">
        <is>
          <t>Родригес и Карлотта — принц и принцесса, и у них получился поистине королевский союз. Вот только брак для обоих стал неожиданным, вынужденным. Но кто сказал, что в этом случае счастье невозможно?</t>
        </is>
      </c>
      <c r="S1234" s="26">
        <f>HYPERLINK("http://www.cnpol.ru/covers/16617.jpg","фото на сайте")</f>
        <v/>
      </c>
    </row>
    <row r="1235" ht="50.1" customHeight="1" s="3">
      <c r="A1235" s="23" t="n"/>
      <c r="B1235" s="24" t="inlineStr">
        <is>
          <t>19794</t>
        </is>
      </c>
      <c r="C1235" s="23" t="inlineStr">
        <is>
          <t>ЛР</t>
        </is>
      </c>
      <c r="D1235" s="23" t="inlineStr">
        <is>
          <t>Уэст Э.</t>
        </is>
      </c>
      <c r="E1235" s="23" t="inlineStr">
        <is>
          <t>Истинное доказательство чувств</t>
        </is>
      </c>
      <c r="F1235" s="23" t="n">
        <v>1048</v>
      </c>
      <c r="G1235" s="23" t="n">
        <v>94</v>
      </c>
      <c r="H1235" s="23" t="n">
        <v>10</v>
      </c>
      <c r="I1235" s="23" t="n">
        <v>30</v>
      </c>
      <c r="J1235" s="23" t="inlineStr">
        <is>
          <t>978-5-227-09403-2</t>
        </is>
      </c>
      <c r="K1235" s="23" t="inlineStr">
        <is>
          <t>70x100 1/32</t>
        </is>
      </c>
      <c r="L1235" s="23" t="inlineStr">
        <is>
          <t>мяг</t>
        </is>
      </c>
      <c r="M1235" s="23" t="n">
        <v>160</v>
      </c>
      <c r="N1235" s="23" t="n">
        <v>2021</v>
      </c>
      <c r="O1235" s="23" t="n">
        <v>76</v>
      </c>
      <c r="P1235" s="23" t="n"/>
      <c r="Q1235" s="23" t="n"/>
      <c r="R1235" s="25" t="inlineStr">
        <is>
          <t>Желая уберечь подругу от договорного брака, покорная принцесса Мина отправляется на роскошный личный остров загадочного Алексея Кацароса. Мина должна убедить Алексея, что именно она и есть его будущая невеста. Принцесса не планирует никаких серьезных отношений, но после восхитительной ночи любви в объятиях страстного грека понимает, что теперь ее сердце полностью в его власти…</t>
        </is>
      </c>
      <c r="S1235" s="26">
        <f>HYPERLINK("http://www.cnpol.ru/covers/19794.jpg","фото на сайте")</f>
        <v/>
      </c>
    </row>
    <row r="1236" ht="50.1" customHeight="1" s="3">
      <c r="A1236" s="23" t="n"/>
      <c r="B1236" s="24" t="inlineStr">
        <is>
          <t>18264</t>
        </is>
      </c>
      <c r="C1236" s="23" t="inlineStr">
        <is>
          <t>ЛР</t>
        </is>
      </c>
      <c r="D1236" s="23" t="inlineStr">
        <is>
          <t>Шоу Ш.</t>
        </is>
      </c>
      <c r="E1236" s="23" t="inlineStr">
        <is>
          <t>Источник восхитительной неги</t>
        </is>
      </c>
      <c r="F1236" s="23" t="n">
        <v>829</v>
      </c>
      <c r="G1236" s="23" t="n">
        <v>94</v>
      </c>
      <c r="H1236" s="23" t="n">
        <v>10</v>
      </c>
      <c r="I1236" s="23" t="n">
        <v>30</v>
      </c>
      <c r="J1236" s="23" t="inlineStr">
        <is>
          <t>978-5-227-08223-7</t>
        </is>
      </c>
      <c r="K1236" s="23" t="inlineStr">
        <is>
          <t>70x100 1/32</t>
        </is>
      </c>
      <c r="L1236" s="23" t="inlineStr">
        <is>
          <t>мяг</t>
        </is>
      </c>
      <c r="M1236" s="23" t="n">
        <v>160</v>
      </c>
      <c r="N1236" s="23" t="n">
        <v>2018</v>
      </c>
      <c r="O1236" s="23" t="n">
        <v>76</v>
      </c>
      <c r="P1236" s="23" t="n"/>
      <c r="Q1236" s="23" t="n"/>
      <c r="R1236" s="25" t="inlineStr">
        <is>
          <t>После бурного романа с итальянским магнатом Леандро Виалли простая официантка Марни Кларк довольно быстро узнает о своей беременности. Но обожание и преданность с ее стороны быстро сменяются болью и разочарованием: для Леандро она была всего лишь временным, ничего не значащим увлечением. Осознав это, она решает навсегда исчезнуть из жизни богатого плейбоя. Леандро все же узнает, что скоро станет отцом. Он хочет принимать участие в воспитании ребенка, но наладить отношения с Марни теперь не так просто. Тем более что девушка страдает временной амнезией. Правда, самоуверенный Леандро умеет находить выход из любой ситуации…</t>
        </is>
      </c>
      <c r="S1236" s="26">
        <f>HYPERLINK("http://www.cnpol.ru/covers/18264.jpg","фото на сайте")</f>
        <v/>
      </c>
    </row>
    <row r="1237" ht="50.1" customHeight="1" s="3">
      <c r="A1237" s="23" t="n"/>
      <c r="B1237" s="24" t="inlineStr">
        <is>
          <t>18333</t>
        </is>
      </c>
      <c r="C1237" s="23" t="inlineStr">
        <is>
          <t>ЛР</t>
        </is>
      </c>
      <c r="D1237" s="23" t="inlineStr">
        <is>
          <t>Кендрик Ш.</t>
        </is>
      </c>
      <c r="E1237" s="23" t="inlineStr">
        <is>
          <t>К алтарю по его приказу</t>
        </is>
      </c>
      <c r="F1237" s="23" t="n">
        <v>841</v>
      </c>
      <c r="G1237" s="23" t="n">
        <v>94</v>
      </c>
      <c r="H1237" s="23" t="n">
        <v>10</v>
      </c>
      <c r="I1237" s="23" t="n">
        <v>30</v>
      </c>
      <c r="J1237" s="23" t="inlineStr">
        <is>
          <t>978-5-227-08326-5</t>
        </is>
      </c>
      <c r="K1237" s="23" t="inlineStr">
        <is>
          <t>70x100 1/32</t>
        </is>
      </c>
      <c r="L1237" s="23" t="inlineStr">
        <is>
          <t>мяг</t>
        </is>
      </c>
      <c r="M1237" s="23" t="n">
        <v>160</v>
      </c>
      <c r="N1237" s="23" t="n">
        <v>2018</v>
      </c>
      <c r="O1237" s="23" t="n">
        <v>76</v>
      </c>
      <c r="P1237" s="23" t="n"/>
      <c r="Q1237" s="23" t="n"/>
      <c r="R1237" s="25" t="inlineStr">
        <is>
          <t>Они встретились на райском острове. Их чувства, казалось, были взаимными, но суровый грек Аристон Кавакос очень обидел юную Кайли Тернер, и она постаралась забыть его. Спустя годы судьба снова свела их вместе, однако неизвестно, станет их новая встреча началом романа или войны?</t>
        </is>
      </c>
      <c r="S1237" s="26">
        <f>HYPERLINK("http://www.cnpol.ru/covers/18333.jpg","фото на сайте")</f>
        <v/>
      </c>
    </row>
    <row r="1238" ht="50.1" customHeight="1" s="3">
      <c r="A1238" s="23" t="n"/>
      <c r="B1238" s="24" t="inlineStr">
        <is>
          <t>18801</t>
        </is>
      </c>
      <c r="C1238" s="23" t="inlineStr">
        <is>
          <t>ЛР</t>
        </is>
      </c>
      <c r="D1238" s="23" t="inlineStr">
        <is>
          <t>Болтер А.</t>
        </is>
      </c>
      <c r="E1238" s="23" t="inlineStr">
        <is>
          <t>К алтарю с другим женихом</t>
        </is>
      </c>
      <c r="F1238" s="23" t="n">
        <v>914</v>
      </c>
      <c r="G1238" s="23" t="n">
        <v>94</v>
      </c>
      <c r="H1238" s="23" t="n">
        <v>10</v>
      </c>
      <c r="I1238" s="23" t="n">
        <v>30</v>
      </c>
      <c r="J1238" s="23" t="inlineStr">
        <is>
          <t>978-5-227-08691-4</t>
        </is>
      </c>
      <c r="K1238" s="23" t="inlineStr">
        <is>
          <t>70x100 1/32</t>
        </is>
      </c>
      <c r="L1238" s="23" t="inlineStr">
        <is>
          <t>мяг</t>
        </is>
      </c>
      <c r="M1238" s="23" t="n">
        <v>160</v>
      </c>
      <c r="N1238" s="23" t="n">
        <v>2019</v>
      </c>
      <c r="O1238" s="23" t="n">
        <v>76</v>
      </c>
      <c r="P1238" s="23" t="n"/>
      <c r="Q1238" s="23" t="n"/>
      <c r="R1238" s="25" t="inlineStr">
        <is>
          <t>Принцесса Лусиана должна выйти замуж за короля соседнего государства, который на тридцать лет ее старше. Желая напоследок насладиться свободой, она накануне свадьбы сбегает из дворца и едет во Флоренцию — город своей мечты. Но там принцесса едва не попадает в лапы мошенников. В последний момент ей на помощь приходит великолепный Джио Грасси — технический гений и глава компьютерной империи. Разочарованный в женщинах, Джио дал себе слово навсегда остаться холостяком. Однако встреча с принцессой Лусианой меняет его взгляд на жизнь.</t>
        </is>
      </c>
      <c r="S1238" s="26">
        <f>HYPERLINK("http://www.cnpol.ru/covers/18801.jpg","фото на сайте")</f>
        <v/>
      </c>
    </row>
    <row r="1239" ht="50.1" customHeight="1" s="3">
      <c r="A1239" s="23" t="n"/>
      <c r="B1239" s="24" t="inlineStr">
        <is>
          <t>17710</t>
        </is>
      </c>
      <c r="C1239" s="23" t="inlineStr">
        <is>
          <t>ЛР</t>
        </is>
      </c>
      <c r="D1239" s="23" t="inlineStr">
        <is>
          <t>Мейер С.</t>
        </is>
      </c>
      <c r="E1239" s="23" t="inlineStr">
        <is>
          <t>Как приручить гения</t>
        </is>
      </c>
      <c r="F1239" s="23" t="n">
        <v>754</v>
      </c>
      <c r="G1239" s="23" t="n">
        <v>94</v>
      </c>
      <c r="H1239" s="23" t="n">
        <v>10</v>
      </c>
      <c r="I1239" s="23" t="n">
        <v>30</v>
      </c>
      <c r="J1239" s="23" t="inlineStr">
        <is>
          <t>978-5-227-07706-6</t>
        </is>
      </c>
      <c r="K1239" s="23" t="inlineStr">
        <is>
          <t>70x100 1/32</t>
        </is>
      </c>
      <c r="L1239" s="23" t="inlineStr">
        <is>
          <t>мяг</t>
        </is>
      </c>
      <c r="M1239" s="23" t="n">
        <v>160</v>
      </c>
      <c r="N1239" s="23" t="n">
        <v>2017</v>
      </c>
      <c r="O1239" s="23" t="n">
        <v>76</v>
      </c>
      <c r="P1239" s="23" t="n"/>
      <c r="Q1239" s="23" t="n"/>
      <c r="R1239" s="25" t="inlineStr">
        <is>
          <t>Дин Сумински — компьютерный гений, посвятивший всю свою жизнь работе и карьере. Он давно уже потерял веру в простые человеческие ценности: доброту, отзывчивость, понимание и… любовь. Виной тому — тяжелое детство и предательство любимой женщины. Но ворвавшейся в его жизнь Кристен Андерсон, веселой и жизнерадостной красавице, судя по всему, суждено поменять его взгляд на жизнь.</t>
        </is>
      </c>
      <c r="S1239" s="26">
        <f>HYPERLINK("http://www.cnpol.ru/covers/17710.jpg","фото на сайте")</f>
        <v/>
      </c>
    </row>
    <row r="1240" ht="50.1" customHeight="1" s="3">
      <c r="A1240" s="23" t="n"/>
      <c r="B1240" s="24" t="inlineStr">
        <is>
          <t>16341</t>
        </is>
      </c>
      <c r="C1240" s="23" t="inlineStr">
        <is>
          <t>ЛР</t>
        </is>
      </c>
      <c r="D1240" s="23" t="inlineStr">
        <is>
          <t>Селмер М.</t>
        </is>
      </c>
      <c r="E1240" s="23" t="inlineStr">
        <is>
          <t>Как стать принцессой</t>
        </is>
      </c>
      <c r="F1240" s="23" t="n">
        <v>563</v>
      </c>
      <c r="G1240" s="23" t="n">
        <v>94</v>
      </c>
      <c r="H1240" s="23" t="n">
        <v>10</v>
      </c>
      <c r="I1240" s="23" t="n">
        <v>30</v>
      </c>
      <c r="J1240" s="23" t="inlineStr">
        <is>
          <t>978-5-227-06194-2</t>
        </is>
      </c>
      <c r="K1240" s="23" t="inlineStr">
        <is>
          <t>70x100 1/32</t>
        </is>
      </c>
      <c r="L1240" s="23" t="inlineStr">
        <is>
          <t>мяг</t>
        </is>
      </c>
      <c r="M1240" s="23" t="n">
        <v>158</v>
      </c>
      <c r="N1240" s="23" t="n">
        <v>2015</v>
      </c>
      <c r="O1240" s="23" t="n">
        <v>76</v>
      </c>
      <c r="P1240" s="23" t="n"/>
      <c r="Q1240" s="23" t="n"/>
      <c r="R1240" s="25" t="inlineStr">
        <is>
          <t>Принц Маркус Сальватора хочет воспрепятствовать замыслу Ванессы Рейнольдс стать королевой. Красивая мать­одиночка полагает, что выйдет замуж за отца Маркуса, но принц собирается сделать все, что в его силах, чтобы этот брак не состоялся. Однако, познакомившись ближе с этой милой американкой и ее маленькой дочкой, он в недоумении: эта женщина вовсе не интриганка…</t>
        </is>
      </c>
      <c r="S1240" s="26">
        <f>HYPERLINK("http://www.cnpol.ru/covers/16341.jpg","фото на сайте")</f>
        <v/>
      </c>
    </row>
    <row r="1241" ht="50.1" customHeight="1" s="3">
      <c r="A1241" s="23" t="inlineStr">
        <is>
          <t>Н</t>
        </is>
      </c>
      <c r="B1241" s="24" t="inlineStr">
        <is>
          <t>21173</t>
        </is>
      </c>
      <c r="C1241" s="23" t="inlineStr">
        <is>
          <t>ЛР</t>
        </is>
      </c>
      <c r="D1241" s="23" t="inlineStr">
        <is>
          <t>Марш Э.</t>
        </is>
      </c>
      <c r="E1241" s="23" t="inlineStr">
        <is>
          <t>Как укротить плейбоя</t>
        </is>
      </c>
      <c r="F1241" s="23" t="n">
        <v>1176</v>
      </c>
      <c r="G1241" s="23" t="n">
        <v>94</v>
      </c>
      <c r="H1241" s="23" t="n">
        <v>10</v>
      </c>
      <c r="I1241" s="23" t="n">
        <v>30</v>
      </c>
      <c r="J1241" s="23" t="inlineStr">
        <is>
          <t>978-5-227-10508-0</t>
        </is>
      </c>
      <c r="K1241" s="23" t="inlineStr">
        <is>
          <t>70x100 1/32</t>
        </is>
      </c>
      <c r="L1241" s="23" t="inlineStr">
        <is>
          <t>мяг</t>
        </is>
      </c>
      <c r="M1241" s="23" t="n">
        <v>159</v>
      </c>
      <c r="N1241" s="23" t="n">
        <v>2024</v>
      </c>
      <c r="O1241" s="23" t="n">
        <v>76</v>
      </c>
      <c r="P1241" s="23" t="n"/>
      <c r="Q1241" s="23" t="n"/>
      <c r="R1241" s="25" t="inlineStr">
        <is>
          <t>Известный актер Деклан, красавчик и плейбой, вынужден отправиться в парусную регату в паре с Шарлоттой, скромной девушкой из респектабельной семьи. Главный приз — возможность управлять семейным бизнесом, ведь приемный отец Деклана не верит в то, что сын может быть серьезным и ответственным. Шарлотте же нужны деньги для собственного благотворительного фонда. Взаимодействовать друг с другом для них обоих — настоящее испытание. Но в один момент все меняется…</t>
        </is>
      </c>
      <c r="S1241" s="26">
        <f>HYPERLINK("http://www.cnpol.ru/covers/21173.jpg","фото на сайте")</f>
        <v/>
      </c>
    </row>
    <row r="1242" ht="50.1" customHeight="1" s="3">
      <c r="A1242" s="23" t="n"/>
      <c r="B1242" s="24" t="inlineStr">
        <is>
          <t>17785</t>
        </is>
      </c>
      <c r="C1242" s="23" t="inlineStr">
        <is>
          <t>ЛР</t>
        </is>
      </c>
      <c r="D1242" s="23" t="inlineStr">
        <is>
          <t>Пэмми Т.</t>
        </is>
      </c>
      <c r="E1242" s="23" t="inlineStr">
        <is>
          <t>Как укротить сердцеедку</t>
        </is>
      </c>
      <c r="F1242" s="23" t="n">
        <v>765</v>
      </c>
      <c r="G1242" s="23" t="n">
        <v>94</v>
      </c>
      <c r="H1242" s="23" t="n">
        <v>10</v>
      </c>
      <c r="I1242" s="23" t="n">
        <v>30</v>
      </c>
      <c r="J1242" s="23" t="inlineStr">
        <is>
          <t>978-5-227-07727-1</t>
        </is>
      </c>
      <c r="K1242" s="23" t="inlineStr">
        <is>
          <t>70x100 1/32</t>
        </is>
      </c>
      <c r="L1242" s="23" t="inlineStr">
        <is>
          <t>мяг</t>
        </is>
      </c>
      <c r="M1242" s="23" t="n">
        <v>160</v>
      </c>
      <c r="N1242" s="23" t="n">
        <v>2017</v>
      </c>
      <c r="O1242" s="23" t="n">
        <v>76</v>
      </c>
      <c r="P1242" s="23" t="n"/>
      <c r="Q1242" s="23" t="n"/>
      <c r="R1242" s="25" t="inlineStr">
        <is>
          <t>Мия Родригес Морган собирается объявить о завершении спортивной карьеры и устраивает пресс­конференцию, на которой встречает лучшего друга своего покойного мужа, Никандроса Дракоса, принца небольшого средиземноморского княжества. Уступив непреодолимой страсти, они проводят ночь в объятиях друг друга, чтобы больше никогда не встретиться. Но через некоторое время Мия ­узнает, что беременна. Услышав эту новость, Никандрос настоятельно требует, чтобы они поженились. Только Мия сомневается, что они будут счастливы в браке без любви.</t>
        </is>
      </c>
      <c r="S1242" s="26">
        <f>HYPERLINK("http://www.cnpol.ru/covers/17785.jpg","фото на сайте")</f>
        <v/>
      </c>
    </row>
    <row r="1243" ht="50.1" customHeight="1" s="3">
      <c r="A1243" s="23" t="n"/>
      <c r="B1243" s="24" t="inlineStr">
        <is>
          <t>20437</t>
        </is>
      </c>
      <c r="C1243" s="23" t="inlineStr">
        <is>
          <t>ЛР</t>
        </is>
      </c>
      <c r="D1243" s="23" t="inlineStr">
        <is>
          <t>Джексон Б.</t>
        </is>
      </c>
      <c r="E1243" s="23" t="inlineStr">
        <is>
          <t>Каникулы для двоих</t>
        </is>
      </c>
      <c r="F1243" s="23" t="n">
        <v>1114</v>
      </c>
      <c r="G1243" s="23" t="n">
        <v>94</v>
      </c>
      <c r="H1243" s="23" t="n">
        <v>10</v>
      </c>
      <c r="I1243" s="23" t="n">
        <v>30</v>
      </c>
      <c r="J1243" s="23" t="inlineStr">
        <is>
          <t>978-5-227-10124-2</t>
        </is>
      </c>
      <c r="K1243" s="23" t="inlineStr">
        <is>
          <t>70x100 1/32</t>
        </is>
      </c>
      <c r="L1243" s="23" t="inlineStr">
        <is>
          <t>мяг</t>
        </is>
      </c>
      <c r="M1243" s="23" t="n">
        <v>159</v>
      </c>
      <c r="N1243" s="23" t="n">
        <v>2022</v>
      </c>
      <c r="O1243" s="23" t="n">
        <v>76</v>
      </c>
      <c r="P1243" s="23" t="n"/>
      <c r="Q1243" s="23" t="n"/>
      <c r="R1243" s="25" t="inlineStr">
        <is>
          <t>После предательства бойфренда актриса Пейдж Новак отправляется в гости к своим родственникам на виноградники в долине Напа. Ей нужно скрыться от назойливой прессы и отдохнуть после съемок. Неожиданно туда приезжает ее знакомый Джесс Аутло и предлагает ей притвориться, будто у них страстный роман, чтобы отомстить ее бывшему возлюбленному. Пейдж, которой всегда нравился Джесс, соглашается, и в какой-то момент их игра перестает быть игрой.</t>
        </is>
      </c>
      <c r="S1243" s="26">
        <f>HYPERLINK("http://www.cnpol.ru/covers/20437.jpg","фото на сайте")</f>
        <v/>
      </c>
    </row>
    <row r="1244" ht="50.1" customHeight="1" s="3">
      <c r="A1244" s="23" t="n"/>
      <c r="B1244" s="24" t="inlineStr">
        <is>
          <t>18549</t>
        </is>
      </c>
      <c r="C1244" s="23" t="inlineStr">
        <is>
          <t>ЛР</t>
        </is>
      </c>
      <c r="D1244" s="23" t="inlineStr">
        <is>
          <t>Коннелли К.</t>
        </is>
      </c>
      <c r="E1244" s="23" t="inlineStr">
        <is>
          <t>Капитуляция в брачную ночь</t>
        </is>
      </c>
      <c r="F1244" s="23" t="n">
        <v>876</v>
      </c>
      <c r="G1244" s="23" t="n">
        <v>94</v>
      </c>
      <c r="H1244" s="23" t="n">
        <v>10</v>
      </c>
      <c r="I1244" s="23" t="n">
        <v>30</v>
      </c>
      <c r="J1244" s="23" t="inlineStr">
        <is>
          <t>978-5-227-08436-1</t>
        </is>
      </c>
      <c r="K1244" s="23" t="inlineStr">
        <is>
          <t>70x100 1/32</t>
        </is>
      </c>
      <c r="L1244" s="23" t="inlineStr">
        <is>
          <t>мяг</t>
        </is>
      </c>
      <c r="M1244" s="23" t="n">
        <v>160</v>
      </c>
      <c r="N1244" s="23" t="n">
        <v>2019</v>
      </c>
      <c r="O1244" s="23" t="n">
        <v>76</v>
      </c>
      <c r="P1244" s="23" t="n"/>
      <c r="Q1244" s="23" t="n"/>
      <c r="R1244" s="25" t="n"/>
      <c r="S1244" s="26">
        <f>HYPERLINK("http://www.cnpol.ru/covers/18549.jpg","фото на сайте")</f>
        <v/>
      </c>
    </row>
    <row r="1245" ht="50.1" customHeight="1" s="3">
      <c r="A1245" s="23" t="n"/>
      <c r="B1245" s="24" t="inlineStr">
        <is>
          <t>16881</t>
        </is>
      </c>
      <c r="C1245" s="23" t="inlineStr">
        <is>
          <t>ЛР</t>
        </is>
      </c>
      <c r="D1245" s="23" t="inlineStr">
        <is>
          <t>Томас Р.</t>
        </is>
      </c>
      <c r="E1245" s="23" t="inlineStr">
        <is>
          <t>Капкан для одиноких сердец</t>
        </is>
      </c>
      <c r="F1245" s="23" t="n">
        <v>634</v>
      </c>
      <c r="G1245" s="23" t="n">
        <v>94</v>
      </c>
      <c r="H1245" s="23" t="n">
        <v>10</v>
      </c>
      <c r="I1245" s="23" t="n">
        <v>30</v>
      </c>
      <c r="J1245" s="23" t="inlineStr">
        <is>
          <t>978-5-227-06825-5</t>
        </is>
      </c>
      <c r="K1245" s="23" t="inlineStr">
        <is>
          <t>70x100 1/32</t>
        </is>
      </c>
      <c r="L1245" s="23" t="inlineStr">
        <is>
          <t>мяг</t>
        </is>
      </c>
      <c r="M1245" s="23" t="n">
        <v>160</v>
      </c>
      <c r="N1245" s="23" t="n">
        <v>2016</v>
      </c>
      <c r="O1245" s="23" t="n">
        <v>76</v>
      </c>
      <c r="P1245" s="23" t="n"/>
      <c r="Q1245" s="23" t="n"/>
      <c r="R1245" s="25" t="inlineStr">
        <is>
          <t>Хавьер Моретти, итальянский бизнесмен и бывший мотогонщик, решает устроить праздничный ужин для членов своей семьи. Для организации праздника он приглашает Тилли Роджерс — простую девушку, любящую свою работу и с душой относящуюся к делу. Но случается непредвиденное: Хавьер и Тилли оказываются запертыми в ловушке у снежной бури. Им предстоит провести несколько дней в старинном поместье наедине друг с другом….Сможет ли Тилли устоять перед магнетизмом  плейбоя?</t>
        </is>
      </c>
      <c r="S1245" s="26">
        <f>HYPERLINK("http://www.cnpol.ru/covers/16881.jpg","фото на сайте")</f>
        <v/>
      </c>
    </row>
    <row r="1246" ht="50.1" customHeight="1" s="3">
      <c r="A1246" s="23" t="n"/>
      <c r="B1246" s="24" t="inlineStr">
        <is>
          <t>18427</t>
        </is>
      </c>
      <c r="C1246" s="23" t="inlineStr">
        <is>
          <t>ЛР</t>
        </is>
      </c>
      <c r="D1246" s="23" t="inlineStr">
        <is>
          <t>Гилмор Д.</t>
        </is>
      </c>
      <c r="E1246" s="23" t="inlineStr">
        <is>
          <t>Кастинг на лучшую золушку</t>
        </is>
      </c>
      <c r="F1246" s="23" t="n">
        <v>856</v>
      </c>
      <c r="G1246" s="23" t="n">
        <v>94</v>
      </c>
      <c r="H1246" s="23" t="n">
        <v>10</v>
      </c>
      <c r="I1246" s="23" t="n">
        <v>30</v>
      </c>
      <c r="J1246" s="23" t="inlineStr">
        <is>
          <t>978-5-227-08382-1</t>
        </is>
      </c>
      <c r="K1246" s="23" t="inlineStr">
        <is>
          <t>70x100 1/32</t>
        </is>
      </c>
      <c r="L1246" s="23" t="inlineStr">
        <is>
          <t>мяг</t>
        </is>
      </c>
      <c r="M1246" s="23" t="n">
        <v>160</v>
      </c>
      <c r="N1246" s="23" t="n">
        <v>2018</v>
      </c>
      <c r="O1246" s="23" t="n">
        <v>76</v>
      </c>
      <c r="P1246" s="23" t="n"/>
      <c r="Q1246" s="23" t="n"/>
      <c r="R1246" s="25" t="inlineStr">
        <is>
          <t>Жизнь Раффа Рафферти, наследника многомиллионной компании, давно спланирована властным дедом, но он твердо намерен отстоять свою независимость. Все, что ему нужно, — это идеальная девушка, которая устроит и его требовательных родственников, и партнеров по бизнесу. Ради этого Рафф готов стать для Клары Кастельтон прекрасным принцем. Но что делать, если ему досталась слишком самостоятельная Золушка, которая давно не верит в сказки?</t>
        </is>
      </c>
      <c r="S1246" s="26">
        <f>HYPERLINK("http://www.cnpol.ru/covers/18427.jpg","фото на сайте")</f>
        <v/>
      </c>
    </row>
    <row r="1247" ht="50.1" customHeight="1" s="3">
      <c r="A1247" s="23" t="n"/>
      <c r="B1247" s="24" t="inlineStr">
        <is>
          <t>18178</t>
        </is>
      </c>
      <c r="C1247" s="23" t="inlineStr">
        <is>
          <t>ЛР</t>
        </is>
      </c>
      <c r="D1247" s="23" t="inlineStr">
        <is>
          <t>Грэхем Л.</t>
        </is>
      </c>
      <c r="E1247" s="23" t="inlineStr">
        <is>
          <t>Ключ к тайнам сладострастия</t>
        </is>
      </c>
      <c r="F1247" s="23" t="n">
        <v>814</v>
      </c>
      <c r="G1247" s="23" t="n">
        <v>94</v>
      </c>
      <c r="H1247" s="23" t="n">
        <v>10</v>
      </c>
      <c r="I1247" s="23" t="n">
        <v>30</v>
      </c>
      <c r="J1247" s="23" t="inlineStr">
        <is>
          <t>978-5-227-08150-6</t>
        </is>
      </c>
      <c r="K1247" s="23" t="inlineStr">
        <is>
          <t>70x100 1/32</t>
        </is>
      </c>
      <c r="L1247" s="23" t="inlineStr">
        <is>
          <t>мяг</t>
        </is>
      </c>
      <c r="M1247" s="23" t="n">
        <v>160</v>
      </c>
      <c r="N1247" s="23" t="n">
        <v>2018</v>
      </c>
      <c r="O1247" s="23" t="n">
        <v>76</v>
      </c>
      <c r="P1247" s="23" t="n"/>
      <c r="Q1247" s="23" t="n"/>
      <c r="R1247" s="25" t="n"/>
      <c r="S1247" s="26">
        <f>HYPERLINK("http://www.cnpol.ru/covers/18178.jpg","фото на сайте")</f>
        <v/>
      </c>
    </row>
    <row r="1248" ht="50.1" customHeight="1" s="3">
      <c r="A1248" s="23" t="n"/>
      <c r="B1248" s="24" t="inlineStr">
        <is>
          <t>16821</t>
        </is>
      </c>
      <c r="C1248" s="23" t="inlineStr">
        <is>
          <t>ЛР</t>
        </is>
      </c>
      <c r="D1248" s="23" t="inlineStr">
        <is>
          <t>Эйтс М.</t>
        </is>
      </c>
      <c r="E1248" s="23" t="inlineStr">
        <is>
          <t>Клятва соблазнителя</t>
        </is>
      </c>
      <c r="F1248" s="23" t="n">
        <v>626</v>
      </c>
      <c r="G1248" s="23" t="n">
        <v>94</v>
      </c>
      <c r="H1248" s="23" t="n">
        <v>10</v>
      </c>
      <c r="I1248" s="23" t="n">
        <v>30</v>
      </c>
      <c r="J1248" s="23" t="inlineStr">
        <is>
          <t>978-5-227-06787-6</t>
        </is>
      </c>
      <c r="K1248" s="23" t="inlineStr">
        <is>
          <t>70x100 1/32</t>
        </is>
      </c>
      <c r="L1248" s="23" t="inlineStr">
        <is>
          <t>мяг</t>
        </is>
      </c>
      <c r="M1248" s="23" t="n">
        <v>160</v>
      </c>
      <c r="N1248" s="23" t="n">
        <v>2016</v>
      </c>
      <c r="O1248" s="23" t="n">
        <v>76</v>
      </c>
      <c r="P1248" s="23" t="n"/>
      <c r="Q1248" s="23" t="n"/>
      <c r="R1248" s="25" t="inlineStr">
        <is>
          <t>Чтобы выполнить свой долг перед страной, принц Андрес должен жениться на женщине, которую выбрал для него старший брат. Он согласен, но красавица Зара, прожившая много лет в изоляции от внешнего мира, не готова связать себя узами брака с самодовольным плейбоем. Укротить ее буйный нрав оказывается непросто, но в игру вступает всепоглощающая страсть…</t>
        </is>
      </c>
      <c r="S1248" s="26">
        <f>HYPERLINK("http://www.cnpol.ru/covers/16821.jpg","фото на сайте")</f>
        <v/>
      </c>
    </row>
    <row r="1249" ht="50.1" customHeight="1" s="3">
      <c r="A1249" s="23" t="n"/>
      <c r="B1249" s="24" t="inlineStr">
        <is>
          <t>16634</t>
        </is>
      </c>
      <c r="C1249" s="23" t="inlineStr">
        <is>
          <t>ЛР</t>
        </is>
      </c>
      <c r="D1249" s="23" t="inlineStr">
        <is>
          <t>Данлоп Б.</t>
        </is>
      </c>
      <c r="E1249" s="23" t="inlineStr">
        <is>
          <t>Коварная скромница</t>
        </is>
      </c>
      <c r="F1249" s="23" t="n">
        <v>603</v>
      </c>
      <c r="G1249" s="23" t="n">
        <v>94</v>
      </c>
      <c r="H1249" s="23" t="n">
        <v>10</v>
      </c>
      <c r="I1249" s="23" t="n">
        <v>30</v>
      </c>
      <c r="J1249" s="23" t="inlineStr">
        <is>
          <t>978-5-227-06533-9</t>
        </is>
      </c>
      <c r="K1249" s="23" t="inlineStr">
        <is>
          <t>70x100 1/32</t>
        </is>
      </c>
      <c r="L1249" s="23" t="inlineStr">
        <is>
          <t>мяг</t>
        </is>
      </c>
      <c r="M1249" s="23" t="n">
        <v>160</v>
      </c>
      <c r="N1249" s="23" t="n">
        <v>2016</v>
      </c>
      <c r="O1249" s="23" t="n">
        <v>76</v>
      </c>
      <c r="P1249" s="23" t="n"/>
      <c r="Q1249" s="23" t="n"/>
      <c r="R1249" s="25" t="inlineStr">
        <is>
          <t>Жизнь Калиссы Смит меняется в одночасье: она находит свою сестру­близнеца, становится совладелицей богатой компании и влюб­ляется в настойчивого и красивого парня, Райли Эллиса. Но вскоре она узнает, что Райли – конкурент мужа ее сестры, и, вероятно, он решил использовать ее в своих целях.</t>
        </is>
      </c>
      <c r="S1249" s="26">
        <f>HYPERLINK("http://www.cnpol.ru/covers/16634.jpg","фото на сайте")</f>
        <v/>
      </c>
    </row>
    <row r="1250" ht="50.1" customHeight="1" s="3">
      <c r="A1250" s="23" t="n"/>
      <c r="B1250" s="24" t="inlineStr">
        <is>
          <t>20638</t>
        </is>
      </c>
      <c r="C1250" s="23" t="inlineStr">
        <is>
          <t>ЛР</t>
        </is>
      </c>
      <c r="D1250" s="23" t="inlineStr">
        <is>
          <t>Филдинг Л</t>
        </is>
      </c>
      <c r="E1250" s="23" t="inlineStr">
        <is>
          <t>Когда поцелуя мало</t>
        </is>
      </c>
      <c r="F1250" s="23" t="n">
        <v>1138</v>
      </c>
      <c r="G1250" s="23" t="n">
        <v>94</v>
      </c>
      <c r="H1250" s="23" t="n">
        <v>10</v>
      </c>
      <c r="I1250" s="23" t="n">
        <v>30</v>
      </c>
      <c r="J1250" s="23" t="inlineStr">
        <is>
          <t>978-5-227-10304-8</t>
        </is>
      </c>
      <c r="K1250" s="23" t="inlineStr">
        <is>
          <t>70x100 1/32</t>
        </is>
      </c>
      <c r="L1250" s="23" t="inlineStr">
        <is>
          <t>мяг</t>
        </is>
      </c>
      <c r="M1250" s="23" t="n">
        <v>159</v>
      </c>
      <c r="N1250" s="23" t="n">
        <v>2023</v>
      </c>
      <c r="O1250" s="23" t="n">
        <v>76</v>
      </c>
      <c r="P1250" s="23" t="n"/>
      <c r="Q1250" s="23" t="n"/>
      <c r="R1250" s="25" t="inlineStr">
        <is>
          <t>Люсьен Грей, известный военный репортер, страдает от посттравматического синдрома. Он прячется ото всех, не желая видеть и слышать людей. И только Жимми, девушка из соседнего коттеджа, сумела увидеть его внутреннюю боль и постепенно исцелить раны. Но смогут ли они начать жизнь с чистого листа, вдвоем?..</t>
        </is>
      </c>
      <c r="S1250" s="26">
        <f>HYPERLINK("http://www.cnpol.ru/covers/20638.jpg","фото на сайте")</f>
        <v/>
      </c>
    </row>
    <row r="1251" ht="50.1" customHeight="1" s="3">
      <c r="A1251" s="23" t="n"/>
      <c r="B1251" s="24" t="inlineStr">
        <is>
          <t>20160</t>
        </is>
      </c>
      <c r="C1251" s="23" t="inlineStr">
        <is>
          <t>ЛР</t>
        </is>
      </c>
      <c r="D1251" s="23" t="inlineStr">
        <is>
          <t>Фей Д.</t>
        </is>
      </c>
      <c r="E1251" s="23" t="inlineStr">
        <is>
          <t>Когда счастье рядом</t>
        </is>
      </c>
      <c r="F1251" s="23" t="n">
        <v>1086</v>
      </c>
      <c r="G1251" s="23" t="n">
        <v>94</v>
      </c>
      <c r="H1251" s="23" t="n">
        <v>10</v>
      </c>
      <c r="I1251" s="23" t="n">
        <v>30</v>
      </c>
      <c r="J1251" s="23" t="inlineStr">
        <is>
          <t>978-5-227-09670-8</t>
        </is>
      </c>
      <c r="K1251" s="23" t="inlineStr">
        <is>
          <t>70x100 1/32</t>
        </is>
      </c>
      <c r="L1251" s="23" t="inlineStr">
        <is>
          <t>мяг</t>
        </is>
      </c>
      <c r="M1251" s="23" t="n">
        <v>159</v>
      </c>
      <c r="N1251" s="23" t="n">
        <v>2022</v>
      </c>
      <c r="O1251" s="23" t="n">
        <v>76</v>
      </c>
      <c r="P1251" s="23" t="n"/>
      <c r="Q1251" s="23" t="n"/>
      <c r="R1251" s="25" t="inlineStr">
        <is>
          <t>Родители Джии, ее брата и сестры погибли в автокатастрофе. По завещанию огромное состояние будет равноценно разделено между тремя детьми Бартолини. И вдруг выясняется, что Джия не родная дочь своему отцу, у которого была любимицей, а кто ее биологический отец неизвестно. Девушка потрясена и раздавлена, и дело не в наследстве, она его в любом случае получит, а в том, что она не Бартолини! Джия решает выяснить, что за человек дал ей жизнь и почему она о нем ничего не знает. И тут, как в сказке, появляется молодой очень интересный мужчина, который берется ей помочь...</t>
        </is>
      </c>
      <c r="S1251" s="26">
        <f>HYPERLINK("http://www.cnpol.ru/covers/20160.jpg","фото на сайте")</f>
        <v/>
      </c>
    </row>
    <row r="1252" ht="50.1" customHeight="1" s="3">
      <c r="A1252" s="23" t="n"/>
      <c r="B1252" s="24" t="inlineStr">
        <is>
          <t>18413</t>
        </is>
      </c>
      <c r="C1252" s="23" t="inlineStr">
        <is>
          <t>ЛР</t>
        </is>
      </c>
      <c r="D1252" s="23" t="inlineStr">
        <is>
          <t>Райс Х.</t>
        </is>
      </c>
      <c r="E1252" s="23" t="inlineStr">
        <is>
          <t>Когда ты станешь моей</t>
        </is>
      </c>
      <c r="F1252" s="23" t="n">
        <v>854</v>
      </c>
      <c r="G1252" s="23" t="n">
        <v>94</v>
      </c>
      <c r="H1252" s="23" t="n">
        <v>10</v>
      </c>
      <c r="I1252" s="23" t="n">
        <v>30</v>
      </c>
      <c r="J1252" s="23" t="inlineStr">
        <is>
          <t>978-5-227-08359-3</t>
        </is>
      </c>
      <c r="K1252" s="23" t="inlineStr">
        <is>
          <t>70x108 1/32</t>
        </is>
      </c>
      <c r="L1252" s="23" t="inlineStr">
        <is>
          <t>мяг</t>
        </is>
      </c>
      <c r="M1252" s="23" t="n">
        <v>160</v>
      </c>
      <c r="N1252" s="23" t="n">
        <v>2018</v>
      </c>
      <c r="O1252" s="23" t="n">
        <v>76</v>
      </c>
      <c r="P1252" s="23" t="n"/>
      <c r="Q1252" s="23" t="n"/>
      <c r="R1252" s="25" t="inlineStr">
        <is>
          <t>Меган Уиттейкер предстоит нелегкая задача — соблазнить миллионера Дарио де Росси, чтобы спасти компанию своего отца. Она отправляется с ним на роскошный бал, где между ними вспыхивает настоящая страсть. Но после волшебной ночи, которую они провели вместе, ее ждет жестокая расплата за удовольствие. Отец избивает ее, обвиняя в предательстве, и она попадает в больницу. Когда Меган очнулась в палате, оказалось, что она — невеста де Росси. Но когда они успели обручиться?..</t>
        </is>
      </c>
      <c r="S1252" s="26">
        <f>HYPERLINK("http://www.cnpol.ru/covers/18413.jpg","фото на сайте")</f>
        <v/>
      </c>
    </row>
    <row r="1253" ht="50.1" customHeight="1" s="3">
      <c r="A1253" s="23" t="n"/>
      <c r="B1253" s="24" t="inlineStr">
        <is>
          <t>18212</t>
        </is>
      </c>
      <c r="C1253" s="23" t="inlineStr">
        <is>
          <t>ЛР</t>
        </is>
      </c>
      <c r="D1253" s="23" t="inlineStr">
        <is>
          <t>Маринелли К.</t>
        </is>
      </c>
      <c r="E1253" s="23" t="inlineStr">
        <is>
          <t>Когда-нибудь ты вернешься</t>
        </is>
      </c>
      <c r="F1253" s="23" t="n">
        <v>819</v>
      </c>
      <c r="G1253" s="23" t="n">
        <v>94</v>
      </c>
      <c r="H1253" s="23" t="n">
        <v>10</v>
      </c>
      <c r="I1253" s="23" t="n">
        <v>30</v>
      </c>
      <c r="J1253" s="23" t="inlineStr">
        <is>
          <t>978-5-227-08155-1</t>
        </is>
      </c>
      <c r="K1253" s="23" t="inlineStr">
        <is>
          <t>70x100 1/32</t>
        </is>
      </c>
      <c r="L1253" s="23" t="inlineStr">
        <is>
          <t>мяг</t>
        </is>
      </c>
      <c r="M1253" s="23" t="n">
        <v>160</v>
      </c>
      <c r="N1253" s="23" t="n">
        <v>2018</v>
      </c>
      <c r="O1253" s="23" t="n">
        <v>76</v>
      </c>
      <c r="P1253" s="23" t="n"/>
      <c r="Q1253" s="23" t="n"/>
      <c r="R1253" s="25" t="inlineStr">
        <is>
          <t>Итальянский магнат Рауль Ди Саво отправляется на деловую встречу со своим главным врагом, Бастиано, которого винит в смерти любимой матери. Там он знакомится с очаровательной спутницей Бастиано, утонченной красавицей Лидией. У Рауля сразу рождается коварный план мести, и для этого ему придется соблазнить новую знакомую. Однако ночь, проведенная в объятиях трогательной Лидии, меняет его представление об отношениях с женщинами. Рауль влюбляется… но что будет, когда Лидия узнает, что была лишь пешкой в чужой игре?</t>
        </is>
      </c>
      <c r="S1253" s="26">
        <f>HYPERLINK("http://www.cnpol.ru/covers/18212.jpg","фото на сайте")</f>
        <v/>
      </c>
    </row>
    <row r="1254" ht="50.1" customHeight="1" s="3">
      <c r="A1254" s="23" t="n"/>
      <c r="B1254" s="24" t="inlineStr">
        <is>
          <t>18962</t>
        </is>
      </c>
      <c r="C1254" s="23" t="inlineStr">
        <is>
          <t>ЛР</t>
        </is>
      </c>
      <c r="D1254" s="23" t="inlineStr">
        <is>
          <t>Роско П.</t>
        </is>
      </c>
      <c r="E1254" s="23" t="inlineStr">
        <is>
          <t>Кольцо в знак мести</t>
        </is>
      </c>
      <c r="F1254" s="23" t="n">
        <v>945</v>
      </c>
      <c r="G1254" s="23" t="n">
        <v>94</v>
      </c>
      <c r="H1254" s="23" t="n">
        <v>10</v>
      </c>
      <c r="I1254" s="23" t="n">
        <v>30</v>
      </c>
      <c r="J1254" s="23" t="inlineStr">
        <is>
          <t>978-5-227-08795-9</t>
        </is>
      </c>
      <c r="K1254" s="23" t="inlineStr">
        <is>
          <t>70x100 1/32</t>
        </is>
      </c>
      <c r="L1254" s="23" t="inlineStr">
        <is>
          <t>мяг</t>
        </is>
      </c>
      <c r="M1254" s="23" t="n">
        <v>160</v>
      </c>
      <c r="N1254" s="23" t="n">
        <v>2019</v>
      </c>
      <c r="O1254" s="23" t="n">
        <v>76</v>
      </c>
      <c r="P1254" s="23" t="n"/>
      <c r="Q1254" s="23" t="n"/>
      <c r="R1254" s="25" t="inlineStr">
        <is>
          <t>Антонио Аркури много лет вынашивает план мести собственному отцу, разрушившему жизнь его матери и сестры, и вот наконец ему предоставляется шанс поквитаться с ним. Но в план Антонио неожиданным образом оказывается посвящена личная помощница Эмма Гилхэм, к которой он воспылал страстью с первой встречи. И теперь перед ним выбор: отказаться от своей мести ради того, чтобы быть достойным любимой женщины, или позволить возобладать темной стороне своей души.</t>
        </is>
      </c>
      <c r="S1254" s="26">
        <f>HYPERLINK("http://www.cnpol.ru/covers/18962.jpg","фото на сайте")</f>
        <v/>
      </c>
    </row>
    <row r="1255" ht="50.1" customHeight="1" s="3">
      <c r="A1255" s="23" t="n"/>
      <c r="B1255" s="24" t="inlineStr">
        <is>
          <t>16327</t>
        </is>
      </c>
      <c r="C1255" s="23" t="inlineStr">
        <is>
          <t>ЛР</t>
        </is>
      </c>
      <c r="D1255" s="23" t="inlineStr">
        <is>
          <t>Фэй Д.</t>
        </is>
      </c>
      <c r="E1255" s="23" t="inlineStr">
        <is>
          <t>Королева его сердца</t>
        </is>
      </c>
      <c r="F1255" s="23" t="n">
        <v>560</v>
      </c>
      <c r="G1255" s="23" t="n">
        <v>94</v>
      </c>
      <c r="H1255" s="23" t="n">
        <v>10</v>
      </c>
      <c r="I1255" s="23" t="n">
        <v>30</v>
      </c>
      <c r="J1255" s="23" t="inlineStr">
        <is>
          <t>978-5-227-06191-1</t>
        </is>
      </c>
      <c r="K1255" s="23" t="inlineStr">
        <is>
          <t>70x100 1/32</t>
        </is>
      </c>
      <c r="L1255" s="23" t="inlineStr">
        <is>
          <t>мяг</t>
        </is>
      </c>
      <c r="M1255" s="23" t="n">
        <v>158</v>
      </c>
      <c r="N1255" s="23" t="n">
        <v>2015</v>
      </c>
      <c r="O1255" s="23" t="n">
        <v>76</v>
      </c>
      <c r="P1255" s="23" t="n"/>
      <c r="Q1255" s="23" t="n"/>
      <c r="R1255" s="25" t="inlineStr">
        <is>
          <t>Риз Хардинг представить не могла, что остановившийся в ее ­отеле Алекс де Лука на самом деле является принцем Александро Кастанаво. Когда он попросил ее сыграть роль его девушки ради ­безопасности королевства Мираччино, она согласилась, не думая, что в скором времени потеряет голову от любви…</t>
        </is>
      </c>
      <c r="S1255" s="26">
        <f>HYPERLINK("http://www.cnpol.ru/covers/16327.jpg","фото на сайте")</f>
        <v/>
      </c>
    </row>
    <row r="1256" ht="50.1" customHeight="1" s="3">
      <c r="A1256" s="23" t="n"/>
      <c r="B1256" s="24" t="inlineStr">
        <is>
          <t>17039</t>
        </is>
      </c>
      <c r="C1256" s="23" t="inlineStr">
        <is>
          <t>ЛР</t>
        </is>
      </c>
      <c r="D1256" s="23" t="inlineStr">
        <is>
          <t>Эллис Люси</t>
        </is>
      </c>
      <c r="E1256" s="23" t="inlineStr">
        <is>
          <t>Королева моих грез</t>
        </is>
      </c>
      <c r="F1256" s="23" t="n">
        <v>656</v>
      </c>
      <c r="G1256" s="23" t="n">
        <v>94</v>
      </c>
      <c r="H1256" s="23" t="n">
        <v>10</v>
      </c>
      <c r="I1256" s="23" t="n">
        <v>30</v>
      </c>
      <c r="J1256" s="23" t="inlineStr">
        <is>
          <t>978-5-227-07041-8</t>
        </is>
      </c>
      <c r="K1256" s="23" t="inlineStr">
        <is>
          <t>70x100 1/32</t>
        </is>
      </c>
      <c r="L1256" s="23" t="inlineStr">
        <is>
          <t>мяг</t>
        </is>
      </c>
      <c r="M1256" s="23" t="n">
        <v>160</v>
      </c>
      <c r="N1256" s="23" t="n">
        <v>2016</v>
      </c>
      <c r="O1256" s="23" t="n">
        <v>76</v>
      </c>
      <c r="P1256" s="23" t="n"/>
      <c r="Q1256" s="23" t="n"/>
      <c r="R1256" s="25" t="inlineStr">
        <is>
          <t>Российский нефтяной магнат неожиданно становится владельцем парижского кабаре, выиграв его в карты. Он уже решил для себя, что продаст это заведение, вызвав тем самым бурный протест коренных жителей. Однако рыжеволосая танцовщица Джиджи спутала ему все карты, и теперь им приходится скрываться от репортеров в Москве…</t>
        </is>
      </c>
      <c r="S1256" s="26">
        <f>HYPERLINK("http://www.cnpol.ru/covers/17039.jpg","фото на сайте")</f>
        <v/>
      </c>
    </row>
    <row r="1257" ht="50.1" customHeight="1" s="3">
      <c r="A1257" s="23" t="n"/>
      <c r="B1257" s="24" t="inlineStr">
        <is>
          <t>17360</t>
        </is>
      </c>
      <c r="C1257" s="23" t="inlineStr">
        <is>
          <t>ЛР</t>
        </is>
      </c>
      <c r="D1257" s="23" t="inlineStr">
        <is>
          <t>Гордон Л.</t>
        </is>
      </c>
      <c r="E1257" s="23" t="inlineStr">
        <is>
          <t>Короткий роман с продолжением</t>
        </is>
      </c>
      <c r="F1257" s="23" t="n">
        <v>700</v>
      </c>
      <c r="G1257" s="23" t="n">
        <v>94</v>
      </c>
      <c r="H1257" s="23" t="n">
        <v>10</v>
      </c>
      <c r="I1257" s="23" t="n">
        <v>30</v>
      </c>
      <c r="J1257" s="23" t="inlineStr">
        <is>
          <t>978-5-227-07425-6</t>
        </is>
      </c>
      <c r="K1257" s="23" t="inlineStr">
        <is>
          <t>70x100 1/32</t>
        </is>
      </c>
      <c r="L1257" s="23" t="inlineStr">
        <is>
          <t>мяг</t>
        </is>
      </c>
      <c r="M1257" s="23" t="n">
        <v>160</v>
      </c>
      <c r="N1257" s="23" t="n">
        <v>2017</v>
      </c>
      <c r="O1257" s="23" t="n">
        <v>76</v>
      </c>
      <c r="P1257" s="23" t="n"/>
      <c r="Q1257" s="23" t="n"/>
      <c r="R1257" s="25" t="inlineStr">
        <is>
          <t>Брак совершенно не нужен самостоятельной, независимой женщине! Так думала Элли, преуспевающий лондонский юрист, когда узнала, что забеременела от богатого итальянца Леоницио Феллани. Но у Леоницио другие соображения на этот счет. Брак просто ­необходим ему, чтобы утвердить свои права на ребенка. А как же быть с любовью? Возможно ли, что брак по расчету станет браком по любви?</t>
        </is>
      </c>
      <c r="S1257" s="26">
        <f>HYPERLINK("http://www.cnpol.ru/covers/17360.jpg","фото на сайте")</f>
        <v/>
      </c>
    </row>
    <row r="1258" ht="50.1" customHeight="1" s="3">
      <c r="A1258" s="23" t="n"/>
      <c r="B1258" s="24" t="inlineStr">
        <is>
          <t>17379</t>
        </is>
      </c>
      <c r="C1258" s="23" t="inlineStr">
        <is>
          <t>ЛР</t>
        </is>
      </c>
      <c r="D1258" s="23" t="inlineStr">
        <is>
          <t>Кендрик Ш.</t>
        </is>
      </c>
      <c r="E1258" s="23" t="inlineStr">
        <is>
          <t>Красавица с характером</t>
        </is>
      </c>
      <c r="F1258" s="23" t="n">
        <v>703</v>
      </c>
      <c r="G1258" s="23" t="n">
        <v>94</v>
      </c>
      <c r="H1258" s="23" t="n">
        <v>10</v>
      </c>
      <c r="I1258" s="23" t="n">
        <v>30</v>
      </c>
      <c r="J1258" s="23" t="inlineStr">
        <is>
          <t>978-5-227-07428-7</t>
        </is>
      </c>
      <c r="K1258" s="23" t="inlineStr">
        <is>
          <t>70x100 1/32</t>
        </is>
      </c>
      <c r="L1258" s="23" t="inlineStr">
        <is>
          <t>мяг</t>
        </is>
      </c>
      <c r="M1258" s="23" t="n">
        <v>160</v>
      </c>
      <c r="N1258" s="23" t="n">
        <v>2017</v>
      </c>
      <c r="O1258" s="23" t="n">
        <v>76</v>
      </c>
      <c r="P1258" s="23" t="n"/>
      <c r="Q1258" s="23" t="n"/>
      <c r="R1258" s="25" t="n"/>
      <c r="S1258" s="26">
        <f>HYPERLINK("http://www.cnpol.ru/covers/17379.jpg","фото на сайте")</f>
        <v/>
      </c>
    </row>
    <row r="1259" ht="50.1" customHeight="1" s="3">
      <c r="A1259" s="23" t="n"/>
      <c r="B1259" s="24" t="inlineStr">
        <is>
          <t>17200</t>
        </is>
      </c>
      <c r="C1259" s="23" t="inlineStr">
        <is>
          <t>ЛР</t>
        </is>
      </c>
      <c r="D1259" s="23" t="inlineStr">
        <is>
          <t>Уильямс А.</t>
        </is>
      </c>
      <c r="E1259" s="23" t="inlineStr">
        <is>
          <t>Круиз с сюрпризом</t>
        </is>
      </c>
      <c r="F1259" s="23" t="n">
        <v>676</v>
      </c>
      <c r="G1259" s="23" t="n">
        <v>94</v>
      </c>
      <c r="H1259" s="23" t="n">
        <v>10</v>
      </c>
      <c r="I1259" s="23" t="n">
        <v>30</v>
      </c>
      <c r="J1259" s="23" t="inlineStr">
        <is>
          <t>978-5-227-07204-7</t>
        </is>
      </c>
      <c r="K1259" s="23" t="inlineStr">
        <is>
          <t>70x100 1/32</t>
        </is>
      </c>
      <c r="L1259" s="23" t="inlineStr">
        <is>
          <t>мяг</t>
        </is>
      </c>
      <c r="M1259" s="23" t="n">
        <v>160</v>
      </c>
      <c r="N1259" s="23" t="n">
        <v>2016</v>
      </c>
      <c r="O1259" s="23" t="n">
        <v>76</v>
      </c>
      <c r="P1259" s="23" t="n"/>
      <c r="Q1259" s="23" t="n"/>
      <c r="R1259" s="25" t="inlineStr">
        <is>
          <t>Согласившись давать уроки рисования пассажирам лайнера, путешествующего по местам с художественной ценностью, Делия хотела всего лишь на несколько недель забыть о своем разбитом сердце и домашних проблемах. Но вместо этого она встретила красавца и бродягу Дэниела, который оказался не тем, кем представлялся ­поначалу. Так ее размеренная жизнь оказалась полна сюрпризов…</t>
        </is>
      </c>
      <c r="S1259" s="26">
        <f>HYPERLINK("http://www.cnpol.ru/covers/17200.jpg","фото на сайте")</f>
        <v/>
      </c>
    </row>
    <row r="1260" ht="50.1" customHeight="1" s="3">
      <c r="A1260" s="23" t="n"/>
      <c r="B1260" s="24" t="inlineStr">
        <is>
          <t>17564</t>
        </is>
      </c>
      <c r="C1260" s="23" t="inlineStr">
        <is>
          <t>ЛР</t>
        </is>
      </c>
      <c r="D1260" s="23" t="inlineStr">
        <is>
          <t>Крюс К.</t>
        </is>
      </c>
      <c r="E1260" s="23" t="inlineStr">
        <is>
          <t>Кто мы друг другу?</t>
        </is>
      </c>
      <c r="F1260" s="23" t="n">
        <v>730</v>
      </c>
      <c r="G1260" s="23" t="n">
        <v>94</v>
      </c>
      <c r="H1260" s="23" t="n">
        <v>10</v>
      </c>
      <c r="I1260" s="23" t="n">
        <v>30</v>
      </c>
      <c r="J1260" s="23" t="inlineStr">
        <is>
          <t>978-5-227-07609-0</t>
        </is>
      </c>
      <c r="K1260" s="23" t="inlineStr">
        <is>
          <t>70x100 1/32</t>
        </is>
      </c>
      <c r="L1260" s="23" t="inlineStr">
        <is>
          <t>мяг</t>
        </is>
      </c>
      <c r="M1260" s="23" t="n">
        <v>160</v>
      </c>
      <c r="N1260" s="23" t="n">
        <v>2017</v>
      </c>
      <c r="O1260" s="23" t="n">
        <v>76</v>
      </c>
      <c r="P1260" s="23" t="n"/>
      <c r="Q1260" s="23" t="n"/>
      <c r="R1260" s="25" t="inlineStr">
        <is>
          <t>Лилиана ненавидела своего жестокого опекуна — красавца, богача и плейбоя Изара Агустина — за то, что он насильно отправил ее в возрасте двенадцати лет в закрытый пансион и в течение долгих лет был с ней холоден и груб. Через два года, в двадцать пять лет, она наконец избавится от этого тирана, а пока нужно терпеть, стиснув зубы. Какого же было удивление Лилианы, когда вдруг в день ее рождения Изар собственной персоной явился к ней в дом. В голову пришел неожиданный план — соблазнить негодяя, чтобы взять над ним верх, загнать в угол и тем самым разорвать вынужденную и тягостную связь с ним…</t>
        </is>
      </c>
      <c r="S1260" s="26">
        <f>HYPERLINK("http://www.cnpol.ru/covers/17564.jpg","фото на сайте")</f>
        <v/>
      </c>
    </row>
    <row r="1261" ht="50.1" customHeight="1" s="3">
      <c r="A1261" s="23" t="n"/>
      <c r="B1261" s="24" t="inlineStr">
        <is>
          <t>16992</t>
        </is>
      </c>
      <c r="C1261" s="23" t="inlineStr">
        <is>
          <t>ЛР</t>
        </is>
      </c>
      <c r="D1261" s="23" t="inlineStr">
        <is>
          <t>Карпентер Т.</t>
        </is>
      </c>
      <c r="E1261" s="23" t="inlineStr">
        <is>
          <t>Легкомысленный сердцеед</t>
        </is>
      </c>
      <c r="F1261" s="23" t="n">
        <v>649</v>
      </c>
      <c r="G1261" s="23" t="n">
        <v>94</v>
      </c>
      <c r="H1261" s="23" t="n">
        <v>10</v>
      </c>
      <c r="I1261" s="23" t="n">
        <v>30</v>
      </c>
      <c r="J1261" s="23" t="inlineStr">
        <is>
          <t>978-5-227-07034-0</t>
        </is>
      </c>
      <c r="K1261" s="23" t="inlineStr">
        <is>
          <t>70x100 1/32</t>
        </is>
      </c>
      <c r="L1261" s="23" t="inlineStr">
        <is>
          <t>мяг</t>
        </is>
      </c>
      <c r="M1261" s="23" t="n">
        <v>160</v>
      </c>
      <c r="N1261" s="23" t="n">
        <v>2016</v>
      </c>
      <c r="O1261" s="23" t="n">
        <v>76</v>
      </c>
      <c r="P1261" s="23" t="n"/>
      <c r="Q1261" s="23" t="n"/>
      <c r="R1261" s="25" t="inlineStr">
        <is>
          <t>Линдси Ривз мечтает встретить настоящую любовь, а пока занимается организацией свадеб для голливудских звезд. Она получает заманчивое предложение из Италии устроить пышное торжество для принца. Линдси прилетает в Галенсию и с энтузиазмом берется за дело, но ее внимание постоянно отвлекает обаятельный Зак ­Салливан, свидетель жениха. Вскоре она понимает, что влюблена, но оказывается, что Зак просто использует ее в своих целях, чтобы помешать свадьбе своего лучшего друга…</t>
        </is>
      </c>
      <c r="S1261" s="26">
        <f>HYPERLINK("http://www.cnpol.ru/covers/16992.jpg","фото на сайте")</f>
        <v/>
      </c>
    </row>
    <row r="1262" ht="50.1" customHeight="1" s="3">
      <c r="A1262" s="23" t="n"/>
      <c r="B1262" s="24" t="inlineStr">
        <is>
          <t>18397</t>
        </is>
      </c>
      <c r="C1262" s="23" t="inlineStr">
        <is>
          <t>ЛР</t>
        </is>
      </c>
      <c r="D1262" s="23" t="inlineStr">
        <is>
          <t>Милберн М.</t>
        </is>
      </c>
      <c r="E1262" s="23" t="inlineStr">
        <is>
          <t>Леди и плейбой</t>
        </is>
      </c>
      <c r="F1262" s="23" t="n">
        <v>850</v>
      </c>
      <c r="G1262" s="23" t="n">
        <v>94</v>
      </c>
      <c r="H1262" s="23" t="n">
        <v>10</v>
      </c>
      <c r="I1262" s="23" t="n">
        <v>30</v>
      </c>
      <c r="J1262" s="23" t="inlineStr">
        <is>
          <t>978-5-227-08355-5</t>
        </is>
      </c>
      <c r="K1262" s="23" t="inlineStr">
        <is>
          <t>70x100 1/32</t>
        </is>
      </c>
      <c r="L1262" s="23" t="inlineStr">
        <is>
          <t>мяг</t>
        </is>
      </c>
      <c r="M1262" s="23" t="n">
        <v>160</v>
      </c>
      <c r="N1262" s="23" t="n">
        <v>2018</v>
      </c>
      <c r="O1262" s="23" t="n">
        <v>76</v>
      </c>
      <c r="P1262" s="23" t="n"/>
      <c r="Q1262" s="23" t="n"/>
      <c r="R1262" s="25" t="inlineStr">
        <is>
          <t>Наивная англичанка Дейзи Виндхэм, приехавшая в Лас­Вегас с подругами, неожиданно встречает в ночном клубе всемирно известного игрока в поло Луиса Валкеса. Волей случая они оказываются вместе в номере отеля. Что ждет этих двоих — горячая интрижка или большие проблемы? Ведь очень скоро обо всем узнает отец Дейзи…</t>
        </is>
      </c>
      <c r="S1262" s="26">
        <f>HYPERLINK("http://www.cnpol.ru/covers/18397.jpg","фото на сайте")</f>
        <v/>
      </c>
    </row>
    <row r="1263" ht="50.1" customHeight="1" s="3">
      <c r="A1263" s="23" t="n"/>
      <c r="B1263" s="24" t="inlineStr">
        <is>
          <t>17558</t>
        </is>
      </c>
      <c r="C1263" s="23" t="inlineStr">
        <is>
          <t>ЛР</t>
        </is>
      </c>
      <c r="D1263" s="23" t="inlineStr">
        <is>
          <t>Хейворд Дженнифер</t>
        </is>
      </c>
      <c r="E1263" s="23" t="inlineStr">
        <is>
          <t>Лекарство от развода</t>
        </is>
      </c>
      <c r="F1263" s="23" t="n">
        <v>728</v>
      </c>
      <c r="G1263" s="23" t="n">
        <v>94</v>
      </c>
      <c r="H1263" s="23" t="n">
        <v>10</v>
      </c>
      <c r="I1263" s="23" t="n">
        <v>30</v>
      </c>
      <c r="J1263" s="23" t="inlineStr">
        <is>
          <t>978-5-227-07582-6</t>
        </is>
      </c>
      <c r="K1263" s="23" t="inlineStr">
        <is>
          <t>70x100 1/32</t>
        </is>
      </c>
      <c r="L1263" s="23" t="inlineStr">
        <is>
          <t>мяг</t>
        </is>
      </c>
      <c r="M1263" s="23" t="n">
        <v>160</v>
      </c>
      <c r="N1263" s="23" t="n">
        <v>2017</v>
      </c>
      <c r="O1263" s="23" t="n">
        <v>76</v>
      </c>
      <c r="P1263" s="23" t="n"/>
      <c r="Q1263" s="23" t="n"/>
      <c r="R1263" s="25" t="inlineStr">
        <is>
          <t>Брак Дианы и Кобурна был ярким и страстным, но через год отношений оба поняли: их взгляды на жизнь совершенно разные, и у каждого своя дорога. Несмотря на любовь к мужу, Диана все же решает развестись. Накануне встречи с адвокатами она проводит с Кобурном последнюю ночь. Последствия страсти не заставили себя долго ждать, но беременность от бывшего мужа совсем не входила в планы Дианы. Сможет ли малыш воссоединить два любящих сердца, переживающих серьезную размолвку?</t>
        </is>
      </c>
      <c r="S1263" s="26">
        <f>HYPERLINK("http://www.cnpol.ru/covers/17558.jpg","фото на сайте")</f>
        <v/>
      </c>
    </row>
    <row r="1264" ht="50.1" customHeight="1" s="3">
      <c r="A1264" s="23" t="n"/>
      <c r="B1264" s="24" t="inlineStr">
        <is>
          <t>20605</t>
        </is>
      </c>
      <c r="C1264" s="23" t="inlineStr">
        <is>
          <t>ЛР</t>
        </is>
      </c>
      <c r="D1264" s="23" t="inlineStr">
        <is>
          <t>Грэхем Л.</t>
        </is>
      </c>
      <c r="E1264" s="23" t="inlineStr">
        <is>
          <t>Ловушка для донжуана</t>
        </is>
      </c>
      <c r="F1264" s="23" t="n">
        <v>1135</v>
      </c>
      <c r="G1264" s="23" t="n">
        <v>94</v>
      </c>
      <c r="H1264" s="23" t="n">
        <v>10</v>
      </c>
      <c r="I1264" s="23" t="n">
        <v>30</v>
      </c>
      <c r="J1264" s="23" t="inlineStr">
        <is>
          <t>978-5-227-10286-7</t>
        </is>
      </c>
      <c r="K1264" s="23" t="inlineStr">
        <is>
          <t>70x100 1/32</t>
        </is>
      </c>
      <c r="L1264" s="23" t="inlineStr">
        <is>
          <t>мяг</t>
        </is>
      </c>
      <c r="M1264" s="23" t="n">
        <v>159</v>
      </c>
      <c r="N1264" s="23" t="n">
        <v>2023</v>
      </c>
      <c r="O1264" s="23" t="n">
        <v>76</v>
      </c>
      <c r="P1264" s="23" t="n"/>
      <c r="Q1264" s="23" t="n"/>
      <c r="R1264" s="25" t="inlineStr">
        <is>
          <t>Богатый итальянский плейбой Данте Лукарелли поклялся не жениться, чтобы отомстить своим жестоким родителям, лишив их наследника. Но для покупки участка покойного брата для соблюдения приличий ему необходимо обзавестись девушкой. Его взгляд случайно падает на рыжеволосую официантку Белль Форрестер. Она в отчаянном положении: одна, в чужой стране, живет в фургоне с собакой, и ей отчаянно нужны деньги. Они заключают сделку: две недели «игры в пару» в обмен на круглую сумму. Но наивность девушки интригует заядлого ловеласа. Может ли его ледяное сердце растаять, или через несколько дней им суждено расстаться?</t>
        </is>
      </c>
      <c r="S1264" s="26">
        <f>HYPERLINK("http://www.cnpol.ru/covers/20605.jpg","фото на сайте")</f>
        <v/>
      </c>
    </row>
    <row r="1265" ht="50.1" customHeight="1" s="3">
      <c r="A1265" s="23" t="n"/>
      <c r="B1265" s="24" t="inlineStr">
        <is>
          <t>18039</t>
        </is>
      </c>
      <c r="C1265" s="23" t="inlineStr">
        <is>
          <t>ЛР</t>
        </is>
      </c>
      <c r="D1265" s="23" t="inlineStr">
        <is>
          <t>Крюс К.</t>
        </is>
      </c>
      <c r="E1265" s="23" t="inlineStr">
        <is>
          <t>Ловушка для чужого жениха</t>
        </is>
      </c>
      <c r="F1265" s="23" t="n">
        <v>799</v>
      </c>
      <c r="G1265" s="23" t="n">
        <v>94</v>
      </c>
      <c r="H1265" s="23" t="n">
        <v>10</v>
      </c>
      <c r="I1265" s="23" t="n">
        <v>30</v>
      </c>
      <c r="J1265" s="23" t="inlineStr">
        <is>
          <t>978-5-227-08086-8</t>
        </is>
      </c>
      <c r="K1265" s="23" t="inlineStr">
        <is>
          <t>70x100 1/32</t>
        </is>
      </c>
      <c r="L1265" s="23" t="inlineStr">
        <is>
          <t>мяг</t>
        </is>
      </c>
      <c r="M1265" s="23" t="n">
        <v>160</v>
      </c>
      <c r="N1265" s="23" t="n">
        <v>2018</v>
      </c>
      <c r="O1265" s="23" t="n">
        <v>76</v>
      </c>
      <c r="P1265" s="23" t="n"/>
      <c r="Q1265" s="23" t="n"/>
      <c r="R1265" s="25" t="inlineStr">
        <is>
          <t>Решив взять паузу перед неизбежной династической свадьбой, принцесса Валентина меняется местами с сестрой­близнецом Натали, о существовании которой только что узнала. Однако провести миллиардера Ахилла Касилиериса, босса Натали, — непростая задача еще и потому, что он очень хорош собой, и Валентина не может справиться со страстным влечением к нему. Узнав об обмане, Ахилл приходит в ярость и решает вывести самозванку на чистую воду, но в ходе их противостояния осознает, что сам попал в любовные сети…</t>
        </is>
      </c>
      <c r="S1265" s="26">
        <f>HYPERLINK("http://www.cnpol.ru/covers/18039.jpg","фото на сайте")</f>
        <v/>
      </c>
    </row>
    <row r="1266" ht="50.1" customHeight="1" s="3">
      <c r="A1266" s="23" t="n"/>
      <c r="B1266" s="24" t="inlineStr">
        <is>
          <t>15695</t>
        </is>
      </c>
      <c r="C1266" s="23" t="inlineStr">
        <is>
          <t>ЛР</t>
        </is>
      </c>
      <c r="D1266" s="23" t="inlineStr">
        <is>
          <t>Грэхем Л.</t>
        </is>
      </c>
      <c r="E1266" s="23" t="inlineStr">
        <is>
          <t>Лучшая награда</t>
        </is>
      </c>
      <c r="F1266" s="23" t="n">
        <v>479</v>
      </c>
      <c r="G1266" s="23" t="n">
        <v>94</v>
      </c>
      <c r="H1266" s="23" t="n">
        <v>10</v>
      </c>
      <c r="I1266" s="23" t="n">
        <v>30</v>
      </c>
      <c r="J1266" s="23" t="inlineStr">
        <is>
          <t>978-5-227-05647-4</t>
        </is>
      </c>
      <c r="K1266" s="23" t="inlineStr">
        <is>
          <t>70x100 1/32</t>
        </is>
      </c>
      <c r="L1266" s="23" t="inlineStr">
        <is>
          <t>мяг</t>
        </is>
      </c>
      <c r="M1266" s="23" t="n">
        <v>158</v>
      </c>
      <c r="N1266" s="23" t="n">
        <v>2014</v>
      </c>
      <c r="O1266" s="23" t="n">
        <v>74</v>
      </c>
      <c r="P1266" s="23" t="n"/>
      <c r="Q1266" s="23" t="n"/>
      <c r="R1266" s="25" t="inlineStr">
        <is>
          <t>Король Захир узнает, что его бывшая жена, супермодель Сапфир Миллер, приехала в его страну на съемки рекламы. Если верить средствам массовой информации, после развода у нее было множество любовников. Захир решает похитить Саффи и провести с ней ночь…</t>
        </is>
      </c>
      <c r="S1266" s="26">
        <f>HYPERLINK("http://www.cnpol.ru/covers/15695.jpg","фото на сайте")</f>
        <v/>
      </c>
    </row>
    <row r="1267" ht="50.1" customHeight="1" s="3">
      <c r="A1267" s="23" t="n"/>
      <c r="B1267" s="24" t="inlineStr">
        <is>
          <t>20539</t>
        </is>
      </c>
      <c r="C1267" s="23" t="inlineStr">
        <is>
          <t>ЛР</t>
        </is>
      </c>
      <c r="D1267" s="23" t="inlineStr">
        <is>
          <t>Мейер С.</t>
        </is>
      </c>
      <c r="E1267" s="23" t="inlineStr">
        <is>
          <t>Лучшее время для любви</t>
        </is>
      </c>
      <c r="F1267" s="23" t="n">
        <v>1129</v>
      </c>
      <c r="G1267" s="23" t="n">
        <v>94</v>
      </c>
      <c r="H1267" s="23" t="n">
        <v>10</v>
      </c>
      <c r="I1267" s="23" t="n">
        <v>30</v>
      </c>
      <c r="J1267" s="23" t="inlineStr">
        <is>
          <t>978-5-227-10243-0</t>
        </is>
      </c>
      <c r="K1267" s="23" t="inlineStr">
        <is>
          <t>70x100 1/32</t>
        </is>
      </c>
      <c r="L1267" s="23" t="inlineStr">
        <is>
          <t>мяг</t>
        </is>
      </c>
      <c r="M1267" s="23" t="n">
        <v>159</v>
      </c>
      <c r="N1267" s="23" t="n">
        <v>2023</v>
      </c>
      <c r="O1267" s="23" t="n">
        <v>76</v>
      </c>
      <c r="P1267" s="23" t="n"/>
      <c r="Q1267" s="23" t="n"/>
      <c r="R1267" s="25" t="inlineStr">
        <is>
          <t>В юности Риз Фаррелл встретила свою первую любовь, Кейда Смита. Он ответил ей взаимностью. Они мечтали о семье, детях и успешной карьере. Однако по стечению обстоятельств через год им пришлось расстаться. Новая встреча произошла двенадцать лет спустя, когда Риз оказалась нежданной гостьей в доме Кейда на его частном острове. Былые чувства вспыхивают с новой силой. Смогут ли они преодолеть взаимное недоверие и раскрыть секреты своего прошлого во имя счастливого совместного будущего?..</t>
        </is>
      </c>
      <c r="S1267" s="26">
        <f>HYPERLINK("http://www.cnpol.ru/covers/20539.jpg","фото на сайте")</f>
        <v/>
      </c>
    </row>
    <row r="1268" ht="50.1" customHeight="1" s="3">
      <c r="A1268" s="23" t="n"/>
      <c r="B1268" s="24" t="inlineStr">
        <is>
          <t>19729</t>
        </is>
      </c>
      <c r="C1268" s="23" t="inlineStr">
        <is>
          <t>ЛР</t>
        </is>
      </c>
      <c r="D1268" s="23" t="inlineStr">
        <is>
          <t>Шеперд К.</t>
        </is>
      </c>
      <c r="E1268" s="23" t="inlineStr">
        <is>
          <t>Лучшее время для любви</t>
        </is>
      </c>
      <c r="F1268" s="23" t="n">
        <v>1042</v>
      </c>
      <c r="G1268" s="23" t="n">
        <v>94</v>
      </c>
      <c r="H1268" s="23" t="n">
        <v>10</v>
      </c>
      <c r="I1268" s="23" t="n">
        <v>30</v>
      </c>
      <c r="J1268" s="23" t="inlineStr">
        <is>
          <t>978-5-227-09354-7</t>
        </is>
      </c>
      <c r="K1268" s="23" t="inlineStr">
        <is>
          <t>70x100 1/32</t>
        </is>
      </c>
      <c r="L1268" s="23" t="inlineStr">
        <is>
          <t>мяг</t>
        </is>
      </c>
      <c r="M1268" s="23" t="n">
        <v>160</v>
      </c>
      <c r="N1268" s="23" t="n">
        <v>2021</v>
      </c>
      <c r="O1268" s="23" t="n">
        <v>76</v>
      </c>
      <c r="P1268" s="23" t="n"/>
      <c r="Q1268" s="23" t="n"/>
      <c r="R1268" s="25" t="inlineStr">
        <is>
          <t>Нэд Хадсон всегда знал свое предназначение —  он должен управлять огромным семейным поместьем в Австралии. И теперь он, заядлый холостяк, даже готов остепениться и обзавестись семьей. Вот только список требований к будущей жене слишком «суров», к тому же она должна разделять его любовь к жизни в сельской местности. И вот загадка, почему же Нэд с первой минуты знакомства так сильно очарован фотографом Фрейей Делани, городской жительницей? Смелая, активная и амбициозная, она ни дня не может прожить без суеты мегаполиса… Смогут ли такие разные люди пойти навстречу друг другу?</t>
        </is>
      </c>
      <c r="S1268" s="26">
        <f>HYPERLINK("http://www.cnpol.ru/covers/19729.jpg","фото на сайте")</f>
        <v/>
      </c>
    </row>
    <row r="1269" ht="50.1" customHeight="1" s="3">
      <c r="A1269" s="23" t="n"/>
      <c r="B1269" s="24" t="inlineStr">
        <is>
          <t>19328</t>
        </is>
      </c>
      <c r="C1269" s="23" t="inlineStr">
        <is>
          <t>ЛР</t>
        </is>
      </c>
      <c r="D1269" s="23" t="inlineStr">
        <is>
          <t>Пемброк С.</t>
        </is>
      </c>
      <c r="E1269" s="23" t="inlineStr">
        <is>
          <t>Лучшее доказательство любви</t>
        </is>
      </c>
      <c r="F1269" s="23" t="n">
        <v>994</v>
      </c>
      <c r="G1269" s="23" t="n">
        <v>94</v>
      </c>
      <c r="H1269" s="23" t="n">
        <v>10</v>
      </c>
      <c r="I1269" s="23" t="n">
        <v>30</v>
      </c>
      <c r="J1269" s="23" t="inlineStr">
        <is>
          <t>978-5-227-09074-4</t>
        </is>
      </c>
      <c r="K1269" s="23" t="inlineStr">
        <is>
          <t>70x100 1/32</t>
        </is>
      </c>
      <c r="L1269" s="23" t="inlineStr">
        <is>
          <t>мяг</t>
        </is>
      </c>
      <c r="M1269" s="23" t="n">
        <v>160</v>
      </c>
      <c r="N1269" s="23" t="n">
        <v>2020</v>
      </c>
      <c r="O1269" s="23" t="n">
        <v>76</v>
      </c>
      <c r="P1269" s="23" t="n"/>
      <c r="Q1269" s="23" t="n"/>
      <c r="R1269" s="25" t="inlineStr">
        <is>
          <t>Мария и Себастьян поженились по воле своих родителей в интересах общего бизнеса, у них никогда не было романтической истории любви, и все же они дорожат друг другом куда сильнее, чем могло показаться на первый взгляд. Но неожиданно перед ними возникает непростая дилемма: попытаться спасти свой брак любой ценой или же разойтись раз и навсегда.</t>
        </is>
      </c>
      <c r="S1269" s="26">
        <f>HYPERLINK("http://www.cnpol.ru/covers/19328.jpg","фото на сайте")</f>
        <v/>
      </c>
    </row>
    <row r="1270" ht="50.1" customHeight="1" s="3">
      <c r="A1270" s="23" t="n"/>
      <c r="B1270" s="24" t="inlineStr">
        <is>
          <t>19902</t>
        </is>
      </c>
      <c r="C1270" s="23" t="inlineStr">
        <is>
          <t>ЛР</t>
        </is>
      </c>
      <c r="D1270" s="23" t="inlineStr">
        <is>
          <t>Милн Н.</t>
        </is>
      </c>
      <c r="E1270" s="23" t="inlineStr">
        <is>
          <t>Лучшее признание в любви</t>
        </is>
      </c>
      <c r="F1270" s="23" t="n">
        <v>1061</v>
      </c>
      <c r="G1270" s="23" t="n">
        <v>94</v>
      </c>
      <c r="H1270" s="23" t="n">
        <v>10</v>
      </c>
      <c r="I1270" s="23" t="n">
        <v>30</v>
      </c>
      <c r="J1270" s="23" t="inlineStr">
        <is>
          <t>978-5-227-09485-8</t>
        </is>
      </c>
      <c r="K1270" s="23" t="inlineStr">
        <is>
          <t>70x100 1/32</t>
        </is>
      </c>
      <c r="L1270" s="23" t="inlineStr">
        <is>
          <t>мяг</t>
        </is>
      </c>
      <c r="M1270" s="23" t="n">
        <v>159</v>
      </c>
      <c r="N1270" s="23" t="n">
        <v>2021</v>
      </c>
      <c r="O1270" s="23" t="n">
        <v>76</v>
      </c>
      <c r="P1270" s="23" t="n"/>
      <c r="Q1270" s="23" t="n"/>
      <c r="R1270" s="25" t="inlineStr">
        <is>
          <t>Жизнь Габриэллы Росс резко изменилась. Из владелицы книжного магазина она превратилась в будущую королеву Касавалье. Цезарь Астурия – принц соседней страны, и он ставит интересы государства превыше всего. Цезарь готов жениться на Габи, чтобы этот союз смог объединить их страны. Но как жить без любви? Смогут ли они быть  счастливыми в этом браке?</t>
        </is>
      </c>
      <c r="S1270" s="26">
        <f>HYPERLINK("http://www.cnpol.ru/covers/19902.jpg","фото на сайте")</f>
        <v/>
      </c>
    </row>
    <row r="1271" ht="50.1" customHeight="1" s="3">
      <c r="A1271" s="23" t="n"/>
      <c r="B1271" s="24" t="inlineStr">
        <is>
          <t>20926</t>
        </is>
      </c>
      <c r="C1271" s="23" t="inlineStr">
        <is>
          <t>ЛР</t>
        </is>
      </c>
      <c r="D1271" s="23" t="inlineStr">
        <is>
          <t>Джеймс Д.</t>
        </is>
      </c>
      <c r="E1271" s="23" t="inlineStr">
        <is>
          <t>Лучшее свидание</t>
        </is>
      </c>
      <c r="F1271" s="23" t="n">
        <v>1159</v>
      </c>
      <c r="G1271" s="23" t="n">
        <v>94</v>
      </c>
      <c r="H1271" s="23" t="n">
        <v>10</v>
      </c>
      <c r="I1271" s="23" t="n">
        <v>30</v>
      </c>
      <c r="J1271" s="23" t="inlineStr">
        <is>
          <t>978-5-227-10448-9</t>
        </is>
      </c>
      <c r="K1271" s="23" t="inlineStr">
        <is>
          <t>70x100 1/32</t>
        </is>
      </c>
      <c r="L1271" s="23" t="inlineStr">
        <is>
          <t>мяг</t>
        </is>
      </c>
      <c r="M1271" s="23" t="n">
        <v>159</v>
      </c>
      <c r="N1271" s="23" t="n">
        <v>2023</v>
      </c>
      <c r="O1271" s="23" t="n">
        <v>76</v>
      </c>
      <c r="P1271" s="23" t="n"/>
      <c r="Q1271" s="23" t="n"/>
      <c r="R1271" s="25" t="inlineStr">
        <is>
          <t>Топ-модель красавица Лана мечтает уйти из напряженного, шумного бизнеса. Но она не может этого сделать — бывший муж сбежал, получив огромный кредит под залог ее квартиры. В сердцах она выпалила свою историю великолепному мужчине в ответ на его предложение вместе поужинать. И вот этот мужчина, успешный итальянский бизнесмен, предлагает Лане выйти за него замуж. Прелесть заключается в том, что спустя год они разведутся, причем она, получив крупную сумму, решит свои проблемы, а он избавится от назойливых притязаний дочери своего компаньона. Но Лане грустно оттого, что их брак — временное предприятие…</t>
        </is>
      </c>
      <c r="S1271" s="26">
        <f>HYPERLINK("http://www.cnpol.ru/covers/20926.jpg","фото на сайте")</f>
        <v/>
      </c>
    </row>
    <row r="1272" ht="50.1" customHeight="1" s="3">
      <c r="A1272" s="23" t="n"/>
      <c r="B1272" s="24" t="inlineStr">
        <is>
          <t>16117</t>
        </is>
      </c>
      <c r="C1272" s="23" t="inlineStr">
        <is>
          <t>ЛР</t>
        </is>
      </c>
      <c r="D1272" s="23" t="inlineStr">
        <is>
          <t>Эйтс М.</t>
        </is>
      </c>
      <c r="E1272" s="23" t="inlineStr">
        <is>
          <t>Любима и свободна</t>
        </is>
      </c>
      <c r="F1272" s="23" t="n">
        <v>533</v>
      </c>
      <c r="G1272" s="23" t="n">
        <v>94</v>
      </c>
      <c r="H1272" s="23" t="n">
        <v>10</v>
      </c>
      <c r="I1272" s="23" t="n">
        <v>30</v>
      </c>
      <c r="J1272" s="23" t="inlineStr">
        <is>
          <t>978-5-227-06105-8</t>
        </is>
      </c>
      <c r="K1272" s="23" t="inlineStr">
        <is>
          <t>70x100 1/32</t>
        </is>
      </c>
      <c r="L1272" s="23" t="inlineStr">
        <is>
          <t>мяг</t>
        </is>
      </c>
      <c r="M1272" s="23" t="n">
        <v>158</v>
      </c>
      <c r="N1272" s="23" t="n">
        <v>2015</v>
      </c>
      <c r="O1272" s="23" t="n">
        <v>76</v>
      </c>
      <c r="P1272" s="23" t="n"/>
      <c r="Q1272" s="23" t="n"/>
      <c r="R1272" s="25" t="inlineStr">
        <is>
          <t>Он — наследник трона, внезапно узнавший темную тайну сво­его рождения. Она – светская красавица, внезапно потерявшая красоту и положение в обществе. Смогут ли они забыть о прошлых страданиях и воскресить свою любовь?</t>
        </is>
      </c>
      <c r="S1272" s="26">
        <f>HYPERLINK("http://www.cnpol.ru/covers/16117.jpg","фото на сайте")</f>
        <v/>
      </c>
    </row>
    <row r="1273" ht="50.1" customHeight="1" s="3">
      <c r="A1273" s="23" t="inlineStr">
        <is>
          <t>Н</t>
        </is>
      </c>
      <c r="B1273" s="24" t="inlineStr">
        <is>
          <t>21128</t>
        </is>
      </c>
      <c r="C1273" s="23" t="inlineStr">
        <is>
          <t>ЛР</t>
        </is>
      </c>
      <c r="D1273" s="23" t="inlineStr">
        <is>
          <t>Роско П.</t>
        </is>
      </c>
      <c r="E1273" s="23" t="inlineStr">
        <is>
          <t>Любимая бывшая жена</t>
        </is>
      </c>
      <c r="F1273" s="23" t="n">
        <v>1174</v>
      </c>
      <c r="G1273" s="23" t="n">
        <v>94</v>
      </c>
      <c r="H1273" s="23" t="n">
        <v>10</v>
      </c>
      <c r="I1273" s="23" t="n">
        <v>30</v>
      </c>
      <c r="J1273" s="23" t="inlineStr">
        <is>
          <t>978-5-227-10506-6</t>
        </is>
      </c>
      <c r="K1273" s="23" t="inlineStr">
        <is>
          <t>70x100 1/32</t>
        </is>
      </c>
      <c r="L1273" s="23" t="inlineStr">
        <is>
          <t>мяг</t>
        </is>
      </c>
      <c r="M1273" s="23" t="n">
        <v>159</v>
      </c>
      <c r="N1273" s="23" t="n">
        <v>2024</v>
      </c>
      <c r="O1273" s="23" t="n">
        <v>76</v>
      </c>
      <c r="P1273" s="23" t="n"/>
      <c r="Q1273" s="23" t="n"/>
      <c r="R1273" s="25" t="inlineStr">
        <is>
          <t>Хавьер Касас очнулся в больнице после аварии. К нему приехала жена, Эмили, шесть лет назад она ушла от него без объяснения причины. Хавьер притворяется, что у него амнезия. Ему необходимо, чтобы Эмили была рядом с ним, ведь только так он сумеет отомстить ей за предательство...</t>
        </is>
      </c>
      <c r="S1273" s="26">
        <f>HYPERLINK("http://www.cnpol.ru/covers/21128.jpg","фото на сайте")</f>
        <v/>
      </c>
    </row>
    <row r="1274" ht="50.1" customHeight="1" s="3">
      <c r="A1274" s="23" t="n"/>
      <c r="B1274" s="24" t="inlineStr">
        <is>
          <t>17831</t>
        </is>
      </c>
      <c r="C1274" s="23" t="inlineStr">
        <is>
          <t>ЛР</t>
        </is>
      </c>
      <c r="D1274" s="23" t="inlineStr">
        <is>
          <t>Грэхем Л.</t>
        </is>
      </c>
      <c r="E1274" s="23" t="inlineStr">
        <is>
          <t>Любимая предательница</t>
        </is>
      </c>
      <c r="F1274" s="23" t="n">
        <v>772</v>
      </c>
      <c r="G1274" s="23" t="n">
        <v>94</v>
      </c>
      <c r="H1274" s="23" t="n">
        <v>10</v>
      </c>
      <c r="I1274" s="23" t="n">
        <v>30</v>
      </c>
      <c r="J1274" s="23" t="inlineStr">
        <is>
          <t>978-5-227-07756-1</t>
        </is>
      </c>
      <c r="K1274" s="23" t="inlineStr">
        <is>
          <t>70x100 1/32</t>
        </is>
      </c>
      <c r="L1274" s="23" t="inlineStr">
        <is>
          <t>мяг</t>
        </is>
      </c>
      <c r="M1274" s="23" t="n">
        <v>160</v>
      </c>
      <c r="N1274" s="23" t="n">
        <v>2017</v>
      </c>
      <c r="O1274" s="23" t="n">
        <v>76</v>
      </c>
      <c r="P1274" s="23" t="n"/>
      <c r="Q1274" s="23" t="n"/>
      <c r="R1274" s="25" t="inlineStr">
        <is>
          <t>Красавица Элли Диксон однажды отвергла страстного итальянца Рио Бенедетти, но он не забыл ее оскорбления. Элли — врач и все свое время посвящает любимой работе. Но однажды она возвращается в Италию, чтобы разыскать отца. Элли даже не подозревает, что Рио уже готовится к встрече с ней и хочет мстить…</t>
        </is>
      </c>
      <c r="S1274" s="26">
        <f>HYPERLINK("http://www.cnpol.ru/covers/17831.jpg","фото на сайте")</f>
        <v/>
      </c>
    </row>
    <row r="1275" ht="50.1" customHeight="1" s="3">
      <c r="A1275" s="23" t="n"/>
      <c r="B1275" s="24" t="inlineStr">
        <is>
          <t>16860</t>
        </is>
      </c>
      <c r="C1275" s="23" t="inlineStr">
        <is>
          <t>ЛР</t>
        </is>
      </c>
      <c r="D1275" s="23" t="inlineStr">
        <is>
          <t>Линдсей И.</t>
        </is>
      </c>
      <c r="E1275" s="23" t="inlineStr">
        <is>
          <t>Любимый бывший муж</t>
        </is>
      </c>
      <c r="F1275" s="23" t="n">
        <v>631</v>
      </c>
      <c r="G1275" s="23" t="n">
        <v>94</v>
      </c>
      <c r="H1275" s="23" t="n">
        <v>10</v>
      </c>
      <c r="I1275" s="23" t="n">
        <v>30</v>
      </c>
      <c r="J1275" s="23" t="inlineStr">
        <is>
          <t>978-5-227-06822-4</t>
        </is>
      </c>
      <c r="K1275" s="23" t="inlineStr">
        <is>
          <t>70x100 1/32</t>
        </is>
      </c>
      <c r="L1275" s="23" t="inlineStr">
        <is>
          <t>мяг</t>
        </is>
      </c>
      <c r="M1275" s="23" t="n">
        <v>160</v>
      </c>
      <c r="N1275" s="23" t="n">
        <v>2016</v>
      </c>
      <c r="O1275" s="23" t="n">
        <v>76</v>
      </c>
      <c r="P1275" s="23" t="n"/>
      <c r="Q1275" s="23" t="n"/>
      <c r="R1275" s="25" t="inlineStr">
        <is>
          <t>После аварии Ксандер Джексон потерял память о последних шести годах своей жизни и не помнил о том, что находился на грани развода с женой. Оливия решила использовать этот второй шанс и начать все сначала с мужчиной, которого она так и не смогла забыть. Но, позволив ему считать, что они по-прежнему страстно любят друг друга, ей пришлось скрывать все следы страшной трагедии, которая разрушила их отношения.</t>
        </is>
      </c>
      <c r="S1275" s="26">
        <f>HYPERLINK("http://www.cnpol.ru/covers/16860.jpg","фото на сайте")</f>
        <v/>
      </c>
    </row>
    <row r="1276" ht="50.1" customHeight="1" s="3">
      <c r="A1276" s="23" t="n"/>
      <c r="B1276" s="24" t="inlineStr">
        <is>
          <t>20538</t>
        </is>
      </c>
      <c r="C1276" s="23" t="inlineStr">
        <is>
          <t>ЛР</t>
        </is>
      </c>
      <c r="D1276" s="23" t="inlineStr">
        <is>
          <t>Уэст Э.</t>
        </is>
      </c>
      <c r="E1276" s="23" t="inlineStr">
        <is>
          <t>Любимый забытый муж</t>
        </is>
      </c>
      <c r="F1276" s="23" t="n">
        <v>1128</v>
      </c>
      <c r="G1276" s="23" t="n">
        <v>94</v>
      </c>
      <c r="H1276" s="23" t="n">
        <v>10</v>
      </c>
      <c r="I1276" s="23" t="n">
        <v>30</v>
      </c>
      <c r="J1276" s="23" t="inlineStr">
        <is>
          <t>978-5-227-10241-6</t>
        </is>
      </c>
      <c r="K1276" s="23" t="inlineStr">
        <is>
          <t>70x100 1/32</t>
        </is>
      </c>
      <c r="L1276" s="23" t="inlineStr">
        <is>
          <t>мяг</t>
        </is>
      </c>
      <c r="M1276" s="23" t="n">
        <v>159</v>
      </c>
      <c r="N1276" s="23" t="n">
        <v>2023</v>
      </c>
      <c r="O1276" s="23" t="n">
        <v>76</v>
      </c>
      <c r="P1276" s="23" t="n"/>
      <c r="Q1276" s="23" t="n"/>
      <c r="R1276" s="25" t="inlineStr">
        <is>
          <t>В результате несчастного случая в море Алли оказалась на частном пляже. Спасение пришло в лице красавца Анджело Ричи, владельца пляжа и роскошной виллы. Из-за травмы Алли потеряла память и вынуждена жить в доме своего спасителя. Однако этот мужчина утверждает, что она его бывшая жена, которая жестоко обманула его. Вскоре Алли догадывается, что, несмотря на обиду и злость, он по-прежнему увлечен своей женой…</t>
        </is>
      </c>
      <c r="S1276" s="26">
        <f>HYPERLINK("http://www.cnpol.ru/covers/20538.jpg","фото на сайте")</f>
        <v/>
      </c>
    </row>
    <row r="1277" ht="50.1" customHeight="1" s="3">
      <c r="A1277" s="23" t="n"/>
      <c r="B1277" s="24" t="inlineStr">
        <is>
          <t>19782</t>
        </is>
      </c>
      <c r="C1277" s="23" t="inlineStr">
        <is>
          <t>ЛР</t>
        </is>
      </c>
      <c r="D1277" s="23" t="inlineStr">
        <is>
          <t>Фэй Д.</t>
        </is>
      </c>
      <c r="E1277" s="23" t="inlineStr">
        <is>
          <t>Любимый придуманный муж</t>
        </is>
      </c>
      <c r="F1277" s="23" t="n">
        <v>1046</v>
      </c>
      <c r="G1277" s="23" t="n">
        <v>94</v>
      </c>
      <c r="H1277" s="23" t="n">
        <v>10</v>
      </c>
      <c r="I1277" s="23" t="n">
        <v>30</v>
      </c>
      <c r="J1277" s="23" t="inlineStr">
        <is>
          <t>978-5-227-09401-8</t>
        </is>
      </c>
      <c r="K1277" s="23" t="inlineStr">
        <is>
          <t>70x100 1/32</t>
        </is>
      </c>
      <c r="L1277" s="23" t="inlineStr">
        <is>
          <t>мяг</t>
        </is>
      </c>
      <c r="M1277" s="23" t="n">
        <v>160</v>
      </c>
      <c r="N1277" s="23" t="n">
        <v>2021</v>
      </c>
      <c r="O1277" s="23" t="n">
        <v>76</v>
      </c>
      <c r="P1277" s="23" t="n"/>
      <c r="Q1277" s="23" t="n"/>
      <c r="R1277" s="25" t="inlineStr">
        <is>
          <t>Молодая вдова Стасия Маринакос отправляется в Средиземноморский круиз, чтобы заново научиться наслаждаться жизнью. На борту лайнера Стасия знакомится с греческим магнатом Роберто Каррассом, и вскоре ее начинают принимать за его невесту. Тогда убежденный холостяк Роберто просит Стасию продолжить игру, чтобы спасти его от потенциальных невест, которых пригласила в круиз его бабушка. По мере того как их взаимное притяжение растет, фиктивная помолвка кажется все более реальной... Но что произойдет, когда круиз закончится?</t>
        </is>
      </c>
      <c r="S1277" s="26">
        <f>HYPERLINK("http://www.cnpol.ru/covers/19782.jpg","фото на сайте")</f>
        <v/>
      </c>
    </row>
    <row r="1278" ht="50.1" customHeight="1" s="3">
      <c r="A1278" s="23" t="n"/>
      <c r="B1278" s="24" t="inlineStr">
        <is>
          <t>15828</t>
        </is>
      </c>
      <c r="C1278" s="23" t="inlineStr">
        <is>
          <t>ЛР</t>
        </is>
      </c>
      <c r="D1278" s="23" t="inlineStr">
        <is>
          <t>Леннокс М.</t>
        </is>
      </c>
      <c r="E1278" s="23" t="inlineStr">
        <is>
          <t>Любительница авантюр</t>
        </is>
      </c>
      <c r="F1278" s="23" t="n">
        <v>494</v>
      </c>
      <c r="G1278" s="23" t="n">
        <v>94</v>
      </c>
      <c r="H1278" s="23" t="n">
        <v>10</v>
      </c>
      <c r="I1278" s="23" t="n">
        <v>30</v>
      </c>
      <c r="J1278" s="23" t="inlineStr">
        <is>
          <t>978-5-227-05717-4</t>
        </is>
      </c>
      <c r="K1278" s="23" t="inlineStr">
        <is>
          <t>70x100 1/32</t>
        </is>
      </c>
      <c r="L1278" s="23" t="inlineStr">
        <is>
          <t>мяг</t>
        </is>
      </c>
      <c r="M1278" s="23" t="n">
        <v>158</v>
      </c>
      <c r="N1278" s="23" t="n">
        <v>2015</v>
      </c>
      <c r="O1278" s="23" t="n">
        <v>76</v>
      </c>
      <c r="P1278" s="23" t="n"/>
      <c r="Q1278" s="23" t="n"/>
      <c r="R1278" s="25" t="inlineStr">
        <is>
          <t>Любящий риск Бен Логан вместе с братом попадает на яхте в шторм. Брата забирает спасательный вертолет, а Бен борется со стихией на спасательном плоту. Его выносит на остров, на котором живет странная женщина…</t>
        </is>
      </c>
      <c r="S1278" s="26">
        <f>HYPERLINK("http://www.cnpol.ru/covers/15828.jpg","фото на сайте")</f>
        <v/>
      </c>
    </row>
    <row r="1279" ht="50.1" customHeight="1" s="3">
      <c r="A1279" s="23" t="n"/>
      <c r="B1279" s="24" t="inlineStr">
        <is>
          <t>18656</t>
        </is>
      </c>
      <c r="C1279" s="23" t="inlineStr">
        <is>
          <t>ЛР</t>
        </is>
      </c>
      <c r="D1279" s="23" t="inlineStr">
        <is>
          <t>Пэмми Т.</t>
        </is>
      </c>
      <c r="E1279" s="23" t="inlineStr">
        <is>
          <t>Любовная греческая провокация</t>
        </is>
      </c>
      <c r="F1279" s="23" t="n">
        <v>892</v>
      </c>
      <c r="G1279" s="23" t="n">
        <v>94</v>
      </c>
      <c r="H1279" s="23" t="n">
        <v>10</v>
      </c>
      <c r="I1279" s="23" t="n">
        <v>30</v>
      </c>
      <c r="J1279" s="23" t="inlineStr">
        <is>
          <t>978-5-227-08545-0</t>
        </is>
      </c>
      <c r="K1279" s="23" t="inlineStr">
        <is>
          <t>70x100 1/32</t>
        </is>
      </c>
      <c r="L1279" s="23" t="inlineStr">
        <is>
          <t>мяг</t>
        </is>
      </c>
      <c r="M1279" s="23" t="n">
        <v>160</v>
      </c>
      <c r="N1279" s="23" t="n">
        <v>2019</v>
      </c>
      <c r="O1279" s="23" t="n">
        <v>78</v>
      </c>
      <c r="P1279" s="23" t="n"/>
      <c r="Q1279" s="23" t="n"/>
      <c r="R1279" s="25" t="n"/>
      <c r="S1279" s="26">
        <f>HYPERLINK("http://www.cnpol.ru/covers/18656.jpg","фото на сайте")</f>
        <v/>
      </c>
    </row>
    <row r="1280" ht="50.1" customHeight="1" s="3">
      <c r="A1280" s="23" t="n"/>
      <c r="B1280" s="24" t="inlineStr">
        <is>
          <t>18438</t>
        </is>
      </c>
      <c r="C1280" s="23" t="inlineStr">
        <is>
          <t>ЛР</t>
        </is>
      </c>
      <c r="D1280" s="23" t="inlineStr">
        <is>
          <t>Лоренс А.</t>
        </is>
      </c>
      <c r="E1280" s="23" t="inlineStr">
        <is>
          <t>Любовное зелье для плейбоя</t>
        </is>
      </c>
      <c r="F1280" s="23" t="n">
        <v>858</v>
      </c>
      <c r="G1280" s="23" t="n">
        <v>94</v>
      </c>
      <c r="H1280" s="23" t="n">
        <v>10</v>
      </c>
      <c r="I1280" s="23" t="n">
        <v>30</v>
      </c>
      <c r="J1280" s="23" t="inlineStr">
        <is>
          <t>978-5-227-08384-5</t>
        </is>
      </c>
      <c r="K1280" s="23" t="inlineStr">
        <is>
          <t>70x100 1/32</t>
        </is>
      </c>
      <c r="L1280" s="23" t="inlineStr">
        <is>
          <t>мяг</t>
        </is>
      </c>
      <c r="M1280" s="23" t="n">
        <v>160</v>
      </c>
      <c r="N1280" s="23" t="n">
        <v>2018</v>
      </c>
      <c r="O1280" s="23" t="n">
        <v>76</v>
      </c>
      <c r="P1280" s="23" t="n"/>
      <c r="Q1280" s="23" t="n"/>
      <c r="R1280" s="25" t="inlineStr">
        <is>
          <t>Вайолет Ниаркос, попав в автомобильную аварию, теряет память. Через девять месяцев она рожает мальчика с ярко­рыжими волосами, совсем не похожего ни на нее, ни на ее жениха. Однако она не помнит, от кого забеременела. Проходит полгода, и Вайолет наконец совершенно случайно встречается с отцом своего ребенка… Сможет ли мимолетное увлечение перерасти в крепкий брак?</t>
        </is>
      </c>
      <c r="S1280" s="26">
        <f>HYPERLINK("http://www.cnpol.ru/covers/18438.jpg","фото на сайте")</f>
        <v/>
      </c>
    </row>
    <row r="1281" ht="50.1" customHeight="1" s="3">
      <c r="A1281" s="23" t="n"/>
      <c r="B1281" s="24" t="inlineStr">
        <is>
          <t>20821</t>
        </is>
      </c>
      <c r="C1281" s="23" t="inlineStr">
        <is>
          <t>ЛР</t>
        </is>
      </c>
      <c r="D1281" s="23" t="inlineStr">
        <is>
          <t>Гарбера К.</t>
        </is>
      </c>
      <c r="E1281" s="23" t="inlineStr">
        <is>
          <t>Любовное настроение</t>
        </is>
      </c>
      <c r="F1281" s="23" t="n">
        <v>1152</v>
      </c>
      <c r="G1281" s="23" t="n">
        <v>94</v>
      </c>
      <c r="H1281" s="23" t="n">
        <v>10</v>
      </c>
      <c r="I1281" s="23" t="n">
        <v>30</v>
      </c>
      <c r="J1281" s="23" t="inlineStr">
        <is>
          <t>978-5-227-10370-3</t>
        </is>
      </c>
      <c r="K1281" s="23" t="inlineStr">
        <is>
          <t>70x100 1/32</t>
        </is>
      </c>
      <c r="L1281" s="23" t="inlineStr">
        <is>
          <t>мяг</t>
        </is>
      </c>
      <c r="M1281" s="23" t="n">
        <v>159</v>
      </c>
      <c r="N1281" s="23" t="n">
        <v>2023</v>
      </c>
      <c r="O1281" s="23" t="n">
        <v>76</v>
      </c>
      <c r="P1281" s="23" t="n"/>
      <c r="Q1281" s="23" t="n"/>
      <c r="R1281" s="25" t="inlineStr">
        <is>
          <t>Данте Руссо производит пиво и ради новой рекламной кампании должен сменить свой имидж. Он нанимает консультанта-имиджмейкера, не подозревая, что ею окажется Олив Хейз — его прежняя любовь, девушка, которая когда-то публично унизила его. Данте понимает, что Олив не узнала его, а значит, у него появился шанс отомстить!..</t>
        </is>
      </c>
      <c r="S1281" s="26">
        <f>HYPERLINK("http://www.cnpol.ru/covers/20821.jpg","фото на сайте")</f>
        <v/>
      </c>
    </row>
    <row r="1282" ht="50.1" customHeight="1" s="3">
      <c r="A1282" s="23" t="n"/>
      <c r="B1282" s="24" t="inlineStr">
        <is>
          <t>19558</t>
        </is>
      </c>
      <c r="C1282" s="23" t="inlineStr">
        <is>
          <t>ЛР</t>
        </is>
      </c>
      <c r="D1282" s="23" t="inlineStr">
        <is>
          <t>Олвард Д.</t>
        </is>
      </c>
      <c r="E1282" s="23" t="inlineStr">
        <is>
          <t>Любовный компромисс</t>
        </is>
      </c>
      <c r="F1282" s="23" t="n">
        <v>1023</v>
      </c>
      <c r="G1282" s="23" t="n">
        <v>94</v>
      </c>
      <c r="H1282" s="23" t="n">
        <v>10</v>
      </c>
      <c r="I1282" s="23" t="n">
        <v>30</v>
      </c>
      <c r="J1282" s="23" t="inlineStr">
        <is>
          <t>978-5-227-09202-1</t>
        </is>
      </c>
      <c r="K1282" s="23" t="inlineStr">
        <is>
          <t>70x100 1/32</t>
        </is>
      </c>
      <c r="L1282" s="23" t="inlineStr">
        <is>
          <t>мяг</t>
        </is>
      </c>
      <c r="M1282" s="23" t="n">
        <v>160</v>
      </c>
      <c r="N1282" s="23" t="n">
        <v>2021</v>
      </c>
      <c r="O1282" s="23" t="n">
        <v>76</v>
      </c>
      <c r="P1282" s="23" t="n"/>
      <c r="Q1282" s="23" t="n"/>
      <c r="R1282" s="25" t="inlineStr">
        <is>
          <t>В канун Рождества Джереми Фишер, богатый американский бизнесмен, приезжает по делам фирмы в Канаду. Прошлым летом здесь, на морском курорте, у него случился короткий, страстный роман с Тори Шарп, менеджером отеля. Джереми надеется возобновить связь и снова — на короткое время. Неожиданное известие о том, что Тори беременна и он скоро станет отцом, приводит его в смятение. Джереми не готов обзавестись семьей, однако, лишенный в детстве родительской любви, он не хочет такой же участи для своего ребенка. Тори готовится любой ценой отстаивать свои материнские права. В поисках компромисса будущие родители стараются лучше узнать и понять друг друга. Тори принимает приглашение Джереми провести с ним рождественскую неделю в Нью­Йорке…</t>
        </is>
      </c>
      <c r="S1282" s="26">
        <f>HYPERLINK("http://www.cnpol.ru/covers/19558.jpg","фото на сайте")</f>
        <v/>
      </c>
    </row>
    <row r="1283" ht="50.1" customHeight="1" s="3">
      <c r="A1283" s="23" t="n"/>
      <c r="B1283" s="24" t="inlineStr">
        <is>
          <t>19329</t>
        </is>
      </c>
      <c r="C1283" s="23" t="inlineStr">
        <is>
          <t>ЛР</t>
        </is>
      </c>
      <c r="D1283" s="23" t="inlineStr">
        <is>
          <t>Леннокс М.</t>
        </is>
      </c>
      <c r="E1283" s="23" t="inlineStr">
        <is>
          <t>Любовный рейс для двоих</t>
        </is>
      </c>
      <c r="F1283" s="23" t="n">
        <v>995</v>
      </c>
      <c r="G1283" s="23" t="n">
        <v>94</v>
      </c>
      <c r="H1283" s="23" t="n">
        <v>10</v>
      </c>
      <c r="I1283" s="23" t="n">
        <v>30</v>
      </c>
      <c r="J1283" s="23" t="inlineStr">
        <is>
          <t>978-5-227-09075-1</t>
        </is>
      </c>
      <c r="K1283" s="23" t="inlineStr">
        <is>
          <t>70x100 1/32</t>
        </is>
      </c>
      <c r="L1283" s="23" t="inlineStr">
        <is>
          <t>мяг</t>
        </is>
      </c>
      <c r="M1283" s="23" t="n">
        <v>160</v>
      </c>
      <c r="N1283" s="23" t="n">
        <v>2020</v>
      </c>
      <c r="O1283" s="23" t="n">
        <v>76</v>
      </c>
      <c r="P1283" s="23" t="n"/>
      <c r="Q1283" s="23" t="n"/>
      <c r="R1283" s="25" t="inlineStr">
        <is>
          <t>Мэг О’Хара, шкипер чартерной судовой компании, вынуждена была согласиться доставить богатого клиента Мэтта Маклеллана на остров, которым владеет единственная жительница. Мэтт везет к ней ее осиротевшего внука. Мэг быстро нашла путь к сердцу замкнутого, потерянного семилетнего мальчика и за время опасного путешествия успела привязаться к нему. Ее смелость, ум и доброта покорили не только ребенка, но и молодого миллионера. Казалось бы, два одиноких человека нашли друг друга, но есть одно но — они из разных миров и не знают, как преодолеть барьер…</t>
        </is>
      </c>
      <c r="S1283" s="26">
        <f>HYPERLINK("http://www.cnpol.ru/covers/19329.jpg","фото на сайте")</f>
        <v/>
      </c>
    </row>
    <row r="1284" ht="50.1" customHeight="1" s="3">
      <c r="A1284" s="23" t="n"/>
      <c r="B1284" s="24" t="inlineStr">
        <is>
          <t>16347</t>
        </is>
      </c>
      <c r="C1284" s="23" t="inlineStr">
        <is>
          <t>ЛР</t>
        </is>
      </c>
      <c r="D1284" s="23" t="inlineStr">
        <is>
          <t>Смарт М.</t>
        </is>
      </c>
      <c r="E1284" s="23" t="inlineStr">
        <is>
          <t>Любовный ультиматум</t>
        </is>
      </c>
      <c r="F1284" s="23" t="n">
        <v>564</v>
      </c>
      <c r="G1284" s="23" t="n">
        <v>94</v>
      </c>
      <c r="H1284" s="23" t="n">
        <v>10</v>
      </c>
      <c r="I1284" s="23" t="n">
        <v>30</v>
      </c>
      <c r="J1284" s="23" t="inlineStr">
        <is>
          <t>978-5-227-06246-8</t>
        </is>
      </c>
      <c r="K1284" s="23" t="inlineStr">
        <is>
          <t>70x100 1/32</t>
        </is>
      </c>
      <c r="L1284" s="23" t="inlineStr">
        <is>
          <t>мяг</t>
        </is>
      </c>
      <c r="M1284" s="23" t="n">
        <v>158</v>
      </c>
      <c r="N1284" s="23" t="n">
        <v>2015</v>
      </c>
      <c r="O1284" s="23" t="n">
        <v>76</v>
      </c>
      <c r="P1284" s="23" t="n"/>
      <c r="Q1284" s="23" t="n"/>
      <c r="R1284" s="25" t="inlineStr">
        <is>
          <t>Обворожительная Эмили Ричардсон собирается сорвать выгодную сделку, о которой так мечтает бизнесмен Павел Вершинин. Он ставит условие: Эмили должна поехать с ним на остров — подальше от цивилизации. На острове они неожиданно попадают в шторм и, забыв подозрения и страхи, бросаются в объятия друг друга…</t>
        </is>
      </c>
      <c r="S1284" s="26">
        <f>HYPERLINK("http://www.cnpol.ru/covers/16347.jpg","фото на сайте")</f>
        <v/>
      </c>
    </row>
    <row r="1285" ht="50.1" customHeight="1" s="3">
      <c r="A1285" s="23" t="n"/>
      <c r="B1285" s="24" t="inlineStr">
        <is>
          <t>16050</t>
        </is>
      </c>
      <c r="C1285" s="23" t="inlineStr">
        <is>
          <t>ЛР</t>
        </is>
      </c>
      <c r="D1285" s="23" t="inlineStr">
        <is>
          <t>Карр С.</t>
        </is>
      </c>
      <c r="E1285" s="23" t="inlineStr">
        <is>
          <t>Любовь в главной роли</t>
        </is>
      </c>
      <c r="F1285" s="23" t="n">
        <v>524</v>
      </c>
      <c r="G1285" s="23" t="n">
        <v>94</v>
      </c>
      <c r="H1285" s="23" t="n">
        <v>10</v>
      </c>
      <c r="I1285" s="23" t="n">
        <v>30</v>
      </c>
      <c r="J1285" s="23" t="inlineStr">
        <is>
          <t>978-5-227-05977-2</t>
        </is>
      </c>
      <c r="K1285" s="23" t="inlineStr">
        <is>
          <t>70x100 1/32</t>
        </is>
      </c>
      <c r="L1285" s="23" t="inlineStr">
        <is>
          <t>мяг</t>
        </is>
      </c>
      <c r="M1285" s="23" t="n">
        <v>158</v>
      </c>
      <c r="N1285" s="23" t="n">
        <v>2015</v>
      </c>
      <c r="O1285" s="23" t="n">
        <v>76</v>
      </c>
      <c r="P1285" s="23" t="n"/>
      <c r="Q1285" s="23" t="n"/>
      <c r="R1285" s="25" t="inlineStr">
        <is>
          <t>Потеряв ребенка, Тина Шарма возвращается к мужу и просит развода. Однако Дэв не намерен сдаваться без боя. Он требует, чтобы она играла роль его преданной жены в течение шести недель, после чего они расстанутся. Тина соглашается, и Дэв торжествует — он сделает все, чтобы его жена влюбилась в него снова.</t>
        </is>
      </c>
      <c r="S1285" s="26">
        <f>HYPERLINK("http://www.cnpol.ru/covers/16050.jpg","фото на сайте")</f>
        <v/>
      </c>
    </row>
    <row r="1286" ht="50.1" customHeight="1" s="3">
      <c r="A1286" s="23" t="n"/>
      <c r="B1286" s="24" t="inlineStr">
        <is>
          <t>19506</t>
        </is>
      </c>
      <c r="C1286" s="23" t="inlineStr">
        <is>
          <t>ЛР</t>
        </is>
      </c>
      <c r="D1286" s="23" t="inlineStr">
        <is>
          <t>Лукас Д.</t>
        </is>
      </c>
      <c r="E1286" s="23" t="inlineStr">
        <is>
          <t>Любовь всегда права</t>
        </is>
      </c>
      <c r="F1286" s="23" t="n">
        <v>1016</v>
      </c>
      <c r="G1286" s="23" t="n">
        <v>94</v>
      </c>
      <c r="H1286" s="23" t="n">
        <v>10</v>
      </c>
      <c r="I1286" s="23" t="n">
        <v>30</v>
      </c>
      <c r="J1286" s="23" t="inlineStr">
        <is>
          <t>978-5-227-09154-3</t>
        </is>
      </c>
      <c r="K1286" s="23" t="inlineStr">
        <is>
          <t>70x100 1/32</t>
        </is>
      </c>
      <c r="L1286" s="23" t="inlineStr">
        <is>
          <t>мяг</t>
        </is>
      </c>
      <c r="M1286" s="23" t="n">
        <v>160</v>
      </c>
      <c r="N1286" s="23" t="n">
        <v>2021</v>
      </c>
      <c r="O1286" s="23" t="n">
        <v>76</v>
      </c>
      <c r="P1286" s="23" t="n"/>
      <c r="Q1286" s="23" t="n"/>
      <c r="R1286" s="25" t="inlineStr">
        <is>
          <t>Узнав о своей смертельной болезни, Ставрос Минос, греческий миллиардер, ищет забвения в невероятной ночи с Холли Марлоу, привлекательной и очень усердной секретаршей его кузена. А через год узнает, что она родила от него ребенка. По мнению Ставроса, нет ничего более логичного, чем узаконить их отношения. Отказ Холли от брака ошеломил его…</t>
        </is>
      </c>
      <c r="S1286" s="26">
        <f>HYPERLINK("http://www.cnpol.ru/covers/19506.jpg","фото на сайте")</f>
        <v/>
      </c>
    </row>
    <row r="1287" ht="50.1" customHeight="1" s="3">
      <c r="A1287" s="23" t="n"/>
      <c r="B1287" s="24" t="inlineStr">
        <is>
          <t>20463</t>
        </is>
      </c>
      <c r="C1287" s="23" t="inlineStr">
        <is>
          <t>ЛР</t>
        </is>
      </c>
      <c r="D1287" s="23" t="inlineStr">
        <is>
          <t>Чайлд М.</t>
        </is>
      </c>
      <c r="E1287" s="23" t="inlineStr">
        <is>
          <t>Любовь еще жива</t>
        </is>
      </c>
      <c r="F1287" s="23" t="n">
        <v>1119</v>
      </c>
      <c r="G1287" s="23" t="n">
        <v>94</v>
      </c>
      <c r="H1287" s="23" t="n">
        <v>10</v>
      </c>
      <c r="I1287" s="23" t="n">
        <v>30</v>
      </c>
      <c r="J1287" s="23" t="inlineStr">
        <is>
          <t>978-5-227-10156-3</t>
        </is>
      </c>
      <c r="K1287" s="23" t="inlineStr">
        <is>
          <t>70x100 1/32</t>
        </is>
      </c>
      <c r="L1287" s="23" t="inlineStr">
        <is>
          <t>мяг</t>
        </is>
      </c>
      <c r="M1287" s="23" t="n">
        <v>159</v>
      </c>
      <c r="N1287" s="23" t="n">
        <v>2022</v>
      </c>
      <c r="O1287" s="23" t="n">
        <v>76</v>
      </c>
      <c r="P1287" s="23" t="n"/>
      <c r="Q1287" s="23" t="n"/>
      <c r="R1287" s="25" t="inlineStr">
        <is>
          <t>Генри Портер уже много лет вредит семье Кэри, которая однажды предала его. Когда он в очередной раз перекупает у них объект недвижимости, к нему приходит его бывшая возлюбленная, Аманда Кэри, и требует объяснений. Думая, что забыл ее, Генри с удивлением обнаруживает, что их взаимная страсть жива.</t>
        </is>
      </c>
      <c r="S1287" s="26">
        <f>HYPERLINK("http://www.cnpol.ru/covers/20463.jpg","фото на сайте")</f>
        <v/>
      </c>
    </row>
    <row r="1288" ht="50.1" customHeight="1" s="3">
      <c r="A1288" s="23" t="n"/>
      <c r="B1288" s="24" t="inlineStr">
        <is>
          <t>20631</t>
        </is>
      </c>
      <c r="C1288" s="23" t="inlineStr">
        <is>
          <t>ЛР</t>
        </is>
      </c>
      <c r="D1288" s="23" t="inlineStr">
        <is>
          <t>Сен­Джон Я.</t>
        </is>
      </c>
      <c r="E1288" s="23" t="inlineStr">
        <is>
          <t>Любовь как наваждение</t>
        </is>
      </c>
      <c r="F1288" s="23" t="n">
        <v>1137</v>
      </c>
      <c r="G1288" s="23" t="n">
        <v>94</v>
      </c>
      <c r="H1288" s="23" t="n">
        <v>10</v>
      </c>
      <c r="I1288" s="23" t="n">
        <v>30</v>
      </c>
      <c r="J1288" s="23" t="inlineStr">
        <is>
          <t>978-5-227-10303-1</t>
        </is>
      </c>
      <c r="K1288" s="23" t="inlineStr">
        <is>
          <t>70x100 1/32</t>
        </is>
      </c>
      <c r="L1288" s="23" t="inlineStr">
        <is>
          <t>мяг</t>
        </is>
      </c>
      <c r="M1288" s="23" t="n">
        <v>159</v>
      </c>
      <c r="N1288" s="23" t="n">
        <v>2023</v>
      </c>
      <c r="O1288" s="23" t="n">
        <v>76</v>
      </c>
      <c r="P1288" s="23" t="n"/>
      <c r="Q1288" s="23" t="n"/>
      <c r="R1288" s="25" t="inlineStr">
        <is>
          <t>Натали Гастингс влюбилась в Джонатана Латтимора еще в детстве. Она так увлеклась им, что однажды на вечеринке призналась ему в любви перед всем городом во время трансляции в Интернете. Джонатан стал сторониться ее, и Натали решила сбежать из города. Она отправилась в отпуск, чтобы развеяться, и внезапно встречает там объект своей страсти...</t>
        </is>
      </c>
      <c r="S1288" s="26">
        <f>HYPERLINK("http://www.cnpol.ru/covers/20631.jpg","фото на сайте")</f>
        <v/>
      </c>
    </row>
    <row r="1289" ht="50.1" customHeight="1" s="3">
      <c r="A1289" s="23" t="n"/>
      <c r="B1289" s="24" t="inlineStr">
        <is>
          <t>16140</t>
        </is>
      </c>
      <c r="C1289" s="23" t="inlineStr">
        <is>
          <t>ЛР</t>
        </is>
      </c>
      <c r="D1289" s="23" t="inlineStr">
        <is>
          <t>Колтер К.</t>
        </is>
      </c>
      <c r="E1289" s="23" t="inlineStr">
        <is>
          <t>Любовь по ошибке</t>
        </is>
      </c>
      <c r="F1289" s="23" t="n">
        <v>536</v>
      </c>
      <c r="G1289" s="23" t="n">
        <v>94</v>
      </c>
      <c r="H1289" s="23" t="n">
        <v>10</v>
      </c>
      <c r="I1289" s="23" t="n">
        <v>30</v>
      </c>
      <c r="J1289" s="23" t="inlineStr">
        <is>
          <t>978-5-227-06120-1</t>
        </is>
      </c>
      <c r="K1289" s="23" t="inlineStr">
        <is>
          <t>70x100 1/32</t>
        </is>
      </c>
      <c r="L1289" s="23" t="inlineStr">
        <is>
          <t>мяг</t>
        </is>
      </c>
      <c r="M1289" s="23" t="n">
        <v>158</v>
      </c>
      <c r="N1289" s="23" t="n">
        <v>2015</v>
      </c>
      <c r="O1289" s="23" t="n">
        <v>76</v>
      </c>
      <c r="P1289" s="23" t="n"/>
      <c r="Q1289" s="23" t="n"/>
      <c r="R1289" s="25" t="inlineStr">
        <is>
          <t>Журналистка Стейси Мерфи Уолкер отправилась в уединенный загородный коттедж финансового магната Кернана Макалистера за сенсационным материалом, который должен спасти ее карьеру. Бизнесмен, тяжело переживающий гибель близкого друга, принял ее за наемную помощницу и позволил остаться в доме на время снежной бури. Как Стейси распорядится своим шансом?..</t>
        </is>
      </c>
      <c r="S1289" s="26">
        <f>HYPERLINK("http://www.cnpol.ru/covers/16140.jpg","фото на сайте")</f>
        <v/>
      </c>
    </row>
    <row r="1290" ht="50.1" customHeight="1" s="3">
      <c r="A1290" s="23" t="n"/>
      <c r="B1290" s="24" t="inlineStr">
        <is>
          <t>16918</t>
        </is>
      </c>
      <c r="C1290" s="23" t="inlineStr">
        <is>
          <t>ЛР</t>
        </is>
      </c>
      <c r="D1290" s="23" t="inlineStr">
        <is>
          <t>Фуллер Л</t>
        </is>
      </c>
      <c r="E1290" s="23" t="inlineStr">
        <is>
          <t>Любовь по расписанию</t>
        </is>
      </c>
      <c r="F1290" s="23" t="n">
        <v>638</v>
      </c>
      <c r="G1290" s="23" t="n">
        <v>94</v>
      </c>
      <c r="H1290" s="23" t="n">
        <v>10</v>
      </c>
      <c r="I1290" s="23" t="n">
        <v>30</v>
      </c>
      <c r="J1290" s="23" t="inlineStr">
        <is>
          <t>978-5-227-06847-7</t>
        </is>
      </c>
      <c r="K1290" s="23" t="inlineStr">
        <is>
          <t>70x100 1/32</t>
        </is>
      </c>
      <c r="L1290" s="23" t="inlineStr">
        <is>
          <t>мяг</t>
        </is>
      </c>
      <c r="M1290" s="23" t="n">
        <v>160</v>
      </c>
      <c r="N1290" s="23" t="n">
        <v>2016</v>
      </c>
      <c r="O1290" s="23" t="n">
        <v>76</v>
      </c>
      <c r="P1290" s="23" t="n"/>
      <c r="Q1290" s="23" t="n"/>
      <c r="R1290" s="25" t="inlineStr">
        <is>
          <t>Отправляясь на работу в Венгрию, англичанка Пруденс Эллиот даже представить себе не могла, что ее новым боссом окажется ее муж Ласло, с которым она рассталась семь лет назад… Смогут ли они простить друг другу старые обиды?</t>
        </is>
      </c>
      <c r="S1290" s="26">
        <f>HYPERLINK("http://www.cnpol.ru/covers/16918.jpg","фото на сайте")</f>
        <v/>
      </c>
    </row>
    <row r="1291" ht="50.1" customHeight="1" s="3">
      <c r="A1291" s="23" t="inlineStr">
        <is>
          <t>Н</t>
        </is>
      </c>
      <c r="B1291" s="24" t="inlineStr">
        <is>
          <t>21099</t>
        </is>
      </c>
      <c r="C1291" s="23" t="inlineStr">
        <is>
          <t>ЛР</t>
        </is>
      </c>
      <c r="D1291" s="23" t="inlineStr">
        <is>
          <t>Грейсон Э.</t>
        </is>
      </c>
      <c r="E1291" s="23" t="inlineStr">
        <is>
          <t>Любовь под маской льда</t>
        </is>
      </c>
      <c r="F1291" s="23" t="n">
        <v>1173</v>
      </c>
      <c r="G1291" s="23" t="n">
        <v>94</v>
      </c>
      <c r="H1291" s="23" t="n">
        <v>10</v>
      </c>
      <c r="I1291" s="23" t="n">
        <v>30</v>
      </c>
      <c r="J1291" s="23" t="inlineStr">
        <is>
          <t>978-5-227-10505-9</t>
        </is>
      </c>
      <c r="K1291" s="23" t="inlineStr">
        <is>
          <t>70x100 1/32</t>
        </is>
      </c>
      <c r="L1291" s="23" t="inlineStr">
        <is>
          <t>мяг</t>
        </is>
      </c>
      <c r="M1291" s="23" t="n">
        <v>159</v>
      </c>
      <c r="N1291" s="23" t="n">
        <v>2024</v>
      </c>
      <c r="O1291" s="23" t="n">
        <v>76</v>
      </c>
      <c r="P1291" s="23" t="n"/>
      <c r="Q1291" s="23" t="n"/>
      <c r="R1291" s="25" t="inlineStr">
        <is>
          <t>Александра Волдсворт — наследница огромного состояния и завидная невеста. У нее было все, кроме отцовской любви, — властный и жестокий Дэвид Волдсворт предпочитал управлять жизнью дочери, а не дарить ей счастье. Он заставил ее расстаться с ее любимым, и от этого удара Александра не могла оправиться много лет... Жизнь ее перевернулась с ног на голову — пришлось познать и темные ее страницы. В один из самых тяжелых дней Александра встретилась с тем, кто мог бы помочь начать все сначала. По иронии судьбы им оказался ее прежний возлюбленный…</t>
        </is>
      </c>
      <c r="S1291" s="26">
        <f>HYPERLINK("http://www.cnpol.ru/covers/21099.jpg","фото на сайте")</f>
        <v/>
      </c>
    </row>
    <row r="1292" ht="50.1" customHeight="1" s="3">
      <c r="A1292" s="23" t="n"/>
      <c r="B1292" s="24" t="inlineStr">
        <is>
          <t>18414</t>
        </is>
      </c>
      <c r="C1292" s="23" t="inlineStr">
        <is>
          <t>ЛР</t>
        </is>
      </c>
      <c r="D1292" s="23" t="inlineStr">
        <is>
          <t>Эллис Люси</t>
        </is>
      </c>
      <c r="E1292" s="23" t="inlineStr">
        <is>
          <t>Любовь со второго взгляда</t>
        </is>
      </c>
      <c r="F1292" s="23" t="n">
        <v>855</v>
      </c>
      <c r="G1292" s="23" t="n">
        <v>94</v>
      </c>
      <c r="H1292" s="23" t="n">
        <v>10</v>
      </c>
      <c r="I1292" s="23" t="n">
        <v>30</v>
      </c>
      <c r="J1292" s="23" t="inlineStr">
        <is>
          <t>978-5-227-08360-9</t>
        </is>
      </c>
      <c r="K1292" s="23" t="inlineStr">
        <is>
          <t>70x100 1/32</t>
        </is>
      </c>
      <c r="L1292" s="23" t="inlineStr">
        <is>
          <t>мяг</t>
        </is>
      </c>
      <c r="M1292" s="23" t="n">
        <v>160</v>
      </c>
      <c r="N1292" s="23" t="n">
        <v>2018</v>
      </c>
      <c r="O1292" s="23" t="n">
        <v>92</v>
      </c>
      <c r="P1292" s="23" t="n"/>
      <c r="Q1292" s="23" t="n"/>
      <c r="R1292" s="25" t="inlineStr">
        <is>
          <t>Молодой русский олигарх Николай Воронов покупает для своего дедушки старинный особняк в отдаленной английской деревушке, куда очень любят приезжать туристы. Здесь он знакомится с Сибиллой, которая работает в местном отделении Фонда исторического наследия. Сибилла стремится превратить особняк в туристический центр, и Воронов­старший помогает ей, заодно решив женить внука. Однако Николай категорически против. Вот только устоять перед красотой и бесхитростным очарованием Сибиллы он не может…</t>
        </is>
      </c>
      <c r="S1292" s="26">
        <f>HYPERLINK("http://www.cnpol.ru/covers/18414.jpg","фото на сайте")</f>
        <v/>
      </c>
    </row>
    <row r="1293" ht="50.1" customHeight="1" s="3">
      <c r="A1293" s="23" t="n"/>
      <c r="B1293" s="24" t="inlineStr">
        <is>
          <t>16340</t>
        </is>
      </c>
      <c r="C1293" s="23" t="inlineStr">
        <is>
          <t>ЛР</t>
        </is>
      </c>
      <c r="D1293" s="23" t="inlineStr">
        <is>
          <t>Харди К.</t>
        </is>
      </c>
      <c r="E1293" s="23" t="inlineStr">
        <is>
          <t>Магия желаний</t>
        </is>
      </c>
      <c r="F1293" s="23" t="n">
        <v>562</v>
      </c>
      <c r="G1293" s="23" t="n">
        <v>94</v>
      </c>
      <c r="H1293" s="23" t="n">
        <v>10</v>
      </c>
      <c r="I1293" s="23" t="n">
        <v>30</v>
      </c>
      <c r="J1293" s="23" t="inlineStr">
        <is>
          <t>978-5-227-06193-5</t>
        </is>
      </c>
      <c r="K1293" s="23" t="inlineStr">
        <is>
          <t>70x100 1/32</t>
        </is>
      </c>
      <c r="L1293" s="23" t="inlineStr">
        <is>
          <t>мяг</t>
        </is>
      </c>
      <c r="M1293" s="23" t="n">
        <v>158</v>
      </c>
      <c r="N1293" s="23" t="n">
        <v>2015</v>
      </c>
      <c r="O1293" s="23" t="n">
        <v>76</v>
      </c>
      <c r="P1293" s="23" t="n"/>
      <c r="Q1293" s="23" t="n"/>
      <c r="R1293" s="25" t="inlineStr">
        <is>
          <t>Карисса и Куин — соседи и вместе работают над благотворительным проектом — созданием виртуального сказочного персонажа для открытия детской палаты в больнице. Для Кариссы это еще одно из добрых дел, которыми она славится, а компьютерный гений Куин не может отказать очаровательной соседке. Окажется ли для них детский праздник сказкой со счастливым концом?</t>
        </is>
      </c>
      <c r="S1293" s="26">
        <f>HYPERLINK("http://www.cnpol.ru/covers/16340.jpg","фото на сайте")</f>
        <v/>
      </c>
    </row>
    <row r="1294" ht="50.1" customHeight="1" s="3">
      <c r="A1294" s="23" t="n"/>
      <c r="B1294" s="24" t="inlineStr">
        <is>
          <t>19292</t>
        </is>
      </c>
      <c r="C1294" s="23" t="inlineStr">
        <is>
          <t>ЛР</t>
        </is>
      </c>
      <c r="D1294" s="23" t="inlineStr">
        <is>
          <t>Андерсон Н.</t>
        </is>
      </c>
      <c r="E1294" s="23" t="inlineStr">
        <is>
          <t>Магия первой встречи</t>
        </is>
      </c>
      <c r="F1294" s="23" t="n">
        <v>991</v>
      </c>
      <c r="G1294" s="23" t="n">
        <v>94</v>
      </c>
      <c r="H1294" s="23" t="n">
        <v>10</v>
      </c>
      <c r="I1294" s="23" t="n">
        <v>30</v>
      </c>
      <c r="J1294" s="23" t="inlineStr">
        <is>
          <t>978-5-227-09054-6</t>
        </is>
      </c>
      <c r="K1294" s="23" t="inlineStr">
        <is>
          <t>70x100 1/32</t>
        </is>
      </c>
      <c r="L1294" s="23" t="inlineStr">
        <is>
          <t>мяг</t>
        </is>
      </c>
      <c r="M1294" s="23" t="n">
        <v>160</v>
      </c>
      <c r="N1294" s="23" t="n">
        <v>2020</v>
      </c>
      <c r="O1294" s="23" t="n">
        <v>76</v>
      </c>
      <c r="P1294" s="23" t="n"/>
      <c r="Q1294" s="23" t="n"/>
      <c r="R1294" s="25" t="inlineStr">
        <is>
          <t>Некоторым мужчинам бывает сложно поверить в искренние чувства женщины. Особенно тем, кто принадлежит к высшим слоям общества, богат и воспитан в недоверии и жестокости. Для таких мужчин не существует слова «любовь», но они знают, что такое страсть, и понимают, что такое чувство долга. Жестокость, страсть, чувство долга и любовь – вот этапы развития отношений между миллиардером Леоном Кариакисом и обычной девушкой Антуанетт Робертс, волею судеб оказавшейся его подчиненной…</t>
        </is>
      </c>
      <c r="S1294" s="26">
        <f>HYPERLINK("http://www.cnpol.ru/covers/19292.jpg","фото на сайте")</f>
        <v/>
      </c>
    </row>
    <row r="1295" ht="50.1" customHeight="1" s="3">
      <c r="A1295" s="23" t="n"/>
      <c r="B1295" s="24" t="inlineStr">
        <is>
          <t>18341</t>
        </is>
      </c>
      <c r="C1295" s="23" t="inlineStr">
        <is>
          <t>ЛР</t>
        </is>
      </c>
      <c r="D1295" s="23" t="inlineStr">
        <is>
          <t>Филдинг Л</t>
        </is>
      </c>
      <c r="E1295" s="23" t="inlineStr">
        <is>
          <t>Магия смелых фантазий</t>
        </is>
      </c>
      <c r="F1295" s="23" t="n">
        <v>842</v>
      </c>
      <c r="G1295" s="23" t="n">
        <v>94</v>
      </c>
      <c r="H1295" s="23" t="n">
        <v>10</v>
      </c>
      <c r="I1295" s="23" t="n">
        <v>30</v>
      </c>
      <c r="J1295" s="23" t="inlineStr">
        <is>
          <t>978-5-227-08327-2</t>
        </is>
      </c>
      <c r="K1295" s="23" t="inlineStr">
        <is>
          <t>70x100 1/32</t>
        </is>
      </c>
      <c r="L1295" s="23" t="inlineStr">
        <is>
          <t>мяг</t>
        </is>
      </c>
      <c r="M1295" s="23" t="n">
        <v>160</v>
      </c>
      <c r="N1295" s="23" t="n">
        <v>2018</v>
      </c>
      <c r="O1295" s="23" t="n">
        <v>76</v>
      </c>
      <c r="P1295" s="23" t="n"/>
      <c r="Q1295" s="23" t="n"/>
      <c r="R1295" s="25" t="inlineStr">
        <is>
          <t>Миранда Марлоу не только умница и красавица, она — пилот высшего класса. А еще она влюблена в своего босса, Клива Финча, который год назад овдовел и не может справиться со своим горем. Со смешанным чувством любви, сострадания и страсти Миранда дарит ему утешение доступным любящей женщине способом — проводит с ним ночь. А наутро исчезает, избавив любимого от объяснений. Вскоре она узнает, что беременна. Не желая создавать любимому мужчине новые проблемы, Миранда увольняется из компании и улетает на маленький итальянский остров. Ей нужно время, чтобы принять решение. Не понимая, что происходит, Клив летит за ней…</t>
        </is>
      </c>
      <c r="S1295" s="26">
        <f>HYPERLINK("http://www.cnpol.ru/covers/18341.jpg","фото на сайте")</f>
        <v/>
      </c>
    </row>
    <row r="1296" ht="50.1" customHeight="1" s="3">
      <c r="A1296" s="23" t="n"/>
      <c r="B1296" s="24" t="inlineStr">
        <is>
          <t>15772</t>
        </is>
      </c>
      <c r="C1296" s="23" t="inlineStr">
        <is>
          <t>ЛР</t>
        </is>
      </c>
      <c r="D1296" s="23" t="inlineStr">
        <is>
          <t>Лоренс К.</t>
        </is>
      </c>
      <c r="E1296" s="23" t="inlineStr">
        <is>
          <t>Маленький секрет Энджел</t>
        </is>
      </c>
      <c r="F1296" s="23" t="n">
        <v>487</v>
      </c>
      <c r="G1296" s="23" t="n">
        <v>94</v>
      </c>
      <c r="H1296" s="23" t="n">
        <v>10</v>
      </c>
      <c r="I1296" s="23" t="n">
        <v>30</v>
      </c>
      <c r="J1296" s="23" t="inlineStr">
        <is>
          <t>978-5-227-05682-5</t>
        </is>
      </c>
      <c r="K1296" s="23" t="inlineStr">
        <is>
          <t>70x100 1/32</t>
        </is>
      </c>
      <c r="L1296" s="23" t="inlineStr">
        <is>
          <t>мяг</t>
        </is>
      </c>
      <c r="M1296" s="23" t="n">
        <v>158</v>
      </c>
      <c r="N1296" s="23" t="n">
        <v>2015</v>
      </c>
      <c r="O1296" s="23" t="n">
        <v>74</v>
      </c>
      <c r="P1296" s="23" t="n"/>
      <c r="Q1296" s="23" t="n"/>
      <c r="R1296" s="25" t="inlineStr">
        <is>
          <t>Одна незабываемая ночь любви… и всё? Неужели Энджел обречена всю оставшуюся жизнь мечтать о прекрасном незнакомце, который сделал ей всего один, но зато прекрасный подарок?..</t>
        </is>
      </c>
      <c r="S1296" s="26">
        <f>HYPERLINK("http://www.cnpol.ru/covers/15772.jpg","фото на сайте")</f>
        <v/>
      </c>
    </row>
    <row r="1297" ht="50.1" customHeight="1" s="3">
      <c r="A1297" s="23" t="n"/>
      <c r="B1297" s="24" t="inlineStr">
        <is>
          <t>16525</t>
        </is>
      </c>
      <c r="C1297" s="23" t="inlineStr">
        <is>
          <t>ЛР</t>
        </is>
      </c>
      <c r="D1297" s="23" t="inlineStr">
        <is>
          <t>Гордон Л.</t>
        </is>
      </c>
      <c r="E1297" s="23" t="inlineStr">
        <is>
          <t>Маскарад чувств</t>
        </is>
      </c>
      <c r="F1297" s="23" t="n">
        <v>590</v>
      </c>
      <c r="G1297" s="23" t="n">
        <v>94</v>
      </c>
      <c r="H1297" s="23" t="n">
        <v>10</v>
      </c>
      <c r="I1297" s="23" t="n">
        <v>30</v>
      </c>
      <c r="J1297" s="23" t="inlineStr">
        <is>
          <t>978-5-227-06486-8</t>
        </is>
      </c>
      <c r="K1297" s="23" t="inlineStr">
        <is>
          <t>70x100 1/32</t>
        </is>
      </c>
      <c r="L1297" s="23" t="inlineStr">
        <is>
          <t>мяг</t>
        </is>
      </c>
      <c r="M1297" s="23" t="n">
        <v>158</v>
      </c>
      <c r="N1297" s="23" t="n">
        <v>2016</v>
      </c>
      <c r="O1297" s="23" t="n">
        <v>76</v>
      </c>
      <c r="P1297" s="23" t="n"/>
      <c r="Q1297" s="23" t="n"/>
      <c r="R1297" s="25" t="n"/>
      <c r="S1297" s="26">
        <f>HYPERLINK("http://www.cnpol.ru/covers/16525.jpg","фото на сайте")</f>
        <v/>
      </c>
    </row>
    <row r="1298" ht="50.1" customHeight="1" s="3">
      <c r="A1298" s="23" t="n"/>
      <c r="B1298" s="24" t="inlineStr">
        <is>
          <t>18316</t>
        </is>
      </c>
      <c r="C1298" s="23" t="inlineStr">
        <is>
          <t>ЛР</t>
        </is>
      </c>
      <c r="D1298" s="23" t="inlineStr">
        <is>
          <t>Кондер М.</t>
        </is>
      </c>
      <c r="E1298" s="23" t="inlineStr">
        <is>
          <t>Мастер-класс от плейбоя</t>
        </is>
      </c>
      <c r="F1298" s="23" t="n">
        <v>837</v>
      </c>
      <c r="G1298" s="23" t="n">
        <v>94</v>
      </c>
      <c r="H1298" s="23" t="n">
        <v>10</v>
      </c>
      <c r="I1298" s="23" t="n">
        <v>30</v>
      </c>
      <c r="J1298" s="23" t="inlineStr">
        <is>
          <t>978-5-227-08247-3</t>
        </is>
      </c>
      <c r="K1298" s="23" t="inlineStr">
        <is>
          <t>70x100 1/32</t>
        </is>
      </c>
      <c r="L1298" s="23" t="inlineStr">
        <is>
          <t>мяг</t>
        </is>
      </c>
      <c r="M1298" s="23" t="n">
        <v>160</v>
      </c>
      <c r="N1298" s="23" t="n">
        <v>2018</v>
      </c>
      <c r="O1298" s="23" t="n">
        <v>76</v>
      </c>
      <c r="P1298" s="23" t="n"/>
      <c r="Q1298" s="23" t="n"/>
      <c r="R1298" s="25" t="n"/>
      <c r="S1298" s="26">
        <f>HYPERLINK("http://www.cnpol.ru/covers/18316.jpg","фото на сайте")</f>
        <v/>
      </c>
    </row>
    <row r="1299" ht="50.1" customHeight="1" s="3">
      <c r="A1299" s="23" t="n"/>
      <c r="B1299" s="24" t="inlineStr">
        <is>
          <t>17648</t>
        </is>
      </c>
      <c r="C1299" s="23" t="inlineStr">
        <is>
          <t>ЛР</t>
        </is>
      </c>
      <c r="D1299" s="23" t="inlineStr">
        <is>
          <t>Харди К.</t>
        </is>
      </c>
      <c r="E1299" s="23" t="inlineStr">
        <is>
          <t>Мачо из виртуальных грез</t>
        </is>
      </c>
      <c r="F1299" s="23" t="n">
        <v>745</v>
      </c>
      <c r="G1299" s="23" t="n">
        <v>94</v>
      </c>
      <c r="H1299" s="23" t="n">
        <v>10</v>
      </c>
      <c r="I1299" s="23" t="n">
        <v>30</v>
      </c>
      <c r="J1299" s="23" t="inlineStr">
        <is>
          <t>978-5-227-07681-6</t>
        </is>
      </c>
      <c r="K1299" s="23" t="inlineStr">
        <is>
          <t>70x100 1/32</t>
        </is>
      </c>
      <c r="L1299" s="23" t="inlineStr">
        <is>
          <t>мяг</t>
        </is>
      </c>
      <c r="M1299" s="23" t="n">
        <v>160</v>
      </c>
      <c r="N1299" s="23" t="n">
        <v>2017</v>
      </c>
      <c r="O1299" s="23" t="n">
        <v>76</v>
      </c>
      <c r="P1299" s="23" t="n"/>
      <c r="Q1299" s="23" t="n"/>
      <c r="R1299" s="25" t="n"/>
      <c r="S1299" s="26">
        <f>HYPERLINK("http://www.cnpol.ru/covers/17648.jpg","фото на сайте")</f>
        <v/>
      </c>
    </row>
    <row r="1300" ht="50.1" customHeight="1" s="3">
      <c r="A1300" s="23" t="n"/>
      <c r="B1300" s="24" t="inlineStr">
        <is>
          <t>19641</t>
        </is>
      </c>
      <c r="C1300" s="23" t="inlineStr">
        <is>
          <t>ЛР</t>
        </is>
      </c>
      <c r="D1300" s="23" t="inlineStr">
        <is>
          <t>Кендрик Ш.</t>
        </is>
      </c>
      <c r="E1300" s="23" t="inlineStr">
        <is>
          <t>Медовый вкус страсти</t>
        </is>
      </c>
      <c r="F1300" s="23" t="n">
        <v>1032</v>
      </c>
      <c r="G1300" s="23" t="n">
        <v>94</v>
      </c>
      <c r="H1300" s="23" t="n">
        <v>10</v>
      </c>
      <c r="I1300" s="23" t="n">
        <v>30</v>
      </c>
      <c r="J1300" s="23" t="inlineStr">
        <is>
          <t>978-5-227-09288-5</t>
        </is>
      </c>
      <c r="K1300" s="23" t="inlineStr">
        <is>
          <t>70x100 1/32</t>
        </is>
      </c>
      <c r="L1300" s="23" t="inlineStr">
        <is>
          <t>мяг</t>
        </is>
      </c>
      <c r="M1300" s="23" t="n">
        <v>160</v>
      </c>
      <c r="N1300" s="23" t="n">
        <v>2021</v>
      </c>
      <c r="O1300" s="23" t="n">
        <v>76</v>
      </c>
      <c r="P1300" s="23" t="n"/>
      <c r="Q1300" s="23" t="n"/>
      <c r="R1300" s="25" t="n"/>
      <c r="S1300" s="26">
        <f>HYPERLINK("http://www.cnpol.ru/covers/19641.jpg","фото на сайте")</f>
        <v/>
      </c>
    </row>
    <row r="1301" ht="50.1" customHeight="1" s="3">
      <c r="A1301" s="23" t="n"/>
      <c r="B1301" s="24" t="inlineStr">
        <is>
          <t>19113</t>
        </is>
      </c>
      <c r="C1301" s="23" t="inlineStr">
        <is>
          <t>ЛР</t>
        </is>
      </c>
      <c r="D1301" s="23" t="inlineStr">
        <is>
          <t>Коллинз Д.</t>
        </is>
      </c>
      <c r="E1301" s="23" t="inlineStr">
        <is>
          <t>Медовый месяц без гарантий</t>
        </is>
      </c>
      <c r="F1301" s="23" t="n">
        <v>968</v>
      </c>
      <c r="G1301" s="23" t="n">
        <v>94</v>
      </c>
      <c r="H1301" s="23" t="n">
        <v>10</v>
      </c>
      <c r="I1301" s="23" t="n">
        <v>30</v>
      </c>
      <c r="J1301" s="23" t="inlineStr">
        <is>
          <t>978-5-227-08940-3</t>
        </is>
      </c>
      <c r="K1301" s="23" t="inlineStr">
        <is>
          <t>70x100 1/32</t>
        </is>
      </c>
      <c r="L1301" s="23" t="inlineStr">
        <is>
          <t>мяг</t>
        </is>
      </c>
      <c r="M1301" s="23" t="n">
        <v>160</v>
      </c>
      <c r="N1301" s="23" t="n">
        <v>2020</v>
      </c>
      <c r="O1301" s="23" t="n">
        <v>76</v>
      </c>
      <c r="P1301" s="23" t="n"/>
      <c r="Q1301" s="23" t="n"/>
      <c r="R1301" s="25" t="n"/>
      <c r="S1301" s="26">
        <f>HYPERLINK("http://www.cnpol.ru/covers/19113.jpg","фото на сайте")</f>
        <v/>
      </c>
    </row>
    <row r="1302" ht="50.1" customHeight="1" s="3">
      <c r="A1302" s="23" t="n"/>
      <c r="B1302" s="24" t="inlineStr">
        <is>
          <t>19463</t>
        </is>
      </c>
      <c r="C1302" s="23" t="inlineStr">
        <is>
          <t>ЛР</t>
        </is>
      </c>
      <c r="D1302" s="23" t="inlineStr">
        <is>
          <t>Лоренс А.</t>
        </is>
      </c>
      <c r="E1302" s="23" t="inlineStr">
        <is>
          <t>Медовый месяц без правил</t>
        </is>
      </c>
      <c r="F1302" s="23" t="n">
        <v>1013</v>
      </c>
      <c r="G1302" s="23" t="n">
        <v>94</v>
      </c>
      <c r="H1302" s="23" t="n">
        <v>10</v>
      </c>
      <c r="I1302" s="23" t="n">
        <v>30</v>
      </c>
      <c r="J1302" s="23" t="inlineStr">
        <is>
          <t>978-5-227-09151-2</t>
        </is>
      </c>
      <c r="K1302" s="23" t="inlineStr">
        <is>
          <t>70x100 1/32</t>
        </is>
      </c>
      <c r="L1302" s="23" t="inlineStr">
        <is>
          <t>мяг</t>
        </is>
      </c>
      <c r="M1302" s="23" t="n">
        <v>160</v>
      </c>
      <c r="N1302" s="23" t="n">
        <v>2021</v>
      </c>
      <c r="O1302" s="23" t="n">
        <v>76</v>
      </c>
      <c r="P1302" s="23" t="n"/>
      <c r="Q1302" s="23" t="n"/>
      <c r="R1302" s="25" t="n"/>
      <c r="S1302" s="26">
        <f>HYPERLINK("http://www.cnpol.ru/covers/19463.jpg","фото на сайте")</f>
        <v/>
      </c>
    </row>
    <row r="1303" ht="50.1" customHeight="1" s="3">
      <c r="A1303" s="23" t="n"/>
      <c r="B1303" s="24" t="inlineStr">
        <is>
          <t>18971</t>
        </is>
      </c>
      <c r="C1303" s="23" t="inlineStr">
        <is>
          <t>ЛР</t>
        </is>
      </c>
      <c r="D1303" s="23" t="inlineStr">
        <is>
          <t>Уинтерз Р.</t>
        </is>
      </c>
      <c r="E1303" s="23" t="inlineStr">
        <is>
          <t>Медовый месяц с незнакомцем</t>
        </is>
      </c>
      <c r="F1303" s="23" t="n">
        <v>946</v>
      </c>
      <c r="G1303" s="23" t="n">
        <v>94</v>
      </c>
      <c r="H1303" s="23" t="n">
        <v>10</v>
      </c>
      <c r="I1303" s="23" t="n">
        <v>30</v>
      </c>
      <c r="J1303" s="23" t="inlineStr">
        <is>
          <t>978-5-227-08837-6</t>
        </is>
      </c>
      <c r="K1303" s="23" t="inlineStr">
        <is>
          <t>70x100 1/32</t>
        </is>
      </c>
      <c r="L1303" s="23" t="inlineStr">
        <is>
          <t>мяг</t>
        </is>
      </c>
      <c r="M1303" s="23" t="n">
        <v>160</v>
      </c>
      <c r="N1303" s="23" t="n">
        <v>2019</v>
      </c>
      <c r="O1303" s="23" t="n">
        <v>76</v>
      </c>
      <c r="P1303" s="23" t="n"/>
      <c r="Q1303" s="23" t="n"/>
      <c r="R1303" s="25" t="n"/>
      <c r="S1303" s="26">
        <f>HYPERLINK("http://www.cnpol.ru/covers/18971.jpg","фото на сайте")</f>
        <v/>
      </c>
    </row>
    <row r="1304" ht="50.1" customHeight="1" s="3">
      <c r="A1304" s="23" t="n"/>
      <c r="B1304" s="24" t="inlineStr">
        <is>
          <t>20462</t>
        </is>
      </c>
      <c r="C1304" s="23" t="inlineStr">
        <is>
          <t>ЛР</t>
        </is>
      </c>
      <c r="D1304" s="23" t="inlineStr">
        <is>
          <t>Данлоп Б.</t>
        </is>
      </c>
      <c r="E1304" s="23" t="inlineStr">
        <is>
          <t>Месть бывшему любовнику</t>
        </is>
      </c>
      <c r="F1304" s="23" t="n">
        <v>1118</v>
      </c>
      <c r="G1304" s="23" t="n">
        <v>94</v>
      </c>
      <c r="H1304" s="23" t="n">
        <v>10</v>
      </c>
      <c r="I1304" s="23" t="n">
        <v>30</v>
      </c>
      <c r="J1304" s="23" t="inlineStr">
        <is>
          <t>978-5-227-10142-6</t>
        </is>
      </c>
      <c r="K1304" s="23" t="inlineStr">
        <is>
          <t>70x100 1/32</t>
        </is>
      </c>
      <c r="L1304" s="23" t="inlineStr">
        <is>
          <t>мяг</t>
        </is>
      </c>
      <c r="M1304" s="23" t="n">
        <v>159</v>
      </c>
      <c r="N1304" s="23" t="n">
        <v>2022</v>
      </c>
      <c r="O1304" s="23" t="n">
        <v>76</v>
      </c>
      <c r="P1304" s="23" t="n"/>
      <c r="Q1304" s="23" t="n"/>
      <c r="R1304" s="25" t="inlineStr">
        <is>
          <t>Нат и Джеймс давно знакомы, и оба пережили душевную травму: серая мышка Нат переживает расставание с красавцем Генри Полсоном, который бросил ее ради девицы с броской внешностью. Скромный невыразительный Джеймс еще не пришел в себя после предательства невесты, которая сбежала от него в день свадьбы и спустя короткое время вышла замуж за другого мужчину. Однажды, оценив свое печальное положение, Нат и Джеймс решают измениться, – стать яркими и привлекательными для противоположного пола. Сообща они увлеченно берутся за дело…</t>
        </is>
      </c>
      <c r="S1304" s="26">
        <f>HYPERLINK("http://www.cnpol.ru/covers/20462.jpg","фото на сайте")</f>
        <v/>
      </c>
    </row>
    <row r="1305" ht="50.1" customHeight="1" s="3">
      <c r="A1305" s="23" t="n"/>
      <c r="B1305" s="24" t="inlineStr">
        <is>
          <t>14339</t>
        </is>
      </c>
      <c r="C1305" s="23" t="inlineStr">
        <is>
          <t>ЛР</t>
        </is>
      </c>
      <c r="D1305" s="23" t="inlineStr">
        <is>
          <t>Филдинг Л</t>
        </is>
      </c>
      <c r="E1305" s="23" t="inlineStr">
        <is>
          <t>Месть и любовь</t>
        </is>
      </c>
      <c r="F1305" s="23" t="n">
        <v>324</v>
      </c>
      <c r="G1305" s="23" t="n">
        <v>94</v>
      </c>
      <c r="H1305" s="23" t="n">
        <v>10</v>
      </c>
      <c r="I1305" s="23" t="n">
        <v>30</v>
      </c>
      <c r="J1305" s="23" t="inlineStr">
        <is>
          <t>978-5-227-04348-1</t>
        </is>
      </c>
      <c r="K1305" s="23" t="inlineStr">
        <is>
          <t>70x100 1/32</t>
        </is>
      </c>
      <c r="L1305" s="23" t="inlineStr">
        <is>
          <t>мяг</t>
        </is>
      </c>
      <c r="M1305" s="23" t="n">
        <v>158</v>
      </c>
      <c r="N1305" s="23" t="n">
        <v>2013</v>
      </c>
      <c r="O1305" s="23" t="n">
        <v>78</v>
      </c>
      <c r="P1305" s="23" t="n"/>
      <c r="Q1305" s="23" t="n"/>
      <c r="R1305" s="25" t="n"/>
      <c r="S1305" s="26">
        <f>HYPERLINK("http://www.cnpol.ru/covers/14339.jpg","фото на сайте")</f>
        <v/>
      </c>
    </row>
    <row r="1306" ht="50.1" customHeight="1" s="3">
      <c r="A1306" s="23" t="n"/>
      <c r="B1306" s="24" t="inlineStr">
        <is>
          <t>17816</t>
        </is>
      </c>
      <c r="C1306" s="23" t="inlineStr">
        <is>
          <t>ЛР</t>
        </is>
      </c>
      <c r="D1306" s="23" t="inlineStr">
        <is>
          <t>Коллинз Д.</t>
        </is>
      </c>
      <c r="E1306" s="23" t="inlineStr">
        <is>
          <t>Месть идеальной женщине</t>
        </is>
      </c>
      <c r="F1306" s="23" t="n">
        <v>771</v>
      </c>
      <c r="G1306" s="23" t="n">
        <v>94</v>
      </c>
      <c r="H1306" s="23" t="n">
        <v>10</v>
      </c>
      <c r="I1306" s="23" t="n">
        <v>30</v>
      </c>
      <c r="J1306" s="23" t="inlineStr">
        <is>
          <t>978-5-227-07755-4</t>
        </is>
      </c>
      <c r="K1306" s="23" t="inlineStr">
        <is>
          <t>70x100 1/32</t>
        </is>
      </c>
      <c r="L1306" s="23" t="inlineStr">
        <is>
          <t>мяг</t>
        </is>
      </c>
      <c r="M1306" s="23" t="n">
        <v>160</v>
      </c>
      <c r="N1306" s="23" t="n">
        <v>2017</v>
      </c>
      <c r="O1306" s="23" t="n">
        <v>76</v>
      </c>
      <c r="P1306" s="23" t="n"/>
      <c r="Q1306" s="23" t="n"/>
      <c r="R1306" s="25" t="n"/>
      <c r="S1306" s="26">
        <f>HYPERLINK("http://www.cnpol.ru/covers/17816.jpg","фото на сайте")</f>
        <v/>
      </c>
    </row>
    <row r="1307" ht="50.1" customHeight="1" s="3">
      <c r="A1307" s="23" t="n"/>
      <c r="B1307" s="24" t="inlineStr">
        <is>
          <t>20270</t>
        </is>
      </c>
      <c r="C1307" s="23" t="inlineStr">
        <is>
          <t>ЛР</t>
        </is>
      </c>
      <c r="D1307" s="23" t="inlineStr">
        <is>
          <t>Бранд Ф.</t>
        </is>
      </c>
      <c r="E1307" s="23" t="inlineStr">
        <is>
          <t>Месяц знойных ласк</t>
        </is>
      </c>
      <c r="F1307" s="23" t="n">
        <v>1094</v>
      </c>
      <c r="G1307" s="23" t="n">
        <v>94</v>
      </c>
      <c r="H1307" s="23" t="n">
        <v>10</v>
      </c>
      <c r="I1307" s="23" t="n">
        <v>30</v>
      </c>
      <c r="J1307" s="23" t="inlineStr">
        <is>
          <t>978-5-227-09807-8</t>
        </is>
      </c>
      <c r="K1307" s="23" t="inlineStr">
        <is>
          <t>70x100 1/32</t>
        </is>
      </c>
      <c r="L1307" s="23" t="inlineStr">
        <is>
          <t>мяг</t>
        </is>
      </c>
      <c r="M1307" s="23" t="n">
        <v>159</v>
      </c>
      <c r="N1307" s="23" t="n">
        <v>2022</v>
      </c>
      <c r="O1307" s="23" t="n">
        <v>76</v>
      </c>
      <c r="P1307" s="23" t="n"/>
      <c r="Q1307" s="23" t="n"/>
      <c r="R1307" s="25" t="n"/>
      <c r="S1307" s="26">
        <f>HYPERLINK("http://www.cnpol.ru/covers/20270.jpg","фото на сайте")</f>
        <v/>
      </c>
    </row>
    <row r="1308" ht="50.1" customHeight="1" s="3">
      <c r="A1308" s="23" t="n"/>
      <c r="B1308" s="24" t="inlineStr">
        <is>
          <t>20438</t>
        </is>
      </c>
      <c r="C1308" s="23" t="inlineStr">
        <is>
          <t>ЛР</t>
        </is>
      </c>
      <c r="D1308" s="23" t="inlineStr">
        <is>
          <t>Лоренс К.</t>
        </is>
      </c>
      <c r="E1308" s="23" t="inlineStr">
        <is>
          <t>Миг воплощенных желаний</t>
        </is>
      </c>
      <c r="F1308" s="23" t="n">
        <v>1115</v>
      </c>
      <c r="G1308" s="23" t="n">
        <v>94</v>
      </c>
      <c r="H1308" s="23" t="n">
        <v>10</v>
      </c>
      <c r="I1308" s="23" t="n">
        <v>30</v>
      </c>
      <c r="J1308" s="23" t="inlineStr">
        <is>
          <t>978-5-227-10125-9</t>
        </is>
      </c>
      <c r="K1308" s="23" t="inlineStr">
        <is>
          <t>70x100 1/32</t>
        </is>
      </c>
      <c r="L1308" s="23" t="inlineStr">
        <is>
          <t>мяг</t>
        </is>
      </c>
      <c r="M1308" s="23" t="n">
        <v>159</v>
      </c>
      <c r="N1308" s="23" t="n">
        <v>2022</v>
      </c>
      <c r="O1308" s="23" t="n">
        <v>76</v>
      </c>
      <c r="P1308" s="23" t="n"/>
      <c r="Q1308" s="23" t="n"/>
      <c r="R1308" s="25" t="inlineStr">
        <is>
          <t>Впервые встретившись со своей сводной сестрой, Майя Монк не подозревала, что та бросит на нее своего ребенка. Не успев смириться с ситуацией, в которую попала, Майя сталкивается с миллиардером Самуэле Агости, который требует отдать ему малыша.</t>
        </is>
      </c>
      <c r="S1308" s="26">
        <f>HYPERLINK("http://www.cnpol.ru/covers/20438.jpg","фото на сайте")</f>
        <v/>
      </c>
    </row>
    <row r="1309" ht="50.1" customHeight="1" s="3">
      <c r="A1309" s="23" t="inlineStr">
        <is>
          <t>Н</t>
        </is>
      </c>
      <c r="B1309" s="24" t="inlineStr">
        <is>
          <t>21248</t>
        </is>
      </c>
      <c r="C1309" s="23" t="inlineStr">
        <is>
          <t>ЛР</t>
        </is>
      </c>
      <c r="D1309" s="23" t="inlineStr">
        <is>
          <t>Мэрчент С.</t>
        </is>
      </c>
      <c r="E1309" s="23" t="inlineStr">
        <is>
          <t>Миг запретных ласк</t>
        </is>
      </c>
      <c r="F1309" s="23" t="n">
        <v>1181</v>
      </c>
      <c r="G1309" s="23" t="n">
        <v>94</v>
      </c>
      <c r="H1309" s="23" t="n">
        <v>10</v>
      </c>
      <c r="I1309" s="23" t="n">
        <v>30</v>
      </c>
      <c r="J1309" s="23" t="inlineStr">
        <is>
          <t>978-5-227-10521-9</t>
        </is>
      </c>
      <c r="K1309" s="23" t="inlineStr">
        <is>
          <t>70x100 1/32</t>
        </is>
      </c>
      <c r="L1309" s="23" t="inlineStr">
        <is>
          <t>мяг</t>
        </is>
      </c>
      <c r="M1309" s="23" t="n">
        <v>159</v>
      </c>
      <c r="N1309" s="23" t="n">
        <v>2024</v>
      </c>
      <c r="O1309" s="23" t="n">
        <v>76</v>
      </c>
      <c r="P1309" s="23" t="n"/>
      <c r="Q1309" s="23" t="n"/>
      <c r="R1309" s="25" t="inlineStr">
        <is>
          <t>Биолог Анна Кендалл возвращается в Южную Африку, в заповедник дикой природы, где прошли ее детство и юность. Одиннадцать лет назад ей пришлось покинуть Тембу с разбитым сердцем — мужчина, которого она полюбила, отверг ее любовь. От прежней девчонки-дикарки не осталось и следа, теперь Анна — авторитетный специалист, от ее заключения зависит финансирование заповедника. Однако при встрече с Джеком Элиотом в ее сердце с новой силой разгорается любовь, а влечение, возникшее меду ними, жарче африканского солнца…</t>
        </is>
      </c>
      <c r="S1309" s="26">
        <f>HYPERLINK("http://www.cnpol.ru/covers/21248.jpg","фото на сайте")</f>
        <v/>
      </c>
    </row>
    <row r="1310" ht="50.1" customHeight="1" s="3">
      <c r="A1310" s="23" t="n"/>
      <c r="B1310" s="24" t="inlineStr">
        <is>
          <t>20183</t>
        </is>
      </c>
      <c r="C1310" s="23" t="inlineStr">
        <is>
          <t>ЛР</t>
        </is>
      </c>
      <c r="D1310" s="23" t="inlineStr">
        <is>
          <t>Уайтфезер Ш.</t>
        </is>
      </c>
      <c r="E1310" s="23" t="inlineStr">
        <is>
          <t>Миг страсти в Нэшвилле</t>
        </is>
      </c>
      <c r="F1310" s="23" t="n">
        <v>1089</v>
      </c>
      <c r="G1310" s="23" t="n">
        <v>94</v>
      </c>
      <c r="H1310" s="23" t="n">
        <v>10</v>
      </c>
      <c r="I1310" s="23" t="n">
        <v>30</v>
      </c>
      <c r="J1310" s="23" t="inlineStr">
        <is>
          <t>978-5-227-09682-1</t>
        </is>
      </c>
      <c r="K1310" s="23" t="inlineStr">
        <is>
          <t>70x100 1/32</t>
        </is>
      </c>
      <c r="L1310" s="23" t="inlineStr">
        <is>
          <t>мяг</t>
        </is>
      </c>
      <c r="M1310" s="23" t="n">
        <v>159</v>
      </c>
      <c r="N1310" s="23" t="n">
        <v>2022</v>
      </c>
      <c r="O1310" s="23" t="n">
        <v>76</v>
      </c>
      <c r="P1310" s="23" t="n"/>
      <c r="Q1310" s="23" t="n"/>
      <c r="R1310" s="25" t="n"/>
      <c r="S1310" s="26">
        <f>HYPERLINK("http://www.cnpol.ru/covers/20183.jpg","фото на сайте")</f>
        <v/>
      </c>
    </row>
    <row r="1311" ht="50.1" customHeight="1" s="3">
      <c r="A1311" s="23" t="n"/>
      <c r="B1311" s="24" t="inlineStr">
        <is>
          <t>18479</t>
        </is>
      </c>
      <c r="C1311" s="23" t="inlineStr">
        <is>
          <t>ЛР</t>
        </is>
      </c>
      <c r="D1311" s="23" t="inlineStr">
        <is>
          <t>Милберн М.</t>
        </is>
      </c>
      <c r="E1311" s="23" t="inlineStr">
        <is>
          <t>Миллион за жену-беглянку</t>
        </is>
      </c>
      <c r="F1311" s="23" t="n">
        <v>864</v>
      </c>
      <c r="G1311" s="23" t="n">
        <v>94</v>
      </c>
      <c r="H1311" s="23" t="n">
        <v>10</v>
      </c>
      <c r="I1311" s="23" t="n">
        <v>30</v>
      </c>
      <c r="J1311" s="23" t="inlineStr">
        <is>
          <t>978-5-227-08390-6</t>
        </is>
      </c>
      <c r="K1311" s="23" t="inlineStr">
        <is>
          <t>70x100 1/32</t>
        </is>
      </c>
      <c r="L1311" s="23" t="inlineStr">
        <is>
          <t>мяг</t>
        </is>
      </c>
      <c r="M1311" s="23" t="n">
        <v>160</v>
      </c>
      <c r="N1311" s="23" t="n">
        <v>2019</v>
      </c>
      <c r="O1311" s="23" t="n">
        <v>76</v>
      </c>
      <c r="P1311" s="23" t="n"/>
      <c r="Q1311" s="23" t="n"/>
      <c r="R1311" s="25" t="n"/>
      <c r="S1311" s="26">
        <f>HYPERLINK("http://www.cnpol.ru/covers/18479.jpg","фото на сайте")</f>
        <v/>
      </c>
    </row>
    <row r="1312" ht="50.1" customHeight="1" s="3">
      <c r="A1312" s="23" t="n"/>
      <c r="B1312" s="24" t="inlineStr">
        <is>
          <t>18138</t>
        </is>
      </c>
      <c r="C1312" s="23" t="inlineStr">
        <is>
          <t>ЛР</t>
        </is>
      </c>
      <c r="D1312" s="23" t="inlineStr">
        <is>
          <t>Шоу Ш.</t>
        </is>
      </c>
      <c r="E1312" s="23" t="inlineStr">
        <is>
          <t>Мне без тебя не жить</t>
        </is>
      </c>
      <c r="F1312" s="23" t="n">
        <v>808</v>
      </c>
      <c r="G1312" s="23" t="n">
        <v>94</v>
      </c>
      <c r="H1312" s="23" t="n">
        <v>10</v>
      </c>
      <c r="I1312" s="23" t="n">
        <v>30</v>
      </c>
      <c r="J1312" s="23" t="inlineStr">
        <is>
          <t>978-5-227-08127-8</t>
        </is>
      </c>
      <c r="K1312" s="23" t="inlineStr">
        <is>
          <t>70x100 1/32</t>
        </is>
      </c>
      <c r="L1312" s="23" t="inlineStr">
        <is>
          <t>мяг</t>
        </is>
      </c>
      <c r="M1312" s="23" t="n">
        <v>160</v>
      </c>
      <c r="N1312" s="23" t="n">
        <v>2018</v>
      </c>
      <c r="O1312" s="23" t="n">
        <v>76</v>
      </c>
      <c r="P1312" s="23" t="n"/>
      <c r="Q1312" s="23" t="n"/>
      <c r="R1312" s="25" t="n"/>
      <c r="S1312" s="26">
        <f>HYPERLINK("http://www.cnpol.ru/covers/18138.jpg","фото на сайте")</f>
        <v/>
      </c>
    </row>
    <row r="1313" ht="50.1" customHeight="1" s="3">
      <c r="A1313" s="23" t="n"/>
      <c r="B1313" s="24" t="inlineStr">
        <is>
          <t>16378</t>
        </is>
      </c>
      <c r="C1313" s="23" t="inlineStr">
        <is>
          <t>ЛР</t>
        </is>
      </c>
      <c r="D1313" s="23" t="inlineStr">
        <is>
          <t>Монро Л.</t>
        </is>
      </c>
      <c r="E1313" s="23" t="inlineStr">
        <is>
          <t>Мое седьмое небо</t>
        </is>
      </c>
      <c r="F1313" s="23" t="n">
        <v>571</v>
      </c>
      <c r="G1313" s="23" t="n">
        <v>94</v>
      </c>
      <c r="H1313" s="23" t="n">
        <v>10</v>
      </c>
      <c r="I1313" s="23" t="n">
        <v>30</v>
      </c>
      <c r="J1313" s="23" t="inlineStr">
        <is>
          <t>978-5-227-06253-6</t>
        </is>
      </c>
      <c r="K1313" s="23" t="inlineStr">
        <is>
          <t>70x100 1/32</t>
        </is>
      </c>
      <c r="L1313" s="23" t="inlineStr">
        <is>
          <t>мяг</t>
        </is>
      </c>
      <c r="M1313" s="23" t="n">
        <v>158</v>
      </c>
      <c r="N1313" s="23" t="n">
        <v>2015</v>
      </c>
      <c r="O1313" s="23" t="n">
        <v>76</v>
      </c>
      <c r="P1313" s="23" t="n"/>
      <c r="Q1313" s="23" t="n"/>
      <c r="R1313" s="25" t="n"/>
      <c r="S1313" s="26">
        <f>HYPERLINK("http://www.cnpol.ru/covers/16378.jpg","фото на сайте")</f>
        <v/>
      </c>
    </row>
    <row r="1314" ht="50.1" customHeight="1" s="3">
      <c r="A1314" s="23" t="n"/>
      <c r="B1314" s="24" t="inlineStr">
        <is>
          <t>18272</t>
        </is>
      </c>
      <c r="C1314" s="23" t="inlineStr">
        <is>
          <t>ЛР</t>
        </is>
      </c>
      <c r="D1314" s="23" t="inlineStr">
        <is>
          <t>Милберн М.</t>
        </is>
      </c>
      <c r="E1314" s="23" t="inlineStr">
        <is>
          <t>Моей любви хватит на двоих</t>
        </is>
      </c>
      <c r="F1314" s="23" t="n">
        <v>831</v>
      </c>
      <c r="G1314" s="23" t="n">
        <v>94</v>
      </c>
      <c r="H1314" s="23" t="n">
        <v>10</v>
      </c>
      <c r="I1314" s="23" t="n">
        <v>30</v>
      </c>
      <c r="J1314" s="23" t="inlineStr">
        <is>
          <t>978-5-227-08241-1</t>
        </is>
      </c>
      <c r="K1314" s="23" t="inlineStr">
        <is>
          <t>70x100 1/32</t>
        </is>
      </c>
      <c r="L1314" s="23" t="inlineStr">
        <is>
          <t>мяг</t>
        </is>
      </c>
      <c r="M1314" s="23" t="n">
        <v>160</v>
      </c>
      <c r="N1314" s="23" t="n">
        <v>2018</v>
      </c>
      <c r="O1314" s="23" t="n">
        <v>76</v>
      </c>
      <c r="P1314" s="23" t="n"/>
      <c r="Q1314" s="23" t="n"/>
      <c r="R1314" s="25" t="n"/>
      <c r="S1314" s="26">
        <f>HYPERLINK("http://www.cnpol.ru/covers/18272.jpg","фото на сайте")</f>
        <v/>
      </c>
    </row>
    <row r="1315" ht="50.1" customHeight="1" s="3">
      <c r="A1315" s="23" t="n"/>
      <c r="B1315" s="24" t="inlineStr">
        <is>
          <t>17958</t>
        </is>
      </c>
      <c r="C1315" s="23" t="inlineStr">
        <is>
          <t>ЛР</t>
        </is>
      </c>
      <c r="D1315" s="23" t="inlineStr">
        <is>
          <t>Фэй Д.</t>
        </is>
      </c>
      <c r="E1315" s="23" t="inlineStr">
        <is>
          <t>Может, все сначала?</t>
        </is>
      </c>
      <c r="F1315" s="23" t="n">
        <v>791</v>
      </c>
      <c r="G1315" s="23" t="n">
        <v>94</v>
      </c>
      <c r="H1315" s="23" t="n">
        <v>10</v>
      </c>
      <c r="I1315" s="23" t="n">
        <v>30</v>
      </c>
      <c r="J1315" s="23" t="inlineStr">
        <is>
          <t>978-5-227-08017-2</t>
        </is>
      </c>
      <c r="K1315" s="23" t="inlineStr">
        <is>
          <t>70x100 1/32</t>
        </is>
      </c>
      <c r="L1315" s="23" t="inlineStr">
        <is>
          <t>мяг</t>
        </is>
      </c>
      <c r="M1315" s="23" t="n">
        <v>160</v>
      </c>
      <c r="N1315" s="23" t="n">
        <v>2018</v>
      </c>
      <c r="O1315" s="23" t="n">
        <v>76</v>
      </c>
      <c r="P1315" s="23" t="n"/>
      <c r="Q1315" s="23" t="n"/>
      <c r="R1315" s="25" t="n"/>
      <c r="S1315" s="26">
        <f>HYPERLINK("http://www.cnpol.ru/covers/17958.jpg","фото на сайте")</f>
        <v/>
      </c>
    </row>
    <row r="1316" ht="50.1" customHeight="1" s="3">
      <c r="A1316" s="23" t="n"/>
      <c r="B1316" s="24" t="inlineStr">
        <is>
          <t>14886</t>
        </is>
      </c>
      <c r="C1316" s="23" t="inlineStr">
        <is>
          <t>ЛР</t>
        </is>
      </c>
      <c r="D1316" s="23" t="inlineStr">
        <is>
          <t>Воллес Б.</t>
        </is>
      </c>
      <c r="E1316" s="23" t="inlineStr">
        <is>
          <t>Моя милая леди</t>
        </is>
      </c>
      <c r="F1316" s="23" t="n">
        <v>384</v>
      </c>
      <c r="G1316" s="23" t="n">
        <v>94</v>
      </c>
      <c r="H1316" s="23" t="n">
        <v>10</v>
      </c>
      <c r="I1316" s="23" t="n">
        <v>30</v>
      </c>
      <c r="J1316" s="23" t="inlineStr">
        <is>
          <t>978-5-227-04869-1</t>
        </is>
      </c>
      <c r="K1316" s="23" t="inlineStr">
        <is>
          <t>70x100 1/32</t>
        </is>
      </c>
      <c r="L1316" s="23" t="inlineStr">
        <is>
          <t>мяг</t>
        </is>
      </c>
      <c r="M1316" s="23" t="n">
        <v>158</v>
      </c>
      <c r="N1316" s="23" t="n">
        <v>2014</v>
      </c>
      <c r="O1316" s="23" t="n">
        <v>78</v>
      </c>
      <c r="P1316" s="23" t="n"/>
      <c r="Q1316" s="23" t="n"/>
      <c r="R1316" s="25" t="n"/>
      <c r="S1316" s="26">
        <f>HYPERLINK("http://www.cnpol.ru/covers/14886.jpg","фото на сайте")</f>
        <v/>
      </c>
    </row>
    <row r="1317" ht="50.1" customHeight="1" s="3">
      <c r="A1317" s="23" t="n"/>
      <c r="B1317" s="24" t="inlineStr">
        <is>
          <t>17669</t>
        </is>
      </c>
      <c r="C1317" s="23" t="inlineStr">
        <is>
          <t>ЛР</t>
        </is>
      </c>
      <c r="D1317" s="23" t="inlineStr">
        <is>
          <t>Кадмор К.</t>
        </is>
      </c>
      <c r="E1317" s="23" t="inlineStr">
        <is>
          <t>Моя прекрасная цветочница</t>
        </is>
      </c>
      <c r="F1317" s="23" t="n">
        <v>749</v>
      </c>
      <c r="G1317" s="23" t="n">
        <v>94</v>
      </c>
      <c r="H1317" s="23" t="n">
        <v>10</v>
      </c>
      <c r="I1317" s="23" t="n">
        <v>30</v>
      </c>
      <c r="J1317" s="23" t="inlineStr">
        <is>
          <t>978-5-227-07701-1</t>
        </is>
      </c>
      <c r="K1317" s="23" t="inlineStr">
        <is>
          <t>70x100 1/32</t>
        </is>
      </c>
      <c r="L1317" s="23" t="inlineStr">
        <is>
          <t>мяг</t>
        </is>
      </c>
      <c r="M1317" s="23" t="n">
        <v>160</v>
      </c>
      <c r="N1317" s="23" t="n">
        <v>2017</v>
      </c>
      <c r="O1317" s="23" t="n">
        <v>76</v>
      </c>
      <c r="P1317" s="23" t="n"/>
      <c r="Q1317" s="23" t="n"/>
      <c r="R1317" s="25" t="n"/>
      <c r="S1317" s="26">
        <f>HYPERLINK("http://www.cnpol.ru/covers/17669.jpg","фото на сайте")</f>
        <v/>
      </c>
    </row>
    <row r="1318" ht="50.1" customHeight="1" s="3">
      <c r="A1318" s="23" t="n"/>
      <c r="B1318" s="24" t="inlineStr">
        <is>
          <t>18324</t>
        </is>
      </c>
      <c r="C1318" s="23" t="inlineStr">
        <is>
          <t>ЛР</t>
        </is>
      </c>
      <c r="D1318" s="23" t="inlineStr">
        <is>
          <t>Биссел А.</t>
        </is>
      </c>
      <c r="E1318" s="23" t="inlineStr">
        <is>
          <t>Моя судьба в твоих руках</t>
        </is>
      </c>
      <c r="F1318" s="23" t="n">
        <v>839</v>
      </c>
      <c r="G1318" s="23" t="n">
        <v>94</v>
      </c>
      <c r="H1318" s="23" t="n">
        <v>10</v>
      </c>
      <c r="I1318" s="23" t="n">
        <v>30</v>
      </c>
      <c r="J1318" s="23" t="inlineStr">
        <is>
          <t>978-5-227-08324-1</t>
        </is>
      </c>
      <c r="K1318" s="23" t="inlineStr">
        <is>
          <t>70x100 1/32</t>
        </is>
      </c>
      <c r="L1318" s="23" t="inlineStr">
        <is>
          <t>мяг</t>
        </is>
      </c>
      <c r="M1318" s="23" t="n">
        <v>160</v>
      </c>
      <c r="N1318" s="23" t="n">
        <v>2018</v>
      </c>
      <c r="O1318" s="23" t="n">
        <v>76</v>
      </c>
      <c r="P1318" s="23" t="n"/>
      <c r="Q1318" s="23" t="n"/>
      <c r="R1318" s="25" t="n"/>
      <c r="S1318" s="26">
        <f>HYPERLINK("http://www.cnpol.ru/covers/18324.jpg","фото на сайте")</f>
        <v/>
      </c>
    </row>
    <row r="1319" ht="50.1" customHeight="1" s="3">
      <c r="A1319" s="23" t="n"/>
      <c r="B1319" s="24" t="inlineStr">
        <is>
          <t>18773</t>
        </is>
      </c>
      <c r="C1319" s="23" t="inlineStr">
        <is>
          <t>ЛР</t>
        </is>
      </c>
      <c r="D1319" s="23" t="inlineStr">
        <is>
          <t>Смарт М.</t>
        </is>
      </c>
      <c r="E1319" s="23" t="inlineStr">
        <is>
          <t>Моя чужая женщина</t>
        </is>
      </c>
      <c r="F1319" s="23" t="n">
        <v>910</v>
      </c>
      <c r="G1319" s="23" t="n">
        <v>94</v>
      </c>
      <c r="H1319" s="23" t="n">
        <v>10</v>
      </c>
      <c r="I1319" s="23" t="n">
        <v>30</v>
      </c>
      <c r="J1319" s="23" t="inlineStr">
        <is>
          <t>978-5-227-08661-7</t>
        </is>
      </c>
      <c r="K1319" s="23" t="inlineStr">
        <is>
          <t>70x100 1/32</t>
        </is>
      </c>
      <c r="L1319" s="23" t="inlineStr">
        <is>
          <t>мяг</t>
        </is>
      </c>
      <c r="M1319" s="23" t="n">
        <v>160</v>
      </c>
      <c r="N1319" s="23" t="n">
        <v>2019</v>
      </c>
      <c r="O1319" s="23" t="n">
        <v>76</v>
      </c>
      <c r="P1319" s="23" t="n"/>
      <c r="Q1319" s="23" t="n"/>
      <c r="R1319" s="25" t="n"/>
      <c r="S1319" s="26">
        <f>HYPERLINK("http://www.cnpol.ru/covers/18773.jpg","фото на сайте")</f>
        <v/>
      </c>
    </row>
    <row r="1320" ht="50.1" customHeight="1" s="3">
      <c r="A1320" s="23" t="n"/>
      <c r="B1320" s="24" t="inlineStr">
        <is>
          <t>17269</t>
        </is>
      </c>
      <c r="C1320" s="23" t="inlineStr">
        <is>
          <t>ЛР</t>
        </is>
      </c>
      <c r="D1320" s="23" t="inlineStr">
        <is>
          <t>Шеперд К.</t>
        </is>
      </c>
      <c r="E1320" s="23" t="inlineStr">
        <is>
          <t>Моя шоколадная фея</t>
        </is>
      </c>
      <c r="F1320" s="23" t="n">
        <v>685</v>
      </c>
      <c r="G1320" s="23" t="n">
        <v>94</v>
      </c>
      <c r="H1320" s="23" t="n">
        <v>10</v>
      </c>
      <c r="I1320" s="23" t="n">
        <v>30</v>
      </c>
      <c r="J1320" s="23" t="inlineStr">
        <is>
          <t>978-5-227-07283-2</t>
        </is>
      </c>
      <c r="K1320" s="23" t="inlineStr">
        <is>
          <t>70x100 1/32</t>
        </is>
      </c>
      <c r="L1320" s="23" t="inlineStr">
        <is>
          <t>мяг</t>
        </is>
      </c>
      <c r="M1320" s="23" t="n">
        <v>160</v>
      </c>
      <c r="N1320" s="23" t="n">
        <v>2017</v>
      </c>
      <c r="O1320" s="23" t="n">
        <v>76</v>
      </c>
      <c r="P1320" s="23" t="n"/>
      <c r="Q1320" s="23" t="n"/>
      <c r="R1320" s="25" t="n"/>
      <c r="S1320" s="26">
        <f>HYPERLINK("http://www.cnpol.ru/covers/17269.jpg","фото на сайте")</f>
        <v/>
      </c>
    </row>
    <row r="1321" ht="50.1" customHeight="1" s="3">
      <c r="A1321" s="23" t="n"/>
      <c r="B1321" s="24" t="inlineStr">
        <is>
          <t>16430</t>
        </is>
      </c>
      <c r="C1321" s="23" t="inlineStr">
        <is>
          <t>ЛР</t>
        </is>
      </c>
      <c r="D1321" s="23" t="inlineStr">
        <is>
          <t>Уивер Э.</t>
        </is>
      </c>
      <c r="E1321" s="23" t="inlineStr">
        <is>
          <t>Мужчина в доме напротив</t>
        </is>
      </c>
      <c r="F1321" s="23" t="n">
        <v>576</v>
      </c>
      <c r="G1321" s="23" t="n">
        <v>94</v>
      </c>
      <c r="H1321" s="23" t="n">
        <v>10</v>
      </c>
      <c r="I1321" s="23" t="n">
        <v>30</v>
      </c>
      <c r="J1321" s="23" t="inlineStr">
        <is>
          <t>978-5-227-06291-8</t>
        </is>
      </c>
      <c r="K1321" s="23" t="inlineStr">
        <is>
          <t>70x100 1/32</t>
        </is>
      </c>
      <c r="L1321" s="23" t="inlineStr">
        <is>
          <t>мяг</t>
        </is>
      </c>
      <c r="M1321" s="23" t="n">
        <v>158</v>
      </c>
      <c r="N1321" s="23" t="n">
        <v>2016</v>
      </c>
      <c r="O1321" s="23" t="n">
        <v>76</v>
      </c>
      <c r="P1321" s="23" t="n"/>
      <c r="Q1321" s="23" t="n"/>
      <c r="R1321" s="25" t="n"/>
      <c r="S1321" s="26">
        <f>HYPERLINK("http://www.cnpol.ru/covers/16430.jpg","фото на сайте")</f>
        <v/>
      </c>
    </row>
    <row r="1322" ht="50.1" customHeight="1" s="3">
      <c r="A1322" s="23" t="n"/>
      <c r="B1322" s="24" t="inlineStr">
        <is>
          <t>19948</t>
        </is>
      </c>
      <c r="C1322" s="23" t="inlineStr">
        <is>
          <t>ЛР</t>
        </is>
      </c>
      <c r="D1322" s="23" t="inlineStr">
        <is>
          <t>Александер К.</t>
        </is>
      </c>
      <c r="E1322" s="23" t="inlineStr">
        <is>
          <t>Музыка нашей любви</t>
        </is>
      </c>
      <c r="F1322" s="23" t="n">
        <v>1068</v>
      </c>
      <c r="G1322" s="23" t="n">
        <v>94</v>
      </c>
      <c r="H1322" s="23" t="n">
        <v>10</v>
      </c>
      <c r="I1322" s="23" t="n">
        <v>30</v>
      </c>
      <c r="J1322" s="23" t="inlineStr">
        <is>
          <t>978-5-227-09518-3</t>
        </is>
      </c>
      <c r="K1322" s="23" t="inlineStr">
        <is>
          <t>70x100 1/32</t>
        </is>
      </c>
      <c r="L1322" s="23" t="inlineStr">
        <is>
          <t>мяг</t>
        </is>
      </c>
      <c r="M1322" s="23" t="n">
        <v>159</v>
      </c>
      <c r="N1322" s="23" t="n">
        <v>2021</v>
      </c>
      <c r="O1322" s="23" t="n">
        <v>76</v>
      </c>
      <c r="P1322" s="23" t="n"/>
      <c r="Q1322" s="23" t="n"/>
      <c r="R1322" s="25" t="n"/>
      <c r="S1322" s="26">
        <f>HYPERLINK("http://www.cnpol.ru/covers/19948.jpg","фото на сайте")</f>
        <v/>
      </c>
    </row>
    <row r="1323" ht="50.1" customHeight="1" s="3">
      <c r="A1323" s="23" t="n"/>
      <c r="B1323" s="24" t="inlineStr">
        <is>
          <t>18297</t>
        </is>
      </c>
      <c r="C1323" s="23" t="inlineStr">
        <is>
          <t>ЛР</t>
        </is>
      </c>
      <c r="D1323" s="23" t="inlineStr">
        <is>
          <t>Мортимер К.</t>
        </is>
      </c>
      <c r="E1323" s="23" t="inlineStr">
        <is>
          <t>Мучительно прекрасная связь</t>
        </is>
      </c>
      <c r="F1323" s="23" t="n">
        <v>834</v>
      </c>
      <c r="G1323" s="23" t="n">
        <v>94</v>
      </c>
      <c r="H1323" s="23" t="n">
        <v>10</v>
      </c>
      <c r="I1323" s="23" t="n">
        <v>30</v>
      </c>
      <c r="J1323" s="23" t="inlineStr">
        <is>
          <t>978-5-227-08244-2</t>
        </is>
      </c>
      <c r="K1323" s="23" t="inlineStr">
        <is>
          <t>70x100 1/32</t>
        </is>
      </c>
      <c r="L1323" s="23" t="inlineStr">
        <is>
          <t>мяг</t>
        </is>
      </c>
      <c r="M1323" s="23" t="n">
        <v>160</v>
      </c>
      <c r="N1323" s="23" t="n">
        <v>2018</v>
      </c>
      <c r="O1323" s="23" t="n">
        <v>76</v>
      </c>
      <c r="P1323" s="23" t="n"/>
      <c r="Q1323" s="23" t="n"/>
      <c r="R1323" s="25" t="n"/>
      <c r="S1323" s="26">
        <f>HYPERLINK("http://www.cnpol.ru/covers/18297.jpg","фото на сайте")</f>
        <v/>
      </c>
    </row>
    <row r="1324" ht="50.1" customHeight="1" s="3">
      <c r="A1324" s="23" t="n"/>
      <c r="B1324" s="24" t="inlineStr">
        <is>
          <t>19291</t>
        </is>
      </c>
      <c r="C1324" s="23" t="inlineStr">
        <is>
          <t>ЛР</t>
        </is>
      </c>
      <c r="D1324" s="23" t="inlineStr">
        <is>
          <t>Стивенс С.</t>
        </is>
      </c>
      <c r="E1324" s="23" t="inlineStr">
        <is>
          <t>Мы обязательно встретимся</t>
        </is>
      </c>
      <c r="F1324" s="23" t="n">
        <v>990</v>
      </c>
      <c r="G1324" s="23" t="n">
        <v>94</v>
      </c>
      <c r="H1324" s="23" t="n">
        <v>10</v>
      </c>
      <c r="I1324" s="23" t="n">
        <v>30</v>
      </c>
      <c r="J1324" s="23" t="inlineStr">
        <is>
          <t>978-5-227-09053-9</t>
        </is>
      </c>
      <c r="K1324" s="23" t="inlineStr">
        <is>
          <t>70x100 1/32</t>
        </is>
      </c>
      <c r="L1324" s="23" t="inlineStr">
        <is>
          <t>мяг</t>
        </is>
      </c>
      <c r="M1324" s="23" t="n">
        <v>160</v>
      </c>
      <c r="N1324" s="23" t="n">
        <v>2020</v>
      </c>
      <c r="O1324" s="23" t="n">
        <v>76</v>
      </c>
      <c r="P1324" s="23" t="n"/>
      <c r="Q1324" s="23" t="n"/>
      <c r="R1324" s="25" t="n"/>
      <c r="S1324" s="26">
        <f>HYPERLINK("http://www.cnpol.ru/covers/19291.jpg","фото на сайте")</f>
        <v/>
      </c>
    </row>
    <row r="1325" ht="50.1" customHeight="1" s="3">
      <c r="A1325" s="23" t="n"/>
      <c r="B1325" s="24" t="inlineStr">
        <is>
          <t>15878</t>
        </is>
      </c>
      <c r="C1325" s="23" t="inlineStr">
        <is>
          <t>ЛР</t>
        </is>
      </c>
      <c r="D1325" s="23" t="inlineStr">
        <is>
          <t>Уолкер К.</t>
        </is>
      </c>
      <c r="E1325" s="23" t="inlineStr">
        <is>
          <t>На вершине мира</t>
        </is>
      </c>
      <c r="F1325" s="23" t="n">
        <v>503</v>
      </c>
      <c r="G1325" s="23" t="n">
        <v>94</v>
      </c>
      <c r="H1325" s="23" t="n">
        <v>10</v>
      </c>
      <c r="I1325" s="23" t="n">
        <v>30</v>
      </c>
      <c r="J1325" s="23" t="inlineStr">
        <is>
          <t>978-5-227-05835-5</t>
        </is>
      </c>
      <c r="K1325" s="23" t="inlineStr">
        <is>
          <t>70x100 1/32</t>
        </is>
      </c>
      <c r="L1325" s="23" t="inlineStr">
        <is>
          <t>мяг</t>
        </is>
      </c>
      <c r="M1325" s="23" t="n">
        <v>158</v>
      </c>
      <c r="N1325" s="23" t="n">
        <v>2015</v>
      </c>
      <c r="O1325" s="23" t="n">
        <v>76</v>
      </c>
      <c r="P1325" s="23" t="n"/>
      <c r="Q1325" s="23" t="n"/>
      <c r="R1325" s="25" t="n"/>
      <c r="S1325" s="26">
        <f>HYPERLINK("http://www.cnpol.ru/covers/15878.jpg","фото на сайте")</f>
        <v/>
      </c>
    </row>
    <row r="1326" ht="50.1" customHeight="1" s="3">
      <c r="A1326" s="23" t="n"/>
      <c r="B1326" s="24" t="inlineStr">
        <is>
          <t>15018</t>
        </is>
      </c>
      <c r="C1326" s="23" t="inlineStr">
        <is>
          <t>ЛР</t>
        </is>
      </c>
      <c r="D1326" s="23" t="inlineStr">
        <is>
          <t>Мори Т.</t>
        </is>
      </c>
      <c r="E1326" s="23" t="inlineStr">
        <is>
          <t>На ее условиях</t>
        </is>
      </c>
      <c r="F1326" s="23" t="n">
        <v>395</v>
      </c>
      <c r="G1326" s="23" t="n">
        <v>94</v>
      </c>
      <c r="H1326" s="23" t="n">
        <v>10</v>
      </c>
      <c r="I1326" s="23" t="n">
        <v>30</v>
      </c>
      <c r="J1326" s="23" t="inlineStr">
        <is>
          <t>978-5-227-04972-8</t>
        </is>
      </c>
      <c r="K1326" s="23" t="inlineStr">
        <is>
          <t>70x100 1/32</t>
        </is>
      </c>
      <c r="L1326" s="23" t="inlineStr">
        <is>
          <t>мяг</t>
        </is>
      </c>
      <c r="M1326" s="23" t="n">
        <v>158</v>
      </c>
      <c r="N1326" s="23" t="n">
        <v>2014</v>
      </c>
      <c r="O1326" s="23" t="n">
        <v>74</v>
      </c>
      <c r="P1326" s="23" t="n"/>
      <c r="Q1326" s="23" t="n"/>
      <c r="R1326" s="25" t="n"/>
      <c r="S1326" s="26">
        <f>HYPERLINK("http://www.cnpol.ru/covers/15018.jpg","фото на сайте")</f>
        <v/>
      </c>
    </row>
    <row r="1327" ht="50.1" customHeight="1" s="3">
      <c r="A1327" s="23" t="n"/>
      <c r="B1327" s="24" t="inlineStr">
        <is>
          <t>17475</t>
        </is>
      </c>
      <c r="C1327" s="23" t="inlineStr">
        <is>
          <t>ЛР</t>
        </is>
      </c>
      <c r="D1327" s="23" t="inlineStr">
        <is>
          <t>Дуглас М.</t>
        </is>
      </c>
      <c r="E1327" s="23" t="inlineStr">
        <is>
          <t>На зависть всему миру</t>
        </is>
      </c>
      <c r="F1327" s="23" t="n">
        <v>718</v>
      </c>
      <c r="G1327" s="23" t="n">
        <v>94</v>
      </c>
      <c r="H1327" s="23" t="n">
        <v>10</v>
      </c>
      <c r="I1327" s="23" t="n">
        <v>30</v>
      </c>
      <c r="J1327" s="23" t="inlineStr">
        <is>
          <t>978-5-227-07474-4</t>
        </is>
      </c>
      <c r="K1327" s="23" t="inlineStr">
        <is>
          <t>70x100 1/32</t>
        </is>
      </c>
      <c r="L1327" s="23" t="inlineStr">
        <is>
          <t>мяг</t>
        </is>
      </c>
      <c r="M1327" s="23" t="n">
        <v>160</v>
      </c>
      <c r="N1327" s="23" t="n">
        <v>2017</v>
      </c>
      <c r="O1327" s="23" t="n">
        <v>76</v>
      </c>
      <c r="P1327" s="23" t="n"/>
      <c r="Q1327" s="23" t="n"/>
      <c r="R1327" s="25" t="n"/>
      <c r="S1327" s="26">
        <f>HYPERLINK("http://www.cnpol.ru/covers/17475.jpg","фото на сайте")</f>
        <v/>
      </c>
    </row>
    <row r="1328" ht="50.1" customHeight="1" s="3">
      <c r="A1328" s="23" t="n"/>
      <c r="B1328" s="24" t="inlineStr">
        <is>
          <t>19946</t>
        </is>
      </c>
      <c r="C1328" s="23" t="inlineStr">
        <is>
          <t>ЛР</t>
        </is>
      </c>
      <c r="D1328" s="23" t="inlineStr">
        <is>
          <t>Грэхем Л.</t>
        </is>
      </c>
      <c r="E1328" s="23" t="inlineStr">
        <is>
          <t>На пике соблазна</t>
        </is>
      </c>
      <c r="F1328" s="23" t="n">
        <v>1067</v>
      </c>
      <c r="G1328" s="23" t="n">
        <v>94</v>
      </c>
      <c r="H1328" s="23" t="n">
        <v>10</v>
      </c>
      <c r="I1328" s="23" t="n">
        <v>30</v>
      </c>
      <c r="J1328" s="23" t="inlineStr">
        <is>
          <t>978-5-227-09507-7</t>
        </is>
      </c>
      <c r="K1328" s="23" t="inlineStr">
        <is>
          <t>70x100 1/32</t>
        </is>
      </c>
      <c r="L1328" s="23" t="inlineStr">
        <is>
          <t>мяг</t>
        </is>
      </c>
      <c r="M1328" s="23" t="n">
        <v>159</v>
      </c>
      <c r="N1328" s="23" t="n">
        <v>2021</v>
      </c>
      <c r="O1328" s="23" t="n">
        <v>76</v>
      </c>
      <c r="P1328" s="23" t="n"/>
      <c r="Q1328" s="23" t="n"/>
      <c r="R1328" s="25" t="n"/>
      <c r="S1328" s="26">
        <f>HYPERLINK("http://www.cnpol.ru/covers/19946.jpg","фото на сайте")</f>
        <v/>
      </c>
    </row>
    <row r="1329" ht="50.1" customHeight="1" s="3">
      <c r="A1329" s="23" t="n"/>
      <c r="B1329" s="24" t="inlineStr">
        <is>
          <t>19369</t>
        </is>
      </c>
      <c r="C1329" s="23" t="inlineStr">
        <is>
          <t>ЛР</t>
        </is>
      </c>
      <c r="D1329" s="23" t="inlineStr">
        <is>
          <t>Уинтерз Р.</t>
        </is>
      </c>
      <c r="E1329" s="23" t="inlineStr">
        <is>
          <t>На пороге соблазна</t>
        </is>
      </c>
      <c r="F1329" s="23" t="n">
        <v>1001</v>
      </c>
      <c r="G1329" s="23" t="n">
        <v>94</v>
      </c>
      <c r="H1329" s="23" t="n">
        <v>10</v>
      </c>
      <c r="I1329" s="23" t="n">
        <v>30</v>
      </c>
      <c r="J1329" s="23" t="inlineStr">
        <is>
          <t>978-5-227-09081-2</t>
        </is>
      </c>
      <c r="K1329" s="23" t="inlineStr">
        <is>
          <t>70x100 1/32</t>
        </is>
      </c>
      <c r="L1329" s="23" t="inlineStr">
        <is>
          <t>мяг</t>
        </is>
      </c>
      <c r="M1329" s="23" t="n">
        <v>160</v>
      </c>
      <c r="N1329" s="23" t="n">
        <v>2020</v>
      </c>
      <c r="O1329" s="23" t="n">
        <v>76</v>
      </c>
      <c r="P1329" s="23" t="n"/>
      <c r="Q1329" s="23" t="n"/>
      <c r="R1329" s="25" t="n"/>
      <c r="S1329" s="26">
        <f>HYPERLINK("http://www.cnpol.ru/covers/19369.jpg","фото на сайте")</f>
        <v/>
      </c>
    </row>
    <row r="1330" ht="50.1" customHeight="1" s="3">
      <c r="A1330" s="23" t="n"/>
      <c r="B1330" s="24" t="inlineStr">
        <is>
          <t>17139</t>
        </is>
      </c>
      <c r="C1330" s="23" t="inlineStr">
        <is>
          <t>ЛР</t>
        </is>
      </c>
      <c r="D1330" s="23" t="inlineStr">
        <is>
          <t>Ли М.</t>
        </is>
      </c>
      <c r="E1330" s="23" t="inlineStr">
        <is>
          <t>На пределе чувства</t>
        </is>
      </c>
      <c r="F1330" s="23" t="n">
        <v>668</v>
      </c>
      <c r="G1330" s="23" t="n">
        <v>94</v>
      </c>
      <c r="H1330" s="23" t="n">
        <v>10</v>
      </c>
      <c r="I1330" s="23" t="n">
        <v>30</v>
      </c>
      <c r="J1330" s="23" t="inlineStr">
        <is>
          <t>978-5-227-07118-7</t>
        </is>
      </c>
      <c r="K1330" s="23" t="inlineStr">
        <is>
          <t>70x100 1/32</t>
        </is>
      </c>
      <c r="L1330" s="23" t="inlineStr">
        <is>
          <t>мяг</t>
        </is>
      </c>
      <c r="M1330" s="23" t="n">
        <v>160</v>
      </c>
      <c r="N1330" s="23" t="n">
        <v>2016</v>
      </c>
      <c r="O1330" s="23" t="n">
        <v>76</v>
      </c>
      <c r="P1330" s="23" t="n"/>
      <c r="Q1330" s="23" t="n"/>
      <c r="R1330" s="25" t="n"/>
      <c r="S1330" s="26">
        <f>HYPERLINK("http://www.cnpol.ru/covers/17139.jpg","фото на сайте")</f>
        <v/>
      </c>
    </row>
    <row r="1331" ht="50.1" customHeight="1" s="3">
      <c r="A1331" s="23" t="n"/>
      <c r="B1331" s="24" t="inlineStr">
        <is>
          <t>20433</t>
        </is>
      </c>
      <c r="C1331" s="23" t="inlineStr">
        <is>
          <t>ЛР</t>
        </is>
      </c>
      <c r="D1331" s="23" t="inlineStr">
        <is>
          <t>Джеймс Д.</t>
        </is>
      </c>
      <c r="E1331" s="23" t="inlineStr">
        <is>
          <t>Навсегда в его сердце</t>
        </is>
      </c>
      <c r="F1331" s="23" t="n">
        <v>1112</v>
      </c>
      <c r="G1331" s="23" t="n">
        <v>94</v>
      </c>
      <c r="H1331" s="23" t="n">
        <v>10</v>
      </c>
      <c r="I1331" s="23" t="n">
        <v>30</v>
      </c>
      <c r="J1331" s="23" t="inlineStr">
        <is>
          <t>978-5-227-10086-3</t>
        </is>
      </c>
      <c r="K1331" s="23" t="inlineStr">
        <is>
          <t>70x100 1/32</t>
        </is>
      </c>
      <c r="L1331" s="23" t="inlineStr">
        <is>
          <t>мяг</t>
        </is>
      </c>
      <c r="M1331" s="23" t="n">
        <v>159</v>
      </c>
      <c r="N1331" s="23" t="n">
        <v>2022</v>
      </c>
      <c r="O1331" s="23" t="n">
        <v>76</v>
      </c>
      <c r="P1331" s="23" t="n"/>
      <c r="Q1331" s="23" t="n"/>
      <c r="R1331" s="25" t="inlineStr">
        <is>
          <t>Греческий аристократ Ксандрос Лакарис готов жениться на дочери строительного магната, чтобы заключить выгодную сделку, однако невеста незадолго до свадьбы разрывает помолвку. Слияние двух компаний под угрозой, и Ксандрос вынужден отправиться в Лондон, чтобы разыскать вторую дочь нувориша и привезти к отцу. Розали Джонс, выросшая в бедности, ради заработка вынуждена убирать чужие квартиры. Девушка соглашается полететь в Афины, но после встречи с отцом-миллионером оказывается в еще более затруднительном положении…</t>
        </is>
      </c>
      <c r="S1331" s="26">
        <f>HYPERLINK("http://www.cnpol.ru/covers/20433.jpg","фото на сайте")</f>
        <v/>
      </c>
    </row>
    <row r="1332" ht="50.1" customHeight="1" s="3">
      <c r="A1332" s="23" t="n"/>
      <c r="B1332" s="24" t="inlineStr">
        <is>
          <t>20576</t>
        </is>
      </c>
      <c r="C1332" s="23" t="inlineStr">
        <is>
          <t>ЛР</t>
        </is>
      </c>
      <c r="D1332" s="23" t="inlineStr">
        <is>
          <t>Джеймс Д.</t>
        </is>
      </c>
      <c r="E1332" s="23" t="inlineStr">
        <is>
          <t>Навсегда в твоем сердце</t>
        </is>
      </c>
      <c r="F1332" s="23" t="n">
        <v>1133</v>
      </c>
      <c r="G1332" s="23" t="n">
        <v>94</v>
      </c>
      <c r="H1332" s="23" t="n">
        <v>10</v>
      </c>
      <c r="I1332" s="23" t="n">
        <v>30</v>
      </c>
      <c r="J1332" s="23" t="inlineStr">
        <is>
          <t>978-5-227-10284-3</t>
        </is>
      </c>
      <c r="K1332" s="23" t="inlineStr">
        <is>
          <t>70x100 1/32</t>
        </is>
      </c>
      <c r="L1332" s="23" t="inlineStr">
        <is>
          <t>мяг</t>
        </is>
      </c>
      <c r="M1332" s="23" t="n">
        <v>159</v>
      </c>
      <c r="N1332" s="23" t="n">
        <v>2023</v>
      </c>
      <c r="O1332" s="23" t="n">
        <v>76</v>
      </c>
      <c r="P1332" s="23" t="n"/>
      <c r="Q1332" s="23" t="n"/>
      <c r="R1332" s="25" t="inlineStr">
        <is>
          <t>План принца Акила аль-Хамри крайне прост — чтобы обрести независимость и свободу, ему необходимо жениться. Выбор падает на бунтарку Тобилолу, но у нее свои планы, поэтому их пути расходятся. Спустя три года в королевской семье происходит несчастье, и теперь Акил становится новым королем государства Джоборо, а это означает, что ему необходимо вернуть свою королеву. Между ними вспыхивает страсть, но согласится ли Тоби стать его женой?..</t>
        </is>
      </c>
      <c r="S1332" s="26">
        <f>HYPERLINK("http://www.cnpol.ru/covers/20576.jpg","фото на сайте")</f>
        <v/>
      </c>
    </row>
    <row r="1333" ht="50.1" customHeight="1" s="3">
      <c r="A1333" s="23" t="n"/>
      <c r="B1333" s="24" t="inlineStr">
        <is>
          <t>19928</t>
        </is>
      </c>
      <c r="C1333" s="23" t="inlineStr">
        <is>
          <t>ЛР</t>
        </is>
      </c>
      <c r="D1333" s="23" t="inlineStr">
        <is>
          <t>Кадмор К.</t>
        </is>
      </c>
      <c r="E1333" s="23" t="inlineStr">
        <is>
          <t>Навсегда вдвоем</t>
        </is>
      </c>
      <c r="F1333" s="23" t="n">
        <v>1065</v>
      </c>
      <c r="G1333" s="23" t="n">
        <v>94</v>
      </c>
      <c r="H1333" s="23" t="n">
        <v>10</v>
      </c>
      <c r="I1333" s="23" t="n">
        <v>30</v>
      </c>
      <c r="J1333" s="23" t="inlineStr">
        <is>
          <t>978-5-227-09505-3</t>
        </is>
      </c>
      <c r="K1333" s="23" t="inlineStr">
        <is>
          <t>70x100 1/32</t>
        </is>
      </c>
      <c r="L1333" s="23" t="inlineStr">
        <is>
          <t>мяг</t>
        </is>
      </c>
      <c r="M1333" s="23" t="n">
        <v>159</v>
      </c>
      <c r="N1333" s="23" t="n">
        <v>2021</v>
      </c>
      <c r="O1333" s="23" t="n">
        <v>76</v>
      </c>
      <c r="P1333" s="23" t="n"/>
      <c r="Q1333" s="23" t="n"/>
      <c r="R1333" s="25" t="n"/>
      <c r="S1333" s="26">
        <f>HYPERLINK("http://www.cnpol.ru/covers/19928.jpg","фото на сайте")</f>
        <v/>
      </c>
    </row>
    <row r="1334" ht="50.1" customHeight="1" s="3">
      <c r="A1334" s="23" t="n"/>
      <c r="B1334" s="24" t="inlineStr">
        <is>
          <t>14120</t>
        </is>
      </c>
      <c r="C1334" s="23" t="inlineStr">
        <is>
          <t>ЛР</t>
        </is>
      </c>
      <c r="D1334" s="23" t="inlineStr">
        <is>
          <t>Макклон М.</t>
        </is>
      </c>
      <c r="E1334" s="23" t="inlineStr">
        <is>
          <t>Навсегда с тобой</t>
        </is>
      </c>
      <c r="F1334" s="23" t="n">
        <v>302</v>
      </c>
      <c r="G1334" s="23" t="n">
        <v>94</v>
      </c>
      <c r="H1334" s="23" t="n">
        <v>10</v>
      </c>
      <c r="I1334" s="23" t="n">
        <v>30</v>
      </c>
      <c r="J1334" s="23" t="inlineStr">
        <is>
          <t>978-5-227-04152-4</t>
        </is>
      </c>
      <c r="K1334" s="23" t="inlineStr">
        <is>
          <t>70x100 1/32</t>
        </is>
      </c>
      <c r="L1334" s="23" t="inlineStr">
        <is>
          <t>мяг</t>
        </is>
      </c>
      <c r="M1334" s="23" t="n">
        <v>158</v>
      </c>
      <c r="N1334" s="23" t="n">
        <v>2013</v>
      </c>
      <c r="O1334" s="23" t="n">
        <v>76</v>
      </c>
      <c r="P1334" s="23" t="n"/>
      <c r="Q1334" s="23" t="n"/>
      <c r="R1334" s="25" t="n"/>
      <c r="S1334" s="26">
        <f>HYPERLINK("http://www.cnpol.ru/covers/14120.jpg","фото на сайте")</f>
        <v/>
      </c>
    </row>
    <row r="1335" ht="50.1" customHeight="1" s="3">
      <c r="A1335" s="23" t="n"/>
      <c r="B1335" s="24" t="inlineStr">
        <is>
          <t>20440</t>
        </is>
      </c>
      <c r="C1335" s="23" t="inlineStr">
        <is>
          <t>ЛР</t>
        </is>
      </c>
      <c r="D1335" s="23" t="inlineStr">
        <is>
          <t>Коллинз Д.</t>
        </is>
      </c>
      <c r="E1335" s="23" t="inlineStr">
        <is>
          <t>Награда плейбою из Майами</t>
        </is>
      </c>
      <c r="F1335" s="23" t="n">
        <v>1116</v>
      </c>
      <c r="G1335" s="23" t="n">
        <v>94</v>
      </c>
      <c r="H1335" s="23" t="n">
        <v>10</v>
      </c>
      <c r="I1335" s="23" t="n">
        <v>30</v>
      </c>
      <c r="J1335" s="23" t="inlineStr">
        <is>
          <t>978-5-227-10140-2</t>
        </is>
      </c>
      <c r="K1335" s="23" t="inlineStr">
        <is>
          <t>70x100 1/32</t>
        </is>
      </c>
      <c r="L1335" s="23" t="inlineStr">
        <is>
          <t>мяг</t>
        </is>
      </c>
      <c r="M1335" s="23" t="n">
        <v>159</v>
      </c>
      <c r="N1335" s="23" t="n">
        <v>2022</v>
      </c>
      <c r="O1335" s="23" t="n">
        <v>76</v>
      </c>
      <c r="P1335" s="23" t="n"/>
      <c r="Q1335" s="23" t="n"/>
      <c r="R1335" s="25" t="inlineStr">
        <is>
          <t>Бьянка Палмер вынуждена скрываться от всех. Во время полета в Майами она знакомится с Эвереттом Дрейком, и между ними сразу вспыхивает страсть. Она решает провести с ним всего одну ночь, но не подозревает, что они обязательно встретятся снова.</t>
        </is>
      </c>
      <c r="S1335" s="26">
        <f>HYPERLINK("http://www.cnpol.ru/covers/20440.jpg","фото на сайте")</f>
        <v/>
      </c>
    </row>
    <row r="1336" ht="50.1" customHeight="1" s="3">
      <c r="A1336" s="23" t="n"/>
      <c r="B1336" s="24" t="inlineStr">
        <is>
          <t>17294</t>
        </is>
      </c>
      <c r="C1336" s="23" t="inlineStr">
        <is>
          <t>ЛР</t>
        </is>
      </c>
      <c r="D1336" s="23" t="inlineStr">
        <is>
          <t>Пэмми Т.</t>
        </is>
      </c>
      <c r="E1336" s="23" t="inlineStr">
        <is>
          <t>Наедине с любовью</t>
        </is>
      </c>
      <c r="F1336" s="23" t="n">
        <v>689</v>
      </c>
      <c r="G1336" s="23" t="n">
        <v>94</v>
      </c>
      <c r="H1336" s="23" t="n">
        <v>10</v>
      </c>
      <c r="I1336" s="23" t="n">
        <v>30</v>
      </c>
      <c r="J1336" s="23" t="inlineStr">
        <is>
          <t>978-5-227-07287-0</t>
        </is>
      </c>
      <c r="K1336" s="23" t="inlineStr">
        <is>
          <t>70x100 1/32</t>
        </is>
      </c>
      <c r="L1336" s="23" t="inlineStr">
        <is>
          <t>мяг</t>
        </is>
      </c>
      <c r="M1336" s="23" t="n">
        <v>160</v>
      </c>
      <c r="N1336" s="23" t="n">
        <v>2017</v>
      </c>
      <c r="O1336" s="23" t="n">
        <v>76</v>
      </c>
      <c r="P1336" s="23" t="n"/>
      <c r="Q1336" s="23" t="n"/>
      <c r="R1336" s="25" t="n"/>
      <c r="S1336" s="26">
        <f>HYPERLINK("http://www.cnpol.ru/covers/17294.jpg","фото на сайте")</f>
        <v/>
      </c>
    </row>
    <row r="1337" ht="50.1" customHeight="1" s="3">
      <c r="A1337" s="23" t="n"/>
      <c r="B1337" s="24" t="inlineStr">
        <is>
          <t>20311</t>
        </is>
      </c>
      <c r="C1337" s="23" t="inlineStr">
        <is>
          <t>ЛР</t>
        </is>
      </c>
      <c r="D1337" s="23" t="inlineStr">
        <is>
          <t>Найт Н.</t>
        </is>
      </c>
      <c r="E1337" s="23" t="inlineStr">
        <is>
          <t>Наедине с соблазном</t>
        </is>
      </c>
      <c r="F1337" s="23" t="n">
        <v>1098</v>
      </c>
      <c r="G1337" s="23" t="n">
        <v>94</v>
      </c>
      <c r="H1337" s="23" t="n">
        <v>10</v>
      </c>
      <c r="I1337" s="23" t="n">
        <v>30</v>
      </c>
      <c r="J1337" s="23" t="inlineStr">
        <is>
          <t>978-5-227-09846-7</t>
        </is>
      </c>
      <c r="K1337" s="23" t="inlineStr">
        <is>
          <t>70x100 1/32</t>
        </is>
      </c>
      <c r="L1337" s="23" t="inlineStr">
        <is>
          <t>мяг</t>
        </is>
      </c>
      <c r="M1337" s="23" t="n">
        <v>159</v>
      </c>
      <c r="N1337" s="23" t="n">
        <v>2022</v>
      </c>
      <c r="O1337" s="23" t="n">
        <v>76</v>
      </c>
      <c r="P1337" s="23" t="n"/>
      <c r="Q1337" s="23" t="n"/>
      <c r="R1337" s="25" t="n"/>
      <c r="S1337" s="26">
        <f>HYPERLINK("http://www.cnpol.ru/covers/20311.jpg","фото на сайте")</f>
        <v/>
      </c>
    </row>
    <row r="1338" ht="50.1" customHeight="1" s="3">
      <c r="A1338" s="23" t="n"/>
      <c r="B1338" s="24" t="inlineStr">
        <is>
          <t>16375</t>
        </is>
      </c>
      <c r="C1338" s="23" t="inlineStr">
        <is>
          <t>ЛР</t>
        </is>
      </c>
      <c r="D1338" s="23" t="inlineStr">
        <is>
          <t>Гейтс О.</t>
        </is>
      </c>
      <c r="E1338" s="23" t="inlineStr">
        <is>
          <t>Назвать своей</t>
        </is>
      </c>
      <c r="F1338" s="23" t="n">
        <v>568</v>
      </c>
      <c r="G1338" s="23" t="n">
        <v>94</v>
      </c>
      <c r="H1338" s="23" t="n">
        <v>10</v>
      </c>
      <c r="I1338" s="23" t="n">
        <v>30</v>
      </c>
      <c r="J1338" s="23" t="inlineStr">
        <is>
          <t>978-5-227-06250-5</t>
        </is>
      </c>
      <c r="K1338" s="23" t="inlineStr">
        <is>
          <t>70x100 1/32</t>
        </is>
      </c>
      <c r="L1338" s="23" t="inlineStr">
        <is>
          <t>мяг</t>
        </is>
      </c>
      <c r="M1338" s="23" t="n">
        <v>158</v>
      </c>
      <c r="N1338" s="23" t="n">
        <v>2015</v>
      </c>
      <c r="O1338" s="23" t="n">
        <v>76</v>
      </c>
      <c r="P1338" s="23" t="n"/>
      <c r="Q1338" s="23" t="n"/>
      <c r="R1338" s="25" t="n"/>
      <c r="S1338" s="26">
        <f>HYPERLINK("http://www.cnpol.ru/covers/16375.jpg","фото на сайте")</f>
        <v/>
      </c>
    </row>
    <row r="1339" ht="50.1" customHeight="1" s="3">
      <c r="A1339" s="23" t="n"/>
      <c r="B1339" s="24" t="inlineStr">
        <is>
          <t>20350</t>
        </is>
      </c>
      <c r="C1339" s="23" t="inlineStr">
        <is>
          <t>ЛР</t>
        </is>
      </c>
      <c r="D1339" s="23" t="inlineStr">
        <is>
          <t>Райс Х.</t>
        </is>
      </c>
      <c r="E1339" s="23" t="inlineStr">
        <is>
          <t>Назови меня своей</t>
        </is>
      </c>
      <c r="F1339" s="23" t="n">
        <v>1103</v>
      </c>
      <c r="G1339" s="23" t="n">
        <v>94</v>
      </c>
      <c r="H1339" s="23" t="n">
        <v>10</v>
      </c>
      <c r="I1339" s="23" t="n">
        <v>30</v>
      </c>
      <c r="J1339" s="23" t="inlineStr">
        <is>
          <t>978-5-227-09943-3</t>
        </is>
      </c>
      <c r="K1339" s="23" t="inlineStr">
        <is>
          <t>70x100 1/32</t>
        </is>
      </c>
      <c r="L1339" s="23" t="inlineStr">
        <is>
          <t>мяг</t>
        </is>
      </c>
      <c r="M1339" s="23" t="n">
        <v>159</v>
      </c>
      <c r="N1339" s="23" t="n">
        <v>2022</v>
      </c>
      <c r="O1339" s="23" t="n">
        <v>76</v>
      </c>
      <c r="P1339" s="23" t="n"/>
      <c r="Q1339" s="23" t="n"/>
      <c r="R1339" s="25" t="n"/>
      <c r="S1339" s="26">
        <f>HYPERLINK("http://www.cnpol.ru/covers/20350.jpg","фото на сайте")</f>
        <v/>
      </c>
    </row>
    <row r="1340" ht="50.1" customHeight="1" s="3">
      <c r="A1340" s="23" t="n"/>
      <c r="B1340" s="24" t="inlineStr">
        <is>
          <t>19147</t>
        </is>
      </c>
      <c r="C1340" s="23" t="inlineStr">
        <is>
          <t>ЛР</t>
        </is>
      </c>
      <c r="D1340" s="23" t="inlineStr">
        <is>
          <t>Пэмми Т.</t>
        </is>
      </c>
      <c r="E1340" s="23" t="inlineStr">
        <is>
          <t>Нарушим все запреты</t>
        </is>
      </c>
      <c r="F1340" s="23" t="n">
        <v>975</v>
      </c>
      <c r="G1340" s="23" t="n">
        <v>94</v>
      </c>
      <c r="H1340" s="23" t="n">
        <v>10</v>
      </c>
      <c r="I1340" s="23" t="n">
        <v>30</v>
      </c>
      <c r="J1340" s="23" t="inlineStr">
        <is>
          <t>978-5-227-08964-9</t>
        </is>
      </c>
      <c r="K1340" s="23" t="inlineStr">
        <is>
          <t>70x100 1/32</t>
        </is>
      </c>
      <c r="L1340" s="23" t="inlineStr">
        <is>
          <t>мяг</t>
        </is>
      </c>
      <c r="M1340" s="23" t="n">
        <v>160</v>
      </c>
      <c r="N1340" s="23" t="n">
        <v>2020</v>
      </c>
      <c r="O1340" s="23" t="n">
        <v>76</v>
      </c>
      <c r="P1340" s="23" t="n"/>
      <c r="Q1340" s="23" t="n"/>
      <c r="R1340" s="25" t="n"/>
      <c r="S1340" s="26">
        <f>HYPERLINK("http://www.cnpol.ru/covers/19147.jpg","фото на сайте")</f>
        <v/>
      </c>
    </row>
    <row r="1341" ht="50.1" customHeight="1" s="3">
      <c r="A1341" s="23" t="n"/>
      <c r="B1341" s="24" t="inlineStr">
        <is>
          <t>19816</t>
        </is>
      </c>
      <c r="C1341" s="23" t="inlineStr">
        <is>
          <t>ЛР</t>
        </is>
      </c>
      <c r="D1341" s="23" t="inlineStr">
        <is>
          <t>Грейди Р.</t>
        </is>
      </c>
      <c r="E1341" s="23" t="inlineStr">
        <is>
          <t>Наставник по соблазнению</t>
        </is>
      </c>
      <c r="F1341" s="23" t="n">
        <v>1050</v>
      </c>
      <c r="G1341" s="23" t="n">
        <v>94</v>
      </c>
      <c r="H1341" s="23" t="n">
        <v>10</v>
      </c>
      <c r="I1341" s="23" t="n">
        <v>30</v>
      </c>
      <c r="J1341" s="23" t="inlineStr">
        <is>
          <t>978-5-227-09415-5</t>
        </is>
      </c>
      <c r="K1341" s="23" t="inlineStr">
        <is>
          <t>70x100 1/32</t>
        </is>
      </c>
      <c r="L1341" s="23" t="inlineStr">
        <is>
          <t>мяг</t>
        </is>
      </c>
      <c r="M1341" s="23" t="n">
        <v>160</v>
      </c>
      <c r="N1341" s="23" t="n">
        <v>2021</v>
      </c>
      <c r="O1341" s="23" t="n">
        <v>76</v>
      </c>
      <c r="P1341" s="23" t="n"/>
      <c r="Q1341" s="23" t="n"/>
      <c r="R1341" s="25" t="n"/>
      <c r="S1341" s="26">
        <f>HYPERLINK("http://www.cnpol.ru/covers/19816.jpg","фото на сайте")</f>
        <v/>
      </c>
    </row>
    <row r="1342" ht="50.1" customHeight="1" s="3">
      <c r="A1342" s="23" t="n"/>
      <c r="B1342" s="24" t="inlineStr">
        <is>
          <t>17943</t>
        </is>
      </c>
      <c r="C1342" s="23" t="inlineStr">
        <is>
          <t>ЛР</t>
        </is>
      </c>
      <c r="D1342" s="23" t="inlineStr">
        <is>
          <t>Ли М.</t>
        </is>
      </c>
      <c r="E1342" s="23" t="inlineStr">
        <is>
          <t>Настойчивый плейбой</t>
        </is>
      </c>
      <c r="F1342" s="23" t="n">
        <v>787</v>
      </c>
      <c r="G1342" s="23" t="n">
        <v>94</v>
      </c>
      <c r="H1342" s="23" t="n">
        <v>10</v>
      </c>
      <c r="I1342" s="23" t="n">
        <v>30</v>
      </c>
      <c r="J1342" s="23" t="inlineStr">
        <is>
          <t>978-5-227-07993-0</t>
        </is>
      </c>
      <c r="K1342" s="23" t="inlineStr">
        <is>
          <t>70x100 1/32</t>
        </is>
      </c>
      <c r="L1342" s="23" t="inlineStr">
        <is>
          <t>мяг</t>
        </is>
      </c>
      <c r="M1342" s="23" t="n">
        <v>160</v>
      </c>
      <c r="N1342" s="23" t="n">
        <v>2018</v>
      </c>
      <c r="O1342" s="23" t="n">
        <v>76</v>
      </c>
      <c r="P1342" s="23" t="n"/>
      <c r="Q1342" s="23" t="n"/>
      <c r="R1342" s="25" t="n"/>
      <c r="S1342" s="26">
        <f>HYPERLINK("http://www.cnpol.ru/covers/17943.jpg","фото на сайте")</f>
        <v/>
      </c>
    </row>
    <row r="1343" ht="50.1" customHeight="1" s="3">
      <c r="A1343" s="23" t="n"/>
      <c r="B1343" s="24" t="inlineStr">
        <is>
          <t>16116</t>
        </is>
      </c>
      <c r="C1343" s="23" t="inlineStr">
        <is>
          <t>ЛР</t>
        </is>
      </c>
      <c r="D1343" s="23" t="inlineStr">
        <is>
          <t>Уинтерз Р.</t>
        </is>
      </c>
      <c r="E1343" s="23" t="inlineStr">
        <is>
          <t>Настоящее чудо</t>
        </is>
      </c>
      <c r="F1343" s="23" t="n">
        <v>532</v>
      </c>
      <c r="G1343" s="23" t="n">
        <v>94</v>
      </c>
      <c r="H1343" s="23" t="n">
        <v>10</v>
      </c>
      <c r="I1343" s="23" t="n">
        <v>30</v>
      </c>
      <c r="J1343" s="23" t="inlineStr">
        <is>
          <t>978-5-227-06104-1</t>
        </is>
      </c>
      <c r="K1343" s="23" t="inlineStr">
        <is>
          <t>70x100 1/32</t>
        </is>
      </c>
      <c r="L1343" s="23" t="inlineStr">
        <is>
          <t>мяг</t>
        </is>
      </c>
      <c r="M1343" s="23" t="n">
        <v>158</v>
      </c>
      <c r="N1343" s="23" t="n">
        <v>2015</v>
      </c>
      <c r="O1343" s="23" t="n">
        <v>76</v>
      </c>
      <c r="P1343" s="23" t="n"/>
      <c r="Q1343" s="23" t="n"/>
      <c r="R1343" s="25" t="n"/>
      <c r="S1343" s="26">
        <f>HYPERLINK("http://www.cnpol.ru/covers/16116.jpg","фото на сайте")</f>
        <v/>
      </c>
    </row>
    <row r="1344" ht="50.1" customHeight="1" s="3">
      <c r="A1344" s="23" t="n"/>
      <c r="B1344" s="24" t="inlineStr">
        <is>
          <t>13931</t>
        </is>
      </c>
      <c r="C1344" s="23" t="inlineStr">
        <is>
          <t>ЛР</t>
        </is>
      </c>
      <c r="D1344" s="23" t="inlineStr">
        <is>
          <t>Мартон С.</t>
        </is>
      </c>
      <c r="E1344" s="23" t="inlineStr">
        <is>
          <t>Настоящий Рио</t>
        </is>
      </c>
      <c r="F1344" s="23" t="n">
        <v>279</v>
      </c>
      <c r="G1344" s="23" t="n">
        <v>94</v>
      </c>
      <c r="H1344" s="23" t="n">
        <v>10</v>
      </c>
      <c r="I1344" s="23" t="n">
        <v>30</v>
      </c>
      <c r="J1344" s="23" t="inlineStr">
        <is>
          <t>978-5-227-04016-9</t>
        </is>
      </c>
      <c r="K1344" s="23" t="inlineStr">
        <is>
          <t>70x100 1/32</t>
        </is>
      </c>
      <c r="L1344" s="23" t="inlineStr">
        <is>
          <t>мяг</t>
        </is>
      </c>
      <c r="M1344" s="23" t="n">
        <v>158</v>
      </c>
      <c r="N1344" s="23" t="n">
        <v>2012</v>
      </c>
      <c r="O1344" s="23" t="n">
        <v>78</v>
      </c>
      <c r="P1344" s="23" t="n"/>
      <c r="Q1344" s="23" t="n"/>
      <c r="R1344" s="25" t="n"/>
      <c r="S1344" s="26">
        <f>HYPERLINK("http://www.cnpol.ru/covers/13931.jpg","фото на сайте")</f>
        <v/>
      </c>
    </row>
    <row r="1345" ht="50.1" customHeight="1" s="3">
      <c r="A1345" s="23" t="n"/>
      <c r="B1345" s="24" t="inlineStr">
        <is>
          <t>19573</t>
        </is>
      </c>
      <c r="C1345" s="23" t="inlineStr">
        <is>
          <t>ЛР</t>
        </is>
      </c>
      <c r="D1345" s="23" t="inlineStr">
        <is>
          <t>Коллинз Д.</t>
        </is>
      </c>
      <c r="E1345" s="23" t="inlineStr">
        <is>
          <t>Научи верить в любовь</t>
        </is>
      </c>
      <c r="F1345" s="23" t="n">
        <v>1025</v>
      </c>
      <c r="G1345" s="23" t="n">
        <v>94</v>
      </c>
      <c r="H1345" s="23" t="n">
        <v>10</v>
      </c>
      <c r="I1345" s="23" t="n">
        <v>30</v>
      </c>
      <c r="J1345" s="23" t="inlineStr">
        <is>
          <t>978-5-227-09204-5</t>
        </is>
      </c>
      <c r="K1345" s="23" t="inlineStr">
        <is>
          <t>70x100 1/32</t>
        </is>
      </c>
      <c r="L1345" s="23" t="inlineStr">
        <is>
          <t>мяг</t>
        </is>
      </c>
      <c r="M1345" s="23" t="n">
        <v>160</v>
      </c>
      <c r="N1345" s="23" t="n">
        <v>2021</v>
      </c>
      <c r="O1345" s="23" t="n">
        <v>76</v>
      </c>
      <c r="P1345" s="23" t="n"/>
      <c r="Q1345" s="23" t="n"/>
      <c r="R1345" s="25" t="n"/>
      <c r="S1345" s="26">
        <f>HYPERLINK("http://www.cnpol.ru/covers/19573.jpg","фото на сайте")</f>
        <v/>
      </c>
    </row>
    <row r="1346" ht="50.1" customHeight="1" s="3">
      <c r="A1346" s="23" t="n"/>
      <c r="B1346" s="24" t="inlineStr">
        <is>
          <t>17470</t>
        </is>
      </c>
      <c r="C1346" s="23" t="inlineStr">
        <is>
          <t>ЛР</t>
        </is>
      </c>
      <c r="D1346" s="23" t="inlineStr">
        <is>
          <t>Смарт М.</t>
        </is>
      </c>
      <c r="E1346" s="23" t="inlineStr">
        <is>
          <t>Научить тайнам любви</t>
        </is>
      </c>
      <c r="F1346" s="23" t="n">
        <v>716</v>
      </c>
      <c r="G1346" s="23" t="n">
        <v>94</v>
      </c>
      <c r="H1346" s="23" t="n">
        <v>10</v>
      </c>
      <c r="I1346" s="23" t="n">
        <v>30</v>
      </c>
      <c r="J1346" s="23" t="inlineStr">
        <is>
          <t>978-5-227-07472-0</t>
        </is>
      </c>
      <c r="K1346" s="23" t="inlineStr">
        <is>
          <t>70x100 1/32</t>
        </is>
      </c>
      <c r="L1346" s="23" t="inlineStr">
        <is>
          <t>мяг</t>
        </is>
      </c>
      <c r="M1346" s="23" t="n">
        <v>160</v>
      </c>
      <c r="N1346" s="23" t="n">
        <v>2017</v>
      </c>
      <c r="O1346" s="23" t="n">
        <v>76</v>
      </c>
      <c r="P1346" s="23" t="n"/>
      <c r="Q1346" s="23" t="n"/>
      <c r="R1346" s="25" t="n"/>
      <c r="S1346" s="26">
        <f>HYPERLINK("http://www.cnpol.ru/covers/17470.jpg","фото на сайте")</f>
        <v/>
      </c>
    </row>
    <row r="1347" ht="50.1" customHeight="1" s="3">
      <c r="A1347" s="23" t="n"/>
      <c r="B1347" s="24" t="inlineStr">
        <is>
          <t>16652</t>
        </is>
      </c>
      <c r="C1347" s="23" t="inlineStr">
        <is>
          <t>ЛР</t>
        </is>
      </c>
      <c r="D1347" s="23" t="inlineStr">
        <is>
          <t>Стивенс С.</t>
        </is>
      </c>
      <c r="E1347" s="23" t="inlineStr">
        <is>
          <t>Начнем все вновь</t>
        </is>
      </c>
      <c r="F1347" s="23" t="n">
        <v>605</v>
      </c>
      <c r="G1347" s="23" t="n">
        <v>94</v>
      </c>
      <c r="H1347" s="23" t="n">
        <v>10</v>
      </c>
      <c r="I1347" s="23" t="n">
        <v>30</v>
      </c>
      <c r="J1347" s="23" t="inlineStr">
        <is>
          <t>978-5-227-06560-5</t>
        </is>
      </c>
      <c r="K1347" s="23" t="inlineStr">
        <is>
          <t>70x100 1/32</t>
        </is>
      </c>
      <c r="L1347" s="23" t="inlineStr">
        <is>
          <t>мяг</t>
        </is>
      </c>
      <c r="M1347" s="23" t="n">
        <v>160</v>
      </c>
      <c r="N1347" s="23" t="n">
        <v>2016</v>
      </c>
      <c r="O1347" s="23" t="n">
        <v>76</v>
      </c>
      <c r="P1347" s="23" t="n"/>
      <c r="Q1347" s="23" t="n"/>
      <c r="R1347" s="25" t="n"/>
      <c r="S1347" s="26">
        <f>HYPERLINK("http://www.cnpol.ru/covers/16652.jpg","фото на сайте")</f>
        <v/>
      </c>
    </row>
    <row r="1348" ht="50.1" customHeight="1" s="3">
      <c r="A1348" s="23" t="n"/>
      <c r="B1348" s="24" t="inlineStr">
        <is>
          <t>16666</t>
        </is>
      </c>
      <c r="C1348" s="23" t="inlineStr">
        <is>
          <t>ЛР</t>
        </is>
      </c>
      <c r="D1348" s="23" t="inlineStr">
        <is>
          <t>Уоллис Бадж</t>
        </is>
      </c>
      <c r="E1348" s="23" t="inlineStr">
        <is>
          <t>Наш сказочный роман</t>
        </is>
      </c>
      <c r="F1348" s="23" t="n">
        <v>607</v>
      </c>
      <c r="G1348" s="23" t="n">
        <v>94</v>
      </c>
      <c r="H1348" s="23" t="n">
        <v>10</v>
      </c>
      <c r="I1348" s="23" t="n">
        <v>30</v>
      </c>
      <c r="J1348" s="23" t="inlineStr">
        <is>
          <t>978-5-227-06702-9</t>
        </is>
      </c>
      <c r="K1348" s="23" t="inlineStr">
        <is>
          <t>70x100 1/32</t>
        </is>
      </c>
      <c r="L1348" s="23" t="inlineStr">
        <is>
          <t>мяг</t>
        </is>
      </c>
      <c r="M1348" s="23" t="n">
        <v>160</v>
      </c>
      <c r="N1348" s="23" t="n">
        <v>2016</v>
      </c>
      <c r="O1348" s="23" t="n">
        <v>76</v>
      </c>
      <c r="P1348" s="23" t="n"/>
      <c r="Q1348" s="23" t="n"/>
      <c r="R1348" s="25" t="n"/>
      <c r="S1348" s="26">
        <f>HYPERLINK("http://www.cnpol.ru/covers/16666.jpg","фото на сайте")</f>
        <v/>
      </c>
    </row>
    <row r="1349" ht="50.1" customHeight="1" s="3">
      <c r="A1349" s="23" t="n"/>
      <c r="B1349" s="24" t="inlineStr">
        <is>
          <t>19239</t>
        </is>
      </c>
      <c r="C1349" s="23" t="inlineStr">
        <is>
          <t>ЛР</t>
        </is>
      </c>
      <c r="D1349" s="23" t="inlineStr">
        <is>
          <t>Кенан Л.</t>
        </is>
      </c>
      <c r="E1349" s="23" t="inlineStr">
        <is>
          <t>Наша новая жизнь</t>
        </is>
      </c>
      <c r="F1349" s="23" t="n">
        <v>984</v>
      </c>
      <c r="G1349" s="23" t="n">
        <v>94</v>
      </c>
      <c r="H1349" s="23" t="n">
        <v>10</v>
      </c>
      <c r="I1349" s="23" t="n">
        <v>30</v>
      </c>
      <c r="J1349" s="23" t="inlineStr">
        <is>
          <t>978-5-227-09033-1</t>
        </is>
      </c>
      <c r="K1349" s="23" t="inlineStr">
        <is>
          <t>70x100 1/32</t>
        </is>
      </c>
      <c r="L1349" s="23" t="inlineStr">
        <is>
          <t>мяг</t>
        </is>
      </c>
      <c r="M1349" s="23" t="n">
        <v>160</v>
      </c>
      <c r="N1349" s="23" t="n">
        <v>2020</v>
      </c>
      <c r="O1349" s="23" t="n">
        <v>76</v>
      </c>
      <c r="P1349" s="23" t="n"/>
      <c r="Q1349" s="23" t="n"/>
      <c r="R1349" s="25" t="n"/>
      <c r="S1349" s="26">
        <f>HYPERLINK("http://www.cnpol.ru/covers/19239.jpg","фото на сайте")</f>
        <v/>
      </c>
    </row>
    <row r="1350" ht="50.1" customHeight="1" s="3">
      <c r="A1350" s="23" t="n"/>
      <c r="B1350" s="24" t="inlineStr">
        <is>
          <t>17177</t>
        </is>
      </c>
      <c r="C1350" s="23" t="inlineStr">
        <is>
          <t>ЛР</t>
        </is>
      </c>
      <c r="D1350" s="23" t="inlineStr">
        <is>
          <t>Баканнон Б.</t>
        </is>
      </c>
      <c r="E1350" s="23" t="inlineStr">
        <is>
          <t>Наше маленькое чудо</t>
        </is>
      </c>
      <c r="F1350" s="23" t="n">
        <v>674</v>
      </c>
      <c r="G1350" s="23" t="n">
        <v>94</v>
      </c>
      <c r="H1350" s="23" t="n">
        <v>10</v>
      </c>
      <c r="I1350" s="23" t="n">
        <v>30</v>
      </c>
      <c r="J1350" s="23" t="inlineStr">
        <is>
          <t>978-5-227-07202-3</t>
        </is>
      </c>
      <c r="K1350" s="23" t="inlineStr">
        <is>
          <t>70x100 1/32</t>
        </is>
      </c>
      <c r="L1350" s="23" t="inlineStr">
        <is>
          <t>мяг</t>
        </is>
      </c>
      <c r="M1350" s="23" t="n">
        <v>160</v>
      </c>
      <c r="N1350" s="23" t="n">
        <v>2016</v>
      </c>
      <c r="O1350" s="23" t="n">
        <v>76</v>
      </c>
      <c r="P1350" s="23" t="n"/>
      <c r="Q1350" s="23" t="n"/>
      <c r="R1350" s="25" t="n"/>
      <c r="S1350" s="26">
        <f>HYPERLINK("http://www.cnpol.ru/covers/17177.jpg","фото на сайте")</f>
        <v/>
      </c>
    </row>
    <row r="1351" ht="50.1" customHeight="1" s="3">
      <c r="A1351" s="23" t="n"/>
      <c r="B1351" s="24" t="inlineStr">
        <is>
          <t>17559</t>
        </is>
      </c>
      <c r="C1351" s="23" t="inlineStr">
        <is>
          <t>ЛР</t>
        </is>
      </c>
      <c r="D1351" s="23" t="inlineStr">
        <is>
          <t>Уилсон С.</t>
        </is>
      </c>
      <c r="E1351" s="23" t="inlineStr">
        <is>
          <t>Нашей сказке суждено сбыться</t>
        </is>
      </c>
      <c r="F1351" s="23" t="n">
        <v>729</v>
      </c>
      <c r="G1351" s="23" t="n">
        <v>94</v>
      </c>
      <c r="H1351" s="23" t="n">
        <v>10</v>
      </c>
      <c r="I1351" s="23" t="n">
        <v>30</v>
      </c>
      <c r="J1351" s="23" t="inlineStr">
        <is>
          <t>978-5-227-07583-3</t>
        </is>
      </c>
      <c r="K1351" s="23" t="inlineStr">
        <is>
          <t>70x100 1/32</t>
        </is>
      </c>
      <c r="L1351" s="23" t="inlineStr">
        <is>
          <t>мяг</t>
        </is>
      </c>
      <c r="M1351" s="23" t="n">
        <v>160</v>
      </c>
      <c r="N1351" s="23" t="n">
        <v>2017</v>
      </c>
      <c r="O1351" s="23" t="n">
        <v>76</v>
      </c>
      <c r="P1351" s="23" t="n"/>
      <c r="Q1351" s="23" t="n"/>
      <c r="R1351" s="25" t="n"/>
      <c r="S1351" s="26">
        <f>HYPERLINK("http://www.cnpol.ru/covers/17559.jpg","фото на сайте")</f>
        <v/>
      </c>
    </row>
    <row r="1352" ht="50.1" customHeight="1" s="3">
      <c r="A1352" s="23" t="n"/>
      <c r="B1352" s="24" t="inlineStr">
        <is>
          <t>18099</t>
        </is>
      </c>
      <c r="C1352" s="23" t="inlineStr">
        <is>
          <t>ЛР</t>
        </is>
      </c>
      <c r="D1352" s="23" t="inlineStr">
        <is>
          <t>Лукас Д.</t>
        </is>
      </c>
      <c r="E1352" s="23" t="inlineStr">
        <is>
          <t>Не благодари за любовь</t>
        </is>
      </c>
      <c r="F1352" s="23" t="n">
        <v>805</v>
      </c>
      <c r="G1352" s="23" t="n">
        <v>94</v>
      </c>
      <c r="H1352" s="23" t="n">
        <v>10</v>
      </c>
      <c r="I1352" s="23" t="n">
        <v>30</v>
      </c>
      <c r="J1352" s="23" t="inlineStr">
        <is>
          <t>978-5-227-08092-9</t>
        </is>
      </c>
      <c r="K1352" s="23" t="inlineStr">
        <is>
          <t>70x100 1/32</t>
        </is>
      </c>
      <c r="L1352" s="23" t="inlineStr">
        <is>
          <t>мяг</t>
        </is>
      </c>
      <c r="M1352" s="23" t="n">
        <v>160</v>
      </c>
      <c r="N1352" s="23" t="n">
        <v>2018</v>
      </c>
      <c r="O1352" s="23" t="n">
        <v>76</v>
      </c>
      <c r="P1352" s="23" t="n"/>
      <c r="Q1352" s="23" t="n"/>
      <c r="R1352" s="25" t="n"/>
      <c r="S1352" s="26">
        <f>HYPERLINK("http://www.cnpol.ru/covers/18099.jpg","фото на сайте")</f>
        <v/>
      </c>
    </row>
    <row r="1353" ht="50.1" customHeight="1" s="3">
      <c r="A1353" s="23" t="n"/>
      <c r="B1353" s="24" t="inlineStr">
        <is>
          <t>16869</t>
        </is>
      </c>
      <c r="C1353" s="23" t="inlineStr">
        <is>
          <t>ЛР</t>
        </is>
      </c>
      <c r="D1353" s="23" t="inlineStr">
        <is>
          <t>Хьюит К.</t>
        </is>
      </c>
      <c r="E1353" s="23" t="inlineStr">
        <is>
          <t>Не бойся быть моей</t>
        </is>
      </c>
      <c r="F1353" s="23" t="n">
        <v>633</v>
      </c>
      <c r="G1353" s="23" t="n">
        <v>94</v>
      </c>
      <c r="H1353" s="23" t="n">
        <v>10</v>
      </c>
      <c r="I1353" s="23" t="n">
        <v>30</v>
      </c>
      <c r="J1353" s="23" t="inlineStr">
        <is>
          <t>978-5-227-06824-8</t>
        </is>
      </c>
      <c r="K1353" s="23" t="inlineStr">
        <is>
          <t>70x100 1/32</t>
        </is>
      </c>
      <c r="L1353" s="23" t="inlineStr">
        <is>
          <t>мяг</t>
        </is>
      </c>
      <c r="M1353" s="23" t="n">
        <v>160</v>
      </c>
      <c r="N1353" s="23" t="n">
        <v>2016</v>
      </c>
      <c r="O1353" s="23" t="n">
        <v>76</v>
      </c>
      <c r="P1353" s="23" t="n"/>
      <c r="Q1353" s="23" t="n"/>
      <c r="R1353" s="25" t="n"/>
      <c r="S1353" s="26">
        <f>HYPERLINK("http://www.cnpol.ru/covers/16869.jpg","фото на сайте")</f>
        <v/>
      </c>
    </row>
    <row r="1354" ht="50.1" customHeight="1" s="3">
      <c r="A1354" s="23" t="n"/>
      <c r="B1354" s="24" t="inlineStr">
        <is>
          <t>15670</t>
        </is>
      </c>
      <c r="C1354" s="23" t="inlineStr">
        <is>
          <t>ЛР</t>
        </is>
      </c>
      <c r="D1354" s="23" t="inlineStr">
        <is>
          <t>Пемброк С.</t>
        </is>
      </c>
      <c r="E1354" s="23" t="inlineStr">
        <is>
          <t>Не забуду никогда</t>
        </is>
      </c>
      <c r="F1354" s="23" t="n">
        <v>474</v>
      </c>
      <c r="G1354" s="23" t="n">
        <v>94</v>
      </c>
      <c r="H1354" s="23" t="n">
        <v>10</v>
      </c>
      <c r="I1354" s="23" t="n">
        <v>30</v>
      </c>
      <c r="J1354" s="23" t="inlineStr">
        <is>
          <t>978-5-227-05642-9</t>
        </is>
      </c>
      <c r="K1354" s="23" t="inlineStr">
        <is>
          <t>70x100 1/32</t>
        </is>
      </c>
      <c r="L1354" s="23" t="inlineStr">
        <is>
          <t>мяг</t>
        </is>
      </c>
      <c r="M1354" s="23" t="n">
        <v>158</v>
      </c>
      <c r="N1354" s="23" t="n">
        <v>2014</v>
      </c>
      <c r="O1354" s="23" t="n">
        <v>78</v>
      </c>
      <c r="P1354" s="23" t="n"/>
      <c r="Q1354" s="23" t="n"/>
      <c r="R1354" s="25" t="n"/>
      <c r="S1354" s="26">
        <f>HYPERLINK("http://www.cnpol.ru/covers/15670.jpg","фото на сайте")</f>
        <v/>
      </c>
    </row>
    <row r="1355" ht="50.1" customHeight="1" s="3">
      <c r="A1355" s="23" t="inlineStr">
        <is>
          <t>Н</t>
        </is>
      </c>
      <c r="B1355" s="24" t="inlineStr">
        <is>
          <t>21053</t>
        </is>
      </c>
      <c r="C1355" s="23" t="inlineStr">
        <is>
          <t>ЛР</t>
        </is>
      </c>
      <c r="D1355" s="23" t="inlineStr">
        <is>
          <t>Гарбера К.</t>
        </is>
      </c>
      <c r="E1355" s="23" t="inlineStr">
        <is>
          <t>Не забывай ее любовь</t>
        </is>
      </c>
      <c r="F1355" s="23" t="n">
        <v>1168</v>
      </c>
      <c r="G1355" s="23" t="n">
        <v>94</v>
      </c>
      <c r="H1355" s="23" t="n">
        <v>10</v>
      </c>
      <c r="I1355" s="23" t="n">
        <v>30</v>
      </c>
      <c r="J1355" s="23" t="inlineStr">
        <is>
          <t>978-5-227-10471-7</t>
        </is>
      </c>
      <c r="K1355" s="23" t="inlineStr">
        <is>
          <t>70x100 1/32</t>
        </is>
      </c>
      <c r="L1355" s="23" t="inlineStr">
        <is>
          <t>мяг</t>
        </is>
      </c>
      <c r="M1355" s="23" t="n">
        <v>159</v>
      </c>
      <c r="N1355" s="23" t="n">
        <v>2024</v>
      </c>
      <c r="O1355" s="23" t="n">
        <v>76</v>
      </c>
      <c r="P1355" s="23" t="n"/>
      <c r="Q1355" s="23" t="n"/>
      <c r="R1355" s="25" t="inlineStr">
        <is>
          <t>Конрад Гилберт, талантливый повар, бунтарь и владелец «проклятого» поместья, должен спасти город своего детства от нависших над ним злых чар. И в этом ему поможет Инди Бельмонт, девушка, чей жизненный путь до встречи с Конрадом был не таким уж простым. Чтобы спасти городок от вымирания, Инди и Конраду придется вылечить свои собственные душевные раны. Удастся ли им это?</t>
        </is>
      </c>
      <c r="S1355" s="26">
        <f>HYPERLINK("http://www.cnpol.ru/covers/21053.jpg","фото на сайте")</f>
        <v/>
      </c>
    </row>
    <row r="1356" ht="50.1" customHeight="1" s="3">
      <c r="A1356" s="23" t="n"/>
      <c r="B1356" s="24" t="inlineStr">
        <is>
          <t>17140</t>
        </is>
      </c>
      <c r="C1356" s="23" t="inlineStr">
        <is>
          <t>ЛР</t>
        </is>
      </c>
      <c r="D1356" s="23" t="inlineStr">
        <is>
          <t>Дуглас М.</t>
        </is>
      </c>
      <c r="E1356" s="23" t="inlineStr">
        <is>
          <t>Не забывай мою любовь</t>
        </is>
      </c>
      <c r="F1356" s="23" t="n">
        <v>669</v>
      </c>
      <c r="G1356" s="23" t="n">
        <v>94</v>
      </c>
      <c r="H1356" s="23" t="n">
        <v>10</v>
      </c>
      <c r="I1356" s="23" t="n">
        <v>30</v>
      </c>
      <c r="J1356" s="23" t="inlineStr">
        <is>
          <t>978-5-227-07119-4</t>
        </is>
      </c>
      <c r="K1356" s="23" t="inlineStr">
        <is>
          <t>70x100 1/32</t>
        </is>
      </c>
      <c r="L1356" s="23" t="inlineStr">
        <is>
          <t>мяг</t>
        </is>
      </c>
      <c r="M1356" s="23" t="n">
        <v>160</v>
      </c>
      <c r="N1356" s="23" t="n">
        <v>2016</v>
      </c>
      <c r="O1356" s="23" t="n">
        <v>76</v>
      </c>
      <c r="P1356" s="23" t="n"/>
      <c r="Q1356" s="23" t="n"/>
      <c r="R1356" s="25" t="n"/>
      <c r="S1356" s="26">
        <f>HYPERLINK("http://www.cnpol.ru/covers/17140.jpg","фото на сайте")</f>
        <v/>
      </c>
    </row>
    <row r="1357" ht="50.1" customHeight="1" s="3">
      <c r="A1357" s="23" t="n"/>
      <c r="B1357" s="24" t="inlineStr">
        <is>
          <t>16882</t>
        </is>
      </c>
      <c r="C1357" s="23" t="inlineStr">
        <is>
          <t>ЛР</t>
        </is>
      </c>
      <c r="D1357" s="23" t="inlineStr">
        <is>
          <t>Уильямс А.</t>
        </is>
      </c>
      <c r="E1357" s="23" t="inlineStr">
        <is>
          <t>Не заметить своего счастья</t>
        </is>
      </c>
      <c r="F1357" s="23" t="n">
        <v>635</v>
      </c>
      <c r="G1357" s="23" t="n">
        <v>94</v>
      </c>
      <c r="H1357" s="23" t="n">
        <v>10</v>
      </c>
      <c r="I1357" s="23" t="n">
        <v>30</v>
      </c>
      <c r="J1357" s="23" t="inlineStr">
        <is>
          <t>978-5-227-06826-2</t>
        </is>
      </c>
      <c r="K1357" s="23" t="inlineStr">
        <is>
          <t>70x100 1/32</t>
        </is>
      </c>
      <c r="L1357" s="23" t="inlineStr">
        <is>
          <t>мяг</t>
        </is>
      </c>
      <c r="M1357" s="23" t="n">
        <v>160</v>
      </c>
      <c r="N1357" s="23" t="n">
        <v>2016</v>
      </c>
      <c r="O1357" s="23" t="n">
        <v>76</v>
      </c>
      <c r="P1357" s="23" t="n"/>
      <c r="Q1357" s="23" t="n"/>
      <c r="R1357" s="25" t="n"/>
      <c r="S1357" s="26">
        <f>HYPERLINK("http://www.cnpol.ru/covers/16882.jpg","фото на сайте")</f>
        <v/>
      </c>
    </row>
    <row r="1358" ht="50.1" customHeight="1" s="3">
      <c r="A1358" s="23" t="n"/>
      <c r="B1358" s="24" t="inlineStr">
        <is>
          <t>16161</t>
        </is>
      </c>
      <c r="C1358" s="23" t="inlineStr">
        <is>
          <t>ЛР</t>
        </is>
      </c>
      <c r="D1358" s="23" t="inlineStr">
        <is>
          <t>Монро Л.</t>
        </is>
      </c>
      <c r="E1358" s="23" t="inlineStr">
        <is>
          <t>Не обязан жениться</t>
        </is>
      </c>
      <c r="F1358" s="23" t="n">
        <v>541</v>
      </c>
      <c r="G1358" s="23" t="n">
        <v>94</v>
      </c>
      <c r="H1358" s="23" t="n">
        <v>10</v>
      </c>
      <c r="I1358" s="23" t="n">
        <v>30</v>
      </c>
      <c r="J1358" s="23" t="inlineStr">
        <is>
          <t>978-5-227-06140-9</t>
        </is>
      </c>
      <c r="K1358" s="23" t="inlineStr">
        <is>
          <t>70x100 1/32</t>
        </is>
      </c>
      <c r="L1358" s="23" t="inlineStr">
        <is>
          <t>мяг</t>
        </is>
      </c>
      <c r="M1358" s="23" t="n">
        <v>158</v>
      </c>
      <c r="N1358" s="23" t="n">
        <v>2015</v>
      </c>
      <c r="O1358" s="23" t="n">
        <v>76</v>
      </c>
      <c r="P1358" s="23" t="n"/>
      <c r="Q1358" s="23" t="n"/>
      <c r="R1358" s="25" t="n"/>
      <c r="S1358" s="26">
        <f>HYPERLINK("http://www.cnpol.ru/covers/16161.jpg","фото на сайте")</f>
        <v/>
      </c>
    </row>
    <row r="1359" ht="50.1" customHeight="1" s="3">
      <c r="A1359" s="23" t="n"/>
      <c r="B1359" s="24" t="inlineStr">
        <is>
          <t>17739</t>
        </is>
      </c>
      <c r="C1359" s="23" t="inlineStr">
        <is>
          <t>ЛР</t>
        </is>
      </c>
      <c r="D1359" s="23" t="inlineStr">
        <is>
          <t>Эллис Люси</t>
        </is>
      </c>
      <c r="E1359" s="23" t="inlineStr">
        <is>
          <t>Не отпускай моей руки</t>
        </is>
      </c>
      <c r="F1359" s="23" t="n">
        <v>761</v>
      </c>
      <c r="G1359" s="23" t="n">
        <v>94</v>
      </c>
      <c r="H1359" s="23" t="n">
        <v>10</v>
      </c>
      <c r="I1359" s="23" t="n">
        <v>30</v>
      </c>
      <c r="J1359" s="23" t="inlineStr">
        <is>
          <t>978-5-227-07723-3</t>
        </is>
      </c>
      <c r="K1359" s="23" t="inlineStr">
        <is>
          <t>70x100 1/32</t>
        </is>
      </c>
      <c r="L1359" s="23" t="inlineStr">
        <is>
          <t>мяг</t>
        </is>
      </c>
      <c r="M1359" s="23" t="n">
        <v>160</v>
      </c>
      <c r="N1359" s="23" t="n">
        <v>2017</v>
      </c>
      <c r="O1359" s="23" t="n">
        <v>76</v>
      </c>
      <c r="P1359" s="23" t="n"/>
      <c r="Q1359" s="23" t="n"/>
      <c r="R1359" s="25" t="n"/>
      <c r="S1359" s="26">
        <f>HYPERLINK("http://www.cnpol.ru/covers/17739.jpg","фото на сайте")</f>
        <v/>
      </c>
    </row>
    <row r="1360" ht="50.1" customHeight="1" s="3">
      <c r="A1360" s="23" t="inlineStr">
        <is>
          <t>Н</t>
        </is>
      </c>
      <c r="B1360" s="24" t="inlineStr">
        <is>
          <t>20988</t>
        </is>
      </c>
      <c r="C1360" s="23" t="inlineStr">
        <is>
          <t>ЛР</t>
        </is>
      </c>
      <c r="D1360" s="23" t="inlineStr">
        <is>
          <t>Коннелли К.</t>
        </is>
      </c>
      <c r="E1360" s="23" t="inlineStr">
        <is>
          <t>Не поздно влюбиться</t>
        </is>
      </c>
      <c r="F1360" s="23" t="n">
        <v>1165</v>
      </c>
      <c r="G1360" s="23" t="n">
        <v>94</v>
      </c>
      <c r="H1360" s="23" t="n">
        <v>10</v>
      </c>
      <c r="I1360" s="23" t="n">
        <v>30</v>
      </c>
      <c r="J1360" s="23" t="inlineStr">
        <is>
          <t>978-5-227-10461-8</t>
        </is>
      </c>
      <c r="K1360" s="23" t="inlineStr">
        <is>
          <t>70x100 1/32</t>
        </is>
      </c>
      <c r="L1360" s="23" t="inlineStr">
        <is>
          <t>мяг</t>
        </is>
      </c>
      <c r="M1360" s="23" t="n">
        <v>159</v>
      </c>
      <c r="N1360" s="23" t="n">
        <v>2024</v>
      </c>
      <c r="O1360" s="23" t="n">
        <v>76</v>
      </c>
      <c r="P1360" s="23" t="n"/>
      <c r="Q1360" s="23" t="n"/>
      <c r="R1360" s="25" t="inlineStr">
        <is>
          <t>Десять лет назад Алисия, дочь священника, и Грасиано, бедный сирота, расстались при трагических обстоятельствах, и он, казалось, навсегда исчез из ее жизни. Все эти десять лет она хранила память о нем, единственном возлюбленном и отце своей дочери._x000D_
А когда они спустя десять лет случайно встретились, Алисия поняла, что любит его так же сильно, как и прежде. Чего нельзя сказать о Грасиано, который отнесся к ней с явным презрением...</t>
        </is>
      </c>
      <c r="S1360" s="26">
        <f>HYPERLINK("http://www.cnpol.ru/covers/20988.jpg","фото на сайте")</f>
        <v/>
      </c>
    </row>
    <row r="1361" ht="50.1" customHeight="1" s="3">
      <c r="A1361" s="23" t="n"/>
      <c r="B1361" s="24" t="inlineStr">
        <is>
          <t>18342</t>
        </is>
      </c>
      <c r="C1361" s="23" t="inlineStr">
        <is>
          <t>ЛР</t>
        </is>
      </c>
      <c r="D1361" s="23" t="inlineStr">
        <is>
          <t>Крюс К.</t>
        </is>
      </c>
      <c r="E1361" s="23" t="inlineStr">
        <is>
          <t>Не смогу жить без тебя</t>
        </is>
      </c>
      <c r="F1361" s="23" t="n">
        <v>843</v>
      </c>
      <c r="G1361" s="23" t="n">
        <v>94</v>
      </c>
      <c r="H1361" s="23" t="n">
        <v>10</v>
      </c>
      <c r="I1361" s="23" t="n">
        <v>30</v>
      </c>
      <c r="J1361" s="23" t="inlineStr">
        <is>
          <t>978-5-227-08328-9</t>
        </is>
      </c>
      <c r="K1361" s="23" t="inlineStr">
        <is>
          <t>70x100 1/32</t>
        </is>
      </c>
      <c r="L1361" s="23" t="inlineStr">
        <is>
          <t>мяг</t>
        </is>
      </c>
      <c r="M1361" s="23" t="n">
        <v>160</v>
      </c>
      <c r="N1361" s="23" t="n">
        <v>2018</v>
      </c>
      <c r="O1361" s="23" t="n">
        <v>76</v>
      </c>
      <c r="P1361" s="23" t="n"/>
      <c r="Q1361" s="23" t="n"/>
      <c r="R1361" s="25" t="n"/>
      <c r="S1361" s="26">
        <f>HYPERLINK("http://www.cnpol.ru/covers/18342.jpg","фото на сайте")</f>
        <v/>
      </c>
    </row>
    <row r="1362" ht="50.1" customHeight="1" s="3">
      <c r="A1362" s="23" t="n"/>
      <c r="B1362" s="24" t="inlineStr">
        <is>
          <t>19101</t>
        </is>
      </c>
      <c r="C1362" s="23" t="inlineStr">
        <is>
          <t>ЛР</t>
        </is>
      </c>
      <c r="D1362" s="23" t="inlineStr">
        <is>
          <t>Хьюит К.</t>
        </is>
      </c>
      <c r="E1362" s="23" t="inlineStr">
        <is>
          <t>Не убежать от искушения</t>
        </is>
      </c>
      <c r="F1362" s="23" t="n">
        <v>966</v>
      </c>
      <c r="G1362" s="23" t="n">
        <v>94</v>
      </c>
      <c r="H1362" s="23" t="n">
        <v>10</v>
      </c>
      <c r="I1362" s="23" t="n">
        <v>30</v>
      </c>
      <c r="J1362" s="23" t="inlineStr">
        <is>
          <t>978-5-227-08938-0</t>
        </is>
      </c>
      <c r="K1362" s="23" t="inlineStr">
        <is>
          <t>70x100 1/32</t>
        </is>
      </c>
      <c r="L1362" s="23" t="inlineStr">
        <is>
          <t>мяг</t>
        </is>
      </c>
      <c r="M1362" s="23" t="n">
        <v>160</v>
      </c>
      <c r="N1362" s="23" t="n">
        <v>2020</v>
      </c>
      <c r="O1362" s="23" t="n">
        <v>76</v>
      </c>
      <c r="P1362" s="23" t="n"/>
      <c r="Q1362" s="23" t="n"/>
      <c r="R1362" s="25" t="n"/>
      <c r="S1362" s="26">
        <f>HYPERLINK("http://www.cnpol.ru/covers/19101.jpg","фото на сайте")</f>
        <v/>
      </c>
    </row>
    <row r="1363" ht="50.1" customHeight="1" s="3">
      <c r="A1363" s="23" t="n"/>
      <c r="B1363" s="24" t="inlineStr">
        <is>
          <t>15365</t>
        </is>
      </c>
      <c r="C1363" s="23" t="inlineStr">
        <is>
          <t>ЛР</t>
        </is>
      </c>
      <c r="D1363" s="23" t="inlineStr">
        <is>
          <t>Клири А.</t>
        </is>
      </c>
      <c r="E1363" s="23" t="inlineStr">
        <is>
          <t>Не уснешь всю ночь</t>
        </is>
      </c>
      <c r="F1363" s="23" t="n">
        <v>433</v>
      </c>
      <c r="G1363" s="23" t="n">
        <v>94</v>
      </c>
      <c r="H1363" s="23" t="n">
        <v>10</v>
      </c>
      <c r="I1363" s="23" t="n">
        <v>30</v>
      </c>
      <c r="J1363" s="23" t="inlineStr">
        <is>
          <t>978-5-227-05402-9</t>
        </is>
      </c>
      <c r="K1363" s="23" t="inlineStr">
        <is>
          <t>70x100 1/32</t>
        </is>
      </c>
      <c r="L1363" s="23" t="inlineStr">
        <is>
          <t>мяг</t>
        </is>
      </c>
      <c r="M1363" s="23" t="n">
        <v>158</v>
      </c>
      <c r="N1363" s="23" t="n">
        <v>2014</v>
      </c>
      <c r="O1363" s="23" t="n">
        <v>76</v>
      </c>
      <c r="P1363" s="23" t="n"/>
      <c r="Q1363" s="23" t="n"/>
      <c r="R1363" s="25" t="n"/>
      <c r="S1363" s="26">
        <f>HYPERLINK("http://www.cnpol.ru/covers/15365.jpg","фото на сайте")</f>
        <v/>
      </c>
    </row>
    <row r="1364" ht="50.1" customHeight="1" s="3">
      <c r="A1364" s="23" t="n"/>
      <c r="B1364" s="24" t="inlineStr">
        <is>
          <t>17040</t>
        </is>
      </c>
      <c r="C1364" s="23" t="inlineStr">
        <is>
          <t>ЛР</t>
        </is>
      </c>
      <c r="D1364" s="23" t="inlineStr">
        <is>
          <t>Райс Х.</t>
        </is>
      </c>
      <c r="E1364" s="23" t="inlineStr">
        <is>
          <t>Не хочу тебя терять</t>
        </is>
      </c>
      <c r="F1364" s="23" t="n">
        <v>657</v>
      </c>
      <c r="G1364" s="23" t="n">
        <v>94</v>
      </c>
      <c r="H1364" s="23" t="n">
        <v>10</v>
      </c>
      <c r="I1364" s="23" t="n">
        <v>30</v>
      </c>
      <c r="J1364" s="23" t="inlineStr">
        <is>
          <t>978-5-227-07042-5</t>
        </is>
      </c>
      <c r="K1364" s="23" t="inlineStr">
        <is>
          <t>70x100 1/32</t>
        </is>
      </c>
      <c r="L1364" s="23" t="inlineStr">
        <is>
          <t>мяг</t>
        </is>
      </c>
      <c r="M1364" s="23" t="n">
        <v>160</v>
      </c>
      <c r="N1364" s="23" t="n">
        <v>2016</v>
      </c>
      <c r="O1364" s="23" t="n">
        <v>76</v>
      </c>
      <c r="P1364" s="23" t="n"/>
      <c r="Q1364" s="23" t="n"/>
      <c r="R1364" s="25" t="n"/>
      <c r="S1364" s="26">
        <f>HYPERLINK("http://www.cnpol.ru/covers/17040.jpg","фото на сайте")</f>
        <v/>
      </c>
    </row>
    <row r="1365" ht="50.1" customHeight="1" s="3">
      <c r="A1365" s="23" t="n"/>
      <c r="B1365" s="24" t="inlineStr">
        <is>
          <t>19058</t>
        </is>
      </c>
      <c r="C1365" s="23" t="inlineStr">
        <is>
          <t>ЛР</t>
        </is>
      </c>
      <c r="D1365" s="23" t="inlineStr">
        <is>
          <t>Блейк Э.</t>
        </is>
      </c>
      <c r="E1365" s="23" t="inlineStr">
        <is>
          <t>Невеста бывшего друга</t>
        </is>
      </c>
      <c r="F1365" s="23" t="n">
        <v>963</v>
      </c>
      <c r="G1365" s="23" t="n">
        <v>94</v>
      </c>
      <c r="H1365" s="23" t="n">
        <v>10</v>
      </c>
      <c r="I1365" s="23" t="n">
        <v>30</v>
      </c>
      <c r="J1365" s="23" t="inlineStr">
        <is>
          <t>978-5-227-08935-9</t>
        </is>
      </c>
      <c r="K1365" s="23" t="inlineStr">
        <is>
          <t>70x100 1/32</t>
        </is>
      </c>
      <c r="L1365" s="23" t="inlineStr">
        <is>
          <t>мяг</t>
        </is>
      </c>
      <c r="M1365" s="23" t="n">
        <v>160</v>
      </c>
      <c r="N1365" s="23" t="n">
        <v>2020</v>
      </c>
      <c r="O1365" s="23" t="n">
        <v>76</v>
      </c>
      <c r="P1365" s="23" t="n"/>
      <c r="Q1365" s="23" t="n"/>
      <c r="R1365" s="25" t="n"/>
      <c r="S1365" s="26">
        <f>HYPERLINK("http://www.cnpol.ru/covers/19058.jpg","фото на сайте")</f>
        <v/>
      </c>
    </row>
    <row r="1366" ht="50.1" customHeight="1" s="3">
      <c r="A1366" s="23" t="n"/>
      <c r="B1366" s="24" t="inlineStr">
        <is>
          <t>18577</t>
        </is>
      </c>
      <c r="C1366" s="23" t="inlineStr">
        <is>
          <t>ЛР</t>
        </is>
      </c>
      <c r="D1366" s="23" t="inlineStr">
        <is>
          <t>Милберн М.</t>
        </is>
      </c>
      <c r="E1366" s="23" t="inlineStr">
        <is>
          <t>Невеста в подарок</t>
        </is>
      </c>
      <c r="F1366" s="23" t="n">
        <v>880</v>
      </c>
      <c r="G1366" s="23" t="n">
        <v>94</v>
      </c>
      <c r="H1366" s="23" t="n">
        <v>10</v>
      </c>
      <c r="I1366" s="23" t="n">
        <v>30</v>
      </c>
      <c r="J1366" s="23" t="inlineStr">
        <is>
          <t>978-5-227-08440-8</t>
        </is>
      </c>
      <c r="K1366" s="23" t="inlineStr">
        <is>
          <t>70x100 1/32</t>
        </is>
      </c>
      <c r="L1366" s="23" t="inlineStr">
        <is>
          <t>мяг</t>
        </is>
      </c>
      <c r="M1366" s="23" t="n">
        <v>160</v>
      </c>
      <c r="N1366" s="23" t="n">
        <v>2019</v>
      </c>
      <c r="O1366" s="23" t="n">
        <v>76</v>
      </c>
      <c r="P1366" s="23" t="n"/>
      <c r="Q1366" s="23" t="n"/>
      <c r="R1366" s="25" t="n"/>
      <c r="S1366" s="26">
        <f>HYPERLINK("http://www.cnpol.ru/covers/18577.jpg","фото на сайте")</f>
        <v/>
      </c>
    </row>
    <row r="1367" ht="50.1" customHeight="1" s="3">
      <c r="A1367" s="23" t="n"/>
      <c r="B1367" s="24" t="inlineStr">
        <is>
          <t>16356</t>
        </is>
      </c>
      <c r="C1367" s="23" t="inlineStr">
        <is>
          <t>ЛР</t>
        </is>
      </c>
      <c r="D1367" s="23" t="inlineStr">
        <is>
          <t>Пемброк С.</t>
        </is>
      </c>
      <c r="E1367" s="23" t="inlineStr">
        <is>
          <t>Невеста на замену</t>
        </is>
      </c>
      <c r="F1367" s="23" t="n">
        <v>566</v>
      </c>
      <c r="G1367" s="23" t="n">
        <v>94</v>
      </c>
      <c r="H1367" s="23" t="n">
        <v>10</v>
      </c>
      <c r="I1367" s="23" t="n">
        <v>30</v>
      </c>
      <c r="J1367" s="23" t="inlineStr">
        <is>
          <t>978-5-227-06248-2</t>
        </is>
      </c>
      <c r="K1367" s="23" t="inlineStr">
        <is>
          <t>70x100 1/32</t>
        </is>
      </c>
      <c r="L1367" s="23" t="inlineStr">
        <is>
          <t>мяг</t>
        </is>
      </c>
      <c r="M1367" s="23" t="n">
        <v>158</v>
      </c>
      <c r="N1367" s="23" t="n">
        <v>2015</v>
      </c>
      <c r="O1367" s="23" t="n">
        <v>76</v>
      </c>
      <c r="P1367" s="23" t="n"/>
      <c r="Q1367" s="23" t="n"/>
      <c r="R1367" s="25" t="n"/>
      <c r="S1367" s="26">
        <f>HYPERLINK("http://www.cnpol.ru/covers/16356.jpg","фото на сайте")</f>
        <v/>
      </c>
    </row>
    <row r="1368" ht="50.1" customHeight="1" s="3">
      <c r="A1368" s="23" t="n"/>
      <c r="B1368" s="24" t="inlineStr">
        <is>
          <t>18358</t>
        </is>
      </c>
      <c r="C1368" s="23" t="inlineStr">
        <is>
          <t>ЛР</t>
        </is>
      </c>
      <c r="D1368" s="23" t="inlineStr">
        <is>
          <t>Томас Р.</t>
        </is>
      </c>
      <c r="E1368" s="23" t="inlineStr">
        <is>
          <t>Невеста по обмену</t>
        </is>
      </c>
      <c r="F1368" s="23" t="n">
        <v>845</v>
      </c>
      <c r="G1368" s="23" t="n">
        <v>94</v>
      </c>
      <c r="H1368" s="23" t="n">
        <v>10</v>
      </c>
      <c r="I1368" s="23" t="n">
        <v>30</v>
      </c>
      <c r="J1368" s="23" t="inlineStr">
        <is>
          <t>978-5-227-08330-2</t>
        </is>
      </c>
      <c r="K1368" s="23" t="inlineStr">
        <is>
          <t>70x100 1/32</t>
        </is>
      </c>
      <c r="L1368" s="23" t="inlineStr">
        <is>
          <t>мяг</t>
        </is>
      </c>
      <c r="M1368" s="23" t="n">
        <v>160</v>
      </c>
      <c r="N1368" s="23" t="n">
        <v>2018</v>
      </c>
      <c r="O1368" s="23" t="n">
        <v>76</v>
      </c>
      <c r="P1368" s="23" t="n"/>
      <c r="Q1368" s="23" t="n"/>
      <c r="R1368" s="25" t="n"/>
      <c r="S1368" s="26">
        <f>HYPERLINK("http://www.cnpol.ru/covers/18358.jpg","фото на сайте")</f>
        <v/>
      </c>
    </row>
    <row r="1369" ht="50.1" customHeight="1" s="3">
      <c r="A1369" s="23" t="n"/>
      <c r="B1369" s="24" t="inlineStr">
        <is>
          <t>18712</t>
        </is>
      </c>
      <c r="C1369" s="23" t="inlineStr">
        <is>
          <t>ЛР</t>
        </is>
      </c>
      <c r="D1369" s="23" t="inlineStr">
        <is>
          <t>Ли М.</t>
        </is>
      </c>
      <c r="E1369" s="23" t="inlineStr">
        <is>
          <t>Невеста с доставкой на дом</t>
        </is>
      </c>
      <c r="F1369" s="23" t="n">
        <v>901</v>
      </c>
      <c r="G1369" s="23" t="n">
        <v>94</v>
      </c>
      <c r="H1369" s="23" t="n">
        <v>10</v>
      </c>
      <c r="I1369" s="23" t="n">
        <v>30</v>
      </c>
      <c r="J1369" s="23" t="inlineStr">
        <is>
          <t>978-5-227-08576-4</t>
        </is>
      </c>
      <c r="K1369" s="23" t="inlineStr">
        <is>
          <t>70x100 1/32</t>
        </is>
      </c>
      <c r="L1369" s="23" t="inlineStr">
        <is>
          <t>мяг</t>
        </is>
      </c>
      <c r="M1369" s="23" t="n">
        <v>160</v>
      </c>
      <c r="N1369" s="23" t="n">
        <v>2019</v>
      </c>
      <c r="O1369" s="23" t="n">
        <v>78</v>
      </c>
      <c r="P1369" s="23" t="n"/>
      <c r="Q1369" s="23" t="n"/>
      <c r="R1369" s="25" t="n"/>
      <c r="S1369" s="26">
        <f>HYPERLINK("http://www.cnpol.ru/covers/18712.jpg","фото на сайте")</f>
        <v/>
      </c>
    </row>
    <row r="1370" ht="50.1" customHeight="1" s="3">
      <c r="A1370" s="23" t="n"/>
      <c r="B1370" s="24" t="inlineStr">
        <is>
          <t>16048</t>
        </is>
      </c>
      <c r="C1370" s="23" t="inlineStr">
        <is>
          <t>ЛР</t>
        </is>
      </c>
      <c r="D1370" s="23" t="inlineStr">
        <is>
          <t>Лейн Э.</t>
        </is>
      </c>
      <c r="E1370" s="23" t="inlineStr">
        <is>
          <t>Невинная обманщица</t>
        </is>
      </c>
      <c r="F1370" s="23" t="n">
        <v>522</v>
      </c>
      <c r="G1370" s="23" t="n">
        <v>94</v>
      </c>
      <c r="H1370" s="23" t="n">
        <v>10</v>
      </c>
      <c r="I1370" s="23" t="n">
        <v>30</v>
      </c>
      <c r="J1370" s="23" t="inlineStr">
        <is>
          <t>978-5-227-05975-8</t>
        </is>
      </c>
      <c r="K1370" s="23" t="inlineStr">
        <is>
          <t>70x100 1/32</t>
        </is>
      </c>
      <c r="L1370" s="23" t="inlineStr">
        <is>
          <t>мяг</t>
        </is>
      </c>
      <c r="M1370" s="23" t="n">
        <v>158</v>
      </c>
      <c r="N1370" s="23" t="n">
        <v>2015</v>
      </c>
      <c r="O1370" s="23" t="n">
        <v>76</v>
      </c>
      <c r="P1370" s="23" t="n"/>
      <c r="Q1370" s="23" t="n"/>
      <c r="R1370" s="25" t="n"/>
      <c r="S1370" s="26">
        <f>HYPERLINK("http://www.cnpol.ru/covers/16048.jpg","фото на сайте")</f>
        <v/>
      </c>
    </row>
    <row r="1371" ht="50.1" customHeight="1" s="3">
      <c r="A1371" s="23" t="n"/>
      <c r="B1371" s="24" t="inlineStr">
        <is>
          <t>16754</t>
        </is>
      </c>
      <c r="C1371" s="23" t="inlineStr">
        <is>
          <t>ЛР</t>
        </is>
      </c>
      <c r="D1371" s="23" t="inlineStr">
        <is>
          <t>Уинтерз Р.</t>
        </is>
      </c>
      <c r="E1371" s="23" t="inlineStr">
        <is>
          <t>Невинная обольстительница</t>
        </is>
      </c>
      <c r="F1371" s="23" t="n">
        <v>619</v>
      </c>
      <c r="G1371" s="23" t="n">
        <v>94</v>
      </c>
      <c r="H1371" s="23" t="n">
        <v>10</v>
      </c>
      <c r="I1371" s="23" t="n">
        <v>30</v>
      </c>
      <c r="J1371" s="23" t="inlineStr">
        <is>
          <t>978-5-227-06740-1</t>
        </is>
      </c>
      <c r="K1371" s="23" t="inlineStr">
        <is>
          <t>70x100 1/32</t>
        </is>
      </c>
      <c r="L1371" s="23" t="inlineStr">
        <is>
          <t>мяг</t>
        </is>
      </c>
      <c r="M1371" s="23" t="n">
        <v>160</v>
      </c>
      <c r="N1371" s="23" t="n">
        <v>2016</v>
      </c>
      <c r="O1371" s="23" t="n">
        <v>76</v>
      </c>
      <c r="P1371" s="23" t="n"/>
      <c r="Q1371" s="23" t="n"/>
      <c r="R1371" s="25" t="n"/>
      <c r="S1371" s="26">
        <f>HYPERLINK("http://www.cnpol.ru/covers/16754.jpg","фото на сайте")</f>
        <v/>
      </c>
    </row>
    <row r="1372" ht="50.1" customHeight="1" s="3">
      <c r="A1372" s="23" t="n"/>
      <c r="B1372" s="24" t="inlineStr">
        <is>
          <t>19153</t>
        </is>
      </c>
      <c r="C1372" s="23" t="inlineStr">
        <is>
          <t>ЛР</t>
        </is>
      </c>
      <c r="D1372" s="23" t="inlineStr">
        <is>
          <t>Бранд Ф.</t>
        </is>
      </c>
      <c r="E1372" s="23" t="inlineStr">
        <is>
          <t>Невинное искушение</t>
        </is>
      </c>
      <c r="F1372" s="23" t="n">
        <v>977</v>
      </c>
      <c r="G1372" s="23" t="n">
        <v>94</v>
      </c>
      <c r="H1372" s="23" t="n">
        <v>10</v>
      </c>
      <c r="I1372" s="23" t="n">
        <v>30</v>
      </c>
      <c r="J1372" s="23" t="inlineStr">
        <is>
          <t>978-5-227-08966-3</t>
        </is>
      </c>
      <c r="K1372" s="23" t="inlineStr">
        <is>
          <t>70x100 1/32</t>
        </is>
      </c>
      <c r="L1372" s="23" t="inlineStr">
        <is>
          <t>мяг</t>
        </is>
      </c>
      <c r="M1372" s="23" t="n">
        <v>160</v>
      </c>
      <c r="N1372" s="23" t="n">
        <v>2020</v>
      </c>
      <c r="O1372" s="23" t="n">
        <v>76</v>
      </c>
      <c r="P1372" s="23" t="n"/>
      <c r="Q1372" s="23" t="n"/>
      <c r="R1372" s="25" t="n"/>
      <c r="S1372" s="26">
        <f>HYPERLINK("http://www.cnpol.ru/covers/19153.jpg","фото на сайте")</f>
        <v/>
      </c>
    </row>
    <row r="1373" ht="50.1" customHeight="1" s="3">
      <c r="A1373" s="23" t="n"/>
      <c r="B1373" s="24" t="inlineStr">
        <is>
          <t>17519</t>
        </is>
      </c>
      <c r="C1373" s="23" t="inlineStr">
        <is>
          <t>ЛР</t>
        </is>
      </c>
      <c r="D1373" s="23" t="inlineStr">
        <is>
          <t>Шеперд К.</t>
        </is>
      </c>
      <c r="E1373" s="23" t="inlineStr">
        <is>
          <t>Невозможно расстаться</t>
        </is>
      </c>
      <c r="F1373" s="23" t="n">
        <v>722</v>
      </c>
      <c r="G1373" s="23" t="n">
        <v>94</v>
      </c>
      <c r="H1373" s="23" t="n">
        <v>10</v>
      </c>
      <c r="I1373" s="23" t="n">
        <v>30</v>
      </c>
      <c r="J1373" s="23" t="inlineStr">
        <is>
          <t>978-5-227-07576-5</t>
        </is>
      </c>
      <c r="K1373" s="23" t="inlineStr">
        <is>
          <t>70x100 1/32</t>
        </is>
      </c>
      <c r="L1373" s="23" t="inlineStr">
        <is>
          <t>мяг</t>
        </is>
      </c>
      <c r="M1373" s="23" t="n">
        <v>160</v>
      </c>
      <c r="N1373" s="23" t="n">
        <v>2017</v>
      </c>
      <c r="O1373" s="23" t="n">
        <v>76</v>
      </c>
      <c r="P1373" s="23" t="n"/>
      <c r="Q1373" s="23" t="n"/>
      <c r="R1373" s="25" t="n"/>
      <c r="S1373" s="26">
        <f>HYPERLINK("http://www.cnpol.ru/covers/17519.jpg","фото на сайте")</f>
        <v/>
      </c>
    </row>
    <row r="1374" ht="50.1" customHeight="1" s="3">
      <c r="A1374" s="23" t="n"/>
      <c r="B1374" s="24" t="inlineStr">
        <is>
          <t>18908</t>
        </is>
      </c>
      <c r="C1374" s="23" t="inlineStr">
        <is>
          <t>ЛР</t>
        </is>
      </c>
      <c r="D1374" s="23" t="inlineStr">
        <is>
          <t>Райс Х.</t>
        </is>
      </c>
      <c r="E1374" s="23" t="inlineStr">
        <is>
          <t>Нежная прихоть плейбоя</t>
        </is>
      </c>
      <c r="F1374" s="23" t="n">
        <v>935</v>
      </c>
      <c r="G1374" s="23" t="n">
        <v>94</v>
      </c>
      <c r="H1374" s="23" t="n">
        <v>10</v>
      </c>
      <c r="I1374" s="23" t="n">
        <v>30</v>
      </c>
      <c r="J1374" s="23" t="inlineStr">
        <is>
          <t>978-5-227-08773-7</t>
        </is>
      </c>
      <c r="K1374" s="23" t="inlineStr">
        <is>
          <t>70x100 1/32</t>
        </is>
      </c>
      <c r="L1374" s="23" t="inlineStr">
        <is>
          <t>мяг</t>
        </is>
      </c>
      <c r="M1374" s="23" t="n">
        <v>160</v>
      </c>
      <c r="N1374" s="23" t="n">
        <v>2019</v>
      </c>
      <c r="O1374" s="23" t="n">
        <v>78</v>
      </c>
      <c r="P1374" s="23" t="n"/>
      <c r="Q1374" s="23" t="n"/>
      <c r="R1374" s="25" t="n"/>
      <c r="S1374" s="26">
        <f>HYPERLINK("http://www.cnpol.ru/covers/18908.jpg","фото на сайте")</f>
        <v/>
      </c>
    </row>
    <row r="1375" ht="50.1" customHeight="1" s="3">
      <c r="A1375" s="23" t="n"/>
      <c r="B1375" s="24" t="inlineStr">
        <is>
          <t>15310</t>
        </is>
      </c>
      <c r="C1375" s="23" t="inlineStr">
        <is>
          <t>ЛР</t>
        </is>
      </c>
      <c r="D1375" s="23" t="inlineStr">
        <is>
          <t>Мортимер К.</t>
        </is>
      </c>
      <c r="E1375" s="23" t="inlineStr">
        <is>
          <t>Нежное сердце</t>
        </is>
      </c>
      <c r="F1375" s="23" t="n">
        <v>425</v>
      </c>
      <c r="G1375" s="23" t="n">
        <v>94</v>
      </c>
      <c r="H1375" s="23" t="n">
        <v>10</v>
      </c>
      <c r="I1375" s="23" t="n">
        <v>30</v>
      </c>
      <c r="J1375" s="23" t="inlineStr">
        <is>
          <t>978-5-227-05286-5</t>
        </is>
      </c>
      <c r="K1375" s="23" t="inlineStr">
        <is>
          <t>70x100 1/32</t>
        </is>
      </c>
      <c r="L1375" s="23" t="inlineStr">
        <is>
          <t>мяг</t>
        </is>
      </c>
      <c r="M1375" s="23" t="n">
        <v>158</v>
      </c>
      <c r="N1375" s="23" t="n">
        <v>2014</v>
      </c>
      <c r="O1375" s="23" t="n">
        <v>78</v>
      </c>
      <c r="P1375" s="23" t="n"/>
      <c r="Q1375" s="23" t="n"/>
      <c r="R1375" s="25" t="n"/>
      <c r="S1375" s="26">
        <f>HYPERLINK("http://www.cnpol.ru/covers/15310.jpg","фото на сайте")</f>
        <v/>
      </c>
    </row>
    <row r="1376" ht="50.1" customHeight="1" s="3">
      <c r="A1376" s="23" t="n"/>
      <c r="B1376" s="24" t="inlineStr">
        <is>
          <t>17350</t>
        </is>
      </c>
      <c r="C1376" s="23" t="inlineStr">
        <is>
          <t>ЛР</t>
        </is>
      </c>
      <c r="D1376" s="23" t="inlineStr">
        <is>
          <t>Вуд Джосс</t>
        </is>
      </c>
      <c r="E1376" s="23" t="inlineStr">
        <is>
          <t>Нежность твоих объятий</t>
        </is>
      </c>
      <c r="F1376" s="23" t="n">
        <v>698</v>
      </c>
      <c r="G1376" s="23" t="n">
        <v>94</v>
      </c>
      <c r="H1376" s="23" t="n">
        <v>10</v>
      </c>
      <c r="I1376" s="23" t="n">
        <v>30</v>
      </c>
      <c r="J1376" s="23" t="inlineStr">
        <is>
          <t>978-5-227-07314-3</t>
        </is>
      </c>
      <c r="K1376" s="23" t="inlineStr">
        <is>
          <t>70x100 1/32</t>
        </is>
      </c>
      <c r="L1376" s="23" t="inlineStr">
        <is>
          <t>мяг</t>
        </is>
      </c>
      <c r="M1376" s="23" t="n">
        <v>160</v>
      </c>
      <c r="N1376" s="23" t="n">
        <v>2017</v>
      </c>
      <c r="O1376" s="23" t="n">
        <v>76</v>
      </c>
      <c r="P1376" s="23" t="n"/>
      <c r="Q1376" s="23" t="n"/>
      <c r="R1376" s="25" t="n"/>
      <c r="S1376" s="26">
        <f>HYPERLINK("http://www.cnpol.ru/covers/17350.jpg","фото на сайте")</f>
        <v/>
      </c>
    </row>
    <row r="1377" ht="50.1" customHeight="1" s="3">
      <c r="A1377" s="23" t="n"/>
      <c r="B1377" s="24" t="inlineStr">
        <is>
          <t>20954</t>
        </is>
      </c>
      <c r="C1377" s="23" t="inlineStr">
        <is>
          <t>ЛР</t>
        </is>
      </c>
      <c r="D1377" s="23" t="inlineStr">
        <is>
          <t>Пемброк С.</t>
        </is>
      </c>
      <c r="E1377" s="23" t="inlineStr">
        <is>
          <t>Нежный вечер в Исландии</t>
        </is>
      </c>
      <c r="F1377" s="23" t="n">
        <v>1162</v>
      </c>
      <c r="G1377" s="23" t="n">
        <v>94</v>
      </c>
      <c r="H1377" s="23" t="n">
        <v>10</v>
      </c>
      <c r="I1377" s="23" t="n">
        <v>30</v>
      </c>
      <c r="J1377" s="23" t="inlineStr">
        <is>
          <t>978-5-227-10458-8</t>
        </is>
      </c>
      <c r="K1377" s="23" t="inlineStr">
        <is>
          <t>70x100 1/32</t>
        </is>
      </c>
      <c r="L1377" s="23" t="inlineStr">
        <is>
          <t>мяг</t>
        </is>
      </c>
      <c r="M1377" s="23" t="n">
        <v>159</v>
      </c>
      <c r="N1377" s="23" t="n">
        <v>2024</v>
      </c>
      <c r="O1377" s="23" t="n">
        <v>76</v>
      </c>
      <c r="P1377" s="23" t="n"/>
      <c r="Q1377" s="23" t="n"/>
      <c r="R1377" s="25" t="inlineStr">
        <is>
          <t>Винтер и Джош, звездная супружеская чета и любимцы публики, расстались к разочарованию поклонников, но остались в центре внимания блогеров и прессы. По приглашению их близкого друга Лиама, владельца фешенебельного спа-отеля, оба приезжают в Исландию на открытие курорта, не ведая о встрече. Прошло пять лет после развода, но магия любви снова захватила их...</t>
        </is>
      </c>
      <c r="S1377" s="26">
        <f>HYPERLINK("http://www.cnpol.ru/covers/20954.jpg","фото на сайте")</f>
        <v/>
      </c>
    </row>
    <row r="1378" ht="50.1" customHeight="1" s="3">
      <c r="A1378" s="23" t="n"/>
      <c r="B1378" s="24" t="inlineStr">
        <is>
          <t>17542</t>
        </is>
      </c>
      <c r="C1378" s="23" t="inlineStr">
        <is>
          <t>ЛР</t>
        </is>
      </c>
      <c r="D1378" s="23" t="inlineStr">
        <is>
          <t>Кендрик Ш.</t>
        </is>
      </c>
      <c r="E1378" s="23" t="inlineStr">
        <is>
          <t>Нежный шантаж</t>
        </is>
      </c>
      <c r="F1378" s="23" t="n">
        <v>726</v>
      </c>
      <c r="G1378" s="23" t="n">
        <v>94</v>
      </c>
      <c r="H1378" s="23" t="n">
        <v>10</v>
      </c>
      <c r="I1378" s="23" t="n">
        <v>30</v>
      </c>
      <c r="J1378" s="23" t="inlineStr">
        <is>
          <t>978-5-227-07580-2</t>
        </is>
      </c>
      <c r="K1378" s="23" t="inlineStr">
        <is>
          <t>70x100 1/32</t>
        </is>
      </c>
      <c r="L1378" s="23" t="inlineStr">
        <is>
          <t>мяг</t>
        </is>
      </c>
      <c r="M1378" s="23" t="n">
        <v>160</v>
      </c>
      <c r="N1378" s="23" t="n">
        <v>2017</v>
      </c>
      <c r="O1378" s="23" t="n">
        <v>76</v>
      </c>
      <c r="P1378" s="23" t="n"/>
      <c r="Q1378" s="23" t="n"/>
      <c r="R1378" s="25" t="n"/>
      <c r="S1378" s="26">
        <f>HYPERLINK("http://www.cnpol.ru/covers/17542.jpg","фото на сайте")</f>
        <v/>
      </c>
    </row>
    <row r="1379" ht="50.1" customHeight="1" s="3">
      <c r="A1379" s="23" t="n"/>
      <c r="B1379" s="24" t="inlineStr">
        <is>
          <t>16049</t>
        </is>
      </c>
      <c r="C1379" s="23" t="inlineStr">
        <is>
          <t>ЛР</t>
        </is>
      </c>
      <c r="D1379" s="23" t="inlineStr">
        <is>
          <t>Шеперд К.</t>
        </is>
      </c>
      <c r="E1379" s="23" t="inlineStr">
        <is>
          <t>Незабываемое лето</t>
        </is>
      </c>
      <c r="F1379" s="23" t="n">
        <v>523</v>
      </c>
      <c r="G1379" s="23" t="n">
        <v>94</v>
      </c>
      <c r="H1379" s="23" t="n">
        <v>10</v>
      </c>
      <c r="I1379" s="23" t="n">
        <v>30</v>
      </c>
      <c r="J1379" s="23" t="inlineStr">
        <is>
          <t>978-5-227-05976-5</t>
        </is>
      </c>
      <c r="K1379" s="23" t="inlineStr">
        <is>
          <t>70x100 1/32</t>
        </is>
      </c>
      <c r="L1379" s="23" t="inlineStr">
        <is>
          <t>мяг</t>
        </is>
      </c>
      <c r="M1379" s="23" t="n">
        <v>158</v>
      </c>
      <c r="N1379" s="23" t="n">
        <v>2015</v>
      </c>
      <c r="O1379" s="23" t="n">
        <v>76</v>
      </c>
      <c r="P1379" s="23" t="n"/>
      <c r="Q1379" s="23" t="n"/>
      <c r="R1379" s="25" t="n"/>
      <c r="S1379" s="26">
        <f>HYPERLINK("http://www.cnpol.ru/covers/16049.jpg","фото на сайте")</f>
        <v/>
      </c>
    </row>
    <row r="1380" ht="50.1" customHeight="1" s="3">
      <c r="A1380" s="23" t="n"/>
      <c r="B1380" s="24" t="inlineStr">
        <is>
          <t>18869</t>
        </is>
      </c>
      <c r="C1380" s="23" t="inlineStr">
        <is>
          <t>ЛР</t>
        </is>
      </c>
      <c r="D1380" s="23" t="inlineStr">
        <is>
          <t>Пэмми Т.</t>
        </is>
      </c>
      <c r="E1380" s="23" t="inlineStr">
        <is>
          <t>Незабываемое примирение</t>
        </is>
      </c>
      <c r="F1380" s="23" t="n">
        <v>927</v>
      </c>
      <c r="G1380" s="23" t="n">
        <v>94</v>
      </c>
      <c r="H1380" s="23" t="n">
        <v>10</v>
      </c>
      <c r="I1380" s="23" t="n">
        <v>30</v>
      </c>
      <c r="J1380" s="23" t="inlineStr">
        <is>
          <t>978-5-227-08729-4</t>
        </is>
      </c>
      <c r="K1380" s="23" t="inlineStr">
        <is>
          <t>70x100 1/32</t>
        </is>
      </c>
      <c r="L1380" s="23" t="inlineStr">
        <is>
          <t>мяг</t>
        </is>
      </c>
      <c r="M1380" s="23" t="n">
        <v>160</v>
      </c>
      <c r="N1380" s="23" t="n">
        <v>2019</v>
      </c>
      <c r="O1380" s="23" t="n">
        <v>76</v>
      </c>
      <c r="P1380" s="23" t="n"/>
      <c r="Q1380" s="23" t="n"/>
      <c r="R1380" s="25" t="n"/>
      <c r="S1380" s="26">
        <f>HYPERLINK("http://www.cnpol.ru/covers/18869.jpg","фото на сайте")</f>
        <v/>
      </c>
    </row>
    <row r="1381" ht="50.1" customHeight="1" s="3">
      <c r="A1381" s="23" t="n"/>
      <c r="B1381" s="24" t="inlineStr">
        <is>
          <t>19423</t>
        </is>
      </c>
      <c r="C1381" s="23" t="inlineStr">
        <is>
          <t>ЛР</t>
        </is>
      </c>
      <c r="D1381" s="23" t="inlineStr">
        <is>
          <t>Гилмор Д.</t>
        </is>
      </c>
      <c r="E1381" s="23" t="inlineStr">
        <is>
          <t>Незабываемый летний роман</t>
        </is>
      </c>
      <c r="F1381" s="23" t="n">
        <v>1007</v>
      </c>
      <c r="G1381" s="23" t="n">
        <v>94</v>
      </c>
      <c r="H1381" s="23" t="n">
        <v>10</v>
      </c>
      <c r="I1381" s="23" t="n">
        <v>30</v>
      </c>
      <c r="J1381" s="23" t="inlineStr">
        <is>
          <t>978-5-227-09111-6</t>
        </is>
      </c>
      <c r="K1381" s="23" t="inlineStr">
        <is>
          <t>70x100 1/32</t>
        </is>
      </c>
      <c r="L1381" s="23" t="inlineStr">
        <is>
          <t>мяг</t>
        </is>
      </c>
      <c r="M1381" s="23" t="n">
        <v>160</v>
      </c>
      <c r="N1381" s="23" t="n">
        <v>2020</v>
      </c>
      <c r="O1381" s="23" t="n">
        <v>76</v>
      </c>
      <c r="P1381" s="23" t="n"/>
      <c r="Q1381" s="23" t="n"/>
      <c r="R1381" s="25" t="n"/>
      <c r="S1381" s="26">
        <f>HYPERLINK("http://www.cnpol.ru/covers/19423.jpg","фото на сайте")</f>
        <v/>
      </c>
    </row>
    <row r="1382" ht="50.1" customHeight="1" s="3">
      <c r="A1382" s="23" t="n"/>
      <c r="B1382" s="24" t="inlineStr">
        <is>
          <t>18046</t>
        </is>
      </c>
      <c r="C1382" s="23" t="inlineStr">
        <is>
          <t>ЛР</t>
        </is>
      </c>
      <c r="D1382" s="23" t="inlineStr">
        <is>
          <t>Пемброк С.</t>
        </is>
      </c>
      <c r="E1382" s="23" t="inlineStr">
        <is>
          <t>Незабываемый танец с шафером</t>
        </is>
      </c>
      <c r="F1382" s="23" t="n">
        <v>800</v>
      </c>
      <c r="G1382" s="23" t="n">
        <v>94</v>
      </c>
      <c r="H1382" s="23" t="n">
        <v>10</v>
      </c>
      <c r="I1382" s="23" t="n">
        <v>30</v>
      </c>
      <c r="J1382" s="23" t="inlineStr">
        <is>
          <t>978-5-227-08087-5</t>
        </is>
      </c>
      <c r="K1382" s="23" t="inlineStr">
        <is>
          <t>70x100 1/32</t>
        </is>
      </c>
      <c r="L1382" s="23" t="inlineStr">
        <is>
          <t>мяг</t>
        </is>
      </c>
      <c r="M1382" s="23" t="n">
        <v>160</v>
      </c>
      <c r="N1382" s="23" t="n">
        <v>2018</v>
      </c>
      <c r="O1382" s="23" t="n">
        <v>76</v>
      </c>
      <c r="P1382" s="23" t="n"/>
      <c r="Q1382" s="23" t="n"/>
      <c r="R1382" s="25" t="n"/>
      <c r="S1382" s="26">
        <f>HYPERLINK("http://www.cnpol.ru/covers/18046.jpg","фото на сайте")</f>
        <v/>
      </c>
    </row>
    <row r="1383" ht="50.1" customHeight="1" s="3">
      <c r="A1383" s="23" t="n"/>
      <c r="B1383" s="24" t="inlineStr">
        <is>
          <t>16214</t>
        </is>
      </c>
      <c r="C1383" s="23" t="inlineStr">
        <is>
          <t>ЛР</t>
        </is>
      </c>
      <c r="D1383" s="23" t="inlineStr">
        <is>
          <t>Лейн С.</t>
        </is>
      </c>
      <c r="E1383" s="23" t="inlineStr">
        <is>
          <t>Незапланированное счастье</t>
        </is>
      </c>
      <c r="F1383" s="23" t="n">
        <v>547</v>
      </c>
      <c r="G1383" s="23" t="n">
        <v>94</v>
      </c>
      <c r="H1383" s="23" t="n">
        <v>10</v>
      </c>
      <c r="I1383" s="23" t="n">
        <v>30</v>
      </c>
      <c r="J1383" s="23" t="inlineStr">
        <is>
          <t>978-5-227-06146-1</t>
        </is>
      </c>
      <c r="K1383" s="23" t="inlineStr">
        <is>
          <t>70x100 1/32</t>
        </is>
      </c>
      <c r="L1383" s="23" t="inlineStr">
        <is>
          <t>мяг</t>
        </is>
      </c>
      <c r="M1383" s="23" t="n">
        <v>158</v>
      </c>
      <c r="N1383" s="23" t="n">
        <v>2015</v>
      </c>
      <c r="O1383" s="23" t="n">
        <v>76</v>
      </c>
      <c r="P1383" s="23" t="n"/>
      <c r="Q1383" s="23" t="n"/>
      <c r="R1383" s="25" t="n"/>
      <c r="S1383" s="26">
        <f>HYPERLINK("http://www.cnpol.ru/covers/16214.jpg","фото на сайте")</f>
        <v/>
      </c>
    </row>
    <row r="1384" ht="50.1" customHeight="1" s="3">
      <c r="A1384" s="23" t="n"/>
      <c r="B1384" s="24" t="inlineStr">
        <is>
          <t>18826</t>
        </is>
      </c>
      <c r="C1384" s="23" t="inlineStr">
        <is>
          <t>ЛР</t>
        </is>
      </c>
      <c r="D1384" s="23" t="inlineStr">
        <is>
          <t>Кенан Л.</t>
        </is>
      </c>
      <c r="E1384" s="23" t="inlineStr">
        <is>
          <t>Незнакомка в роли жены</t>
        </is>
      </c>
      <c r="F1384" s="23" t="n">
        <v>919</v>
      </c>
      <c r="G1384" s="23" t="n">
        <v>94</v>
      </c>
      <c r="H1384" s="23" t="n">
        <v>10</v>
      </c>
      <c r="I1384" s="23" t="n">
        <v>30</v>
      </c>
      <c r="J1384" s="23" t="inlineStr">
        <is>
          <t>978-5-227-08696-9</t>
        </is>
      </c>
      <c r="K1384" s="23" t="inlineStr">
        <is>
          <t>70x100 1/32</t>
        </is>
      </c>
      <c r="L1384" s="23" t="inlineStr">
        <is>
          <t>мяг</t>
        </is>
      </c>
      <c r="M1384" s="23" t="n">
        <v>160</v>
      </c>
      <c r="N1384" s="23" t="n">
        <v>2019</v>
      </c>
      <c r="O1384" s="23" t="n">
        <v>76</v>
      </c>
      <c r="P1384" s="23" t="n"/>
      <c r="Q1384" s="23" t="n"/>
      <c r="R1384" s="25" t="n"/>
      <c r="S1384" s="26">
        <f>HYPERLINK("http://www.cnpol.ru/covers/18826.jpg","фото на сайте")</f>
        <v/>
      </c>
    </row>
    <row r="1385" ht="50.1" customHeight="1" s="3">
      <c r="A1385" s="23" t="n"/>
      <c r="B1385" s="24" t="inlineStr">
        <is>
          <t>19881</t>
        </is>
      </c>
      <c r="C1385" s="23" t="inlineStr">
        <is>
          <t>ЛР</t>
        </is>
      </c>
      <c r="D1385" s="23" t="inlineStr">
        <is>
          <t>Вуд Джосс</t>
        </is>
      </c>
      <c r="E1385" s="23" t="inlineStr">
        <is>
          <t>Неизбежное искушение</t>
        </is>
      </c>
      <c r="F1385" s="23" t="n">
        <v>1057</v>
      </c>
      <c r="G1385" s="23" t="n">
        <v>94</v>
      </c>
      <c r="H1385" s="23" t="n">
        <v>10</v>
      </c>
      <c r="I1385" s="23" t="n">
        <v>30</v>
      </c>
      <c r="J1385" s="23" t="inlineStr">
        <is>
          <t>978-5-227-09441-4</t>
        </is>
      </c>
      <c r="K1385" s="23" t="inlineStr">
        <is>
          <t>70x100 1/32</t>
        </is>
      </c>
      <c r="L1385" s="23" t="inlineStr">
        <is>
          <t>мяг</t>
        </is>
      </c>
      <c r="M1385" s="23" t="n">
        <v>159</v>
      </c>
      <c r="N1385" s="23" t="n">
        <v>2021</v>
      </c>
      <c r="O1385" s="23" t="n">
        <v>76</v>
      </c>
      <c r="P1385" s="23" t="n"/>
      <c r="Q1385" s="23" t="n"/>
      <c r="R1385" s="25" t="n"/>
      <c r="S1385" s="26">
        <f>HYPERLINK("http://www.cnpol.ru/covers/19881.jpg","фото на сайте")</f>
        <v/>
      </c>
    </row>
    <row r="1386" ht="50.1" customHeight="1" s="3">
      <c r="A1386" s="23" t="n"/>
      <c r="B1386" s="24" t="inlineStr">
        <is>
          <t>18461</t>
        </is>
      </c>
      <c r="C1386" s="23" t="inlineStr">
        <is>
          <t>ЛР</t>
        </is>
      </c>
      <c r="D1386" s="23" t="inlineStr">
        <is>
          <t>Хейворд Дженнифер</t>
        </is>
      </c>
      <c r="E1386" s="23" t="inlineStr">
        <is>
          <t>Неизведанные наслаждения</t>
        </is>
      </c>
      <c r="F1386" s="23" t="n">
        <v>862</v>
      </c>
      <c r="G1386" s="23" t="n">
        <v>94</v>
      </c>
      <c r="H1386" s="23" t="n">
        <v>10</v>
      </c>
      <c r="I1386" s="23" t="n">
        <v>30</v>
      </c>
      <c r="J1386" s="23" t="inlineStr">
        <is>
          <t>978-5-227-08388-3</t>
        </is>
      </c>
      <c r="K1386" s="23" t="inlineStr">
        <is>
          <t>70x100 1/32</t>
        </is>
      </c>
      <c r="L1386" s="23" t="inlineStr">
        <is>
          <t>мяг</t>
        </is>
      </c>
      <c r="M1386" s="23" t="n">
        <v>160</v>
      </c>
      <c r="N1386" s="23" t="n">
        <v>2019</v>
      </c>
      <c r="O1386" s="23" t="n">
        <v>76</v>
      </c>
      <c r="P1386" s="23" t="n"/>
      <c r="Q1386" s="23" t="n"/>
      <c r="R1386" s="25" t="n"/>
      <c r="S1386" s="26">
        <f>HYPERLINK("http://www.cnpol.ru/covers/18461.jpg","фото на сайте")</f>
        <v/>
      </c>
    </row>
    <row r="1387" ht="50.1" customHeight="1" s="3">
      <c r="A1387" s="23" t="n"/>
      <c r="B1387" s="24" t="inlineStr">
        <is>
          <t>15678</t>
        </is>
      </c>
      <c r="C1387" s="23" t="inlineStr">
        <is>
          <t>ЛР</t>
        </is>
      </c>
      <c r="D1387" s="23" t="inlineStr">
        <is>
          <t>Макклон М.</t>
        </is>
      </c>
      <c r="E1387" s="23" t="inlineStr">
        <is>
          <t>Немного волшебства</t>
        </is>
      </c>
      <c r="F1387" s="23" t="n">
        <v>476</v>
      </c>
      <c r="G1387" s="23" t="n">
        <v>94</v>
      </c>
      <c r="H1387" s="23" t="n">
        <v>10</v>
      </c>
      <c r="I1387" s="23" t="n">
        <v>30</v>
      </c>
      <c r="J1387" s="23" t="inlineStr">
        <is>
          <t>978-5-227-05644-3</t>
        </is>
      </c>
      <c r="K1387" s="23" t="inlineStr">
        <is>
          <t>70x100 1/32</t>
        </is>
      </c>
      <c r="L1387" s="23" t="inlineStr">
        <is>
          <t>мяг</t>
        </is>
      </c>
      <c r="M1387" s="23" t="n">
        <v>158</v>
      </c>
      <c r="N1387" s="23" t="n">
        <v>2014</v>
      </c>
      <c r="O1387" s="23" t="n">
        <v>76</v>
      </c>
      <c r="P1387" s="23" t="n"/>
      <c r="Q1387" s="23" t="n"/>
      <c r="R1387" s="25" t="n"/>
      <c r="S1387" s="26">
        <f>HYPERLINK("http://www.cnpol.ru/covers/15678.jpg","фото на сайте")</f>
        <v/>
      </c>
    </row>
    <row r="1388" ht="50.1" customHeight="1" s="3">
      <c r="A1388" s="23" t="n"/>
      <c r="B1388" s="24" t="inlineStr">
        <is>
          <t>19419</t>
        </is>
      </c>
      <c r="C1388" s="23" t="inlineStr">
        <is>
          <t>ЛР</t>
        </is>
      </c>
      <c r="D1388" s="23" t="inlineStr">
        <is>
          <t>Томас Р.</t>
        </is>
      </c>
      <c r="E1388" s="23" t="inlineStr">
        <is>
          <t>Неожиданное влечение</t>
        </is>
      </c>
      <c r="F1388" s="23" t="n">
        <v>1005</v>
      </c>
      <c r="G1388" s="23" t="n">
        <v>94</v>
      </c>
      <c r="H1388" s="23" t="n">
        <v>10</v>
      </c>
      <c r="I1388" s="23" t="n">
        <v>30</v>
      </c>
      <c r="J1388" s="23" t="inlineStr">
        <is>
          <t>978-5-227-09109-3</t>
        </is>
      </c>
      <c r="K1388" s="23" t="inlineStr">
        <is>
          <t>70x100 1/32</t>
        </is>
      </c>
      <c r="L1388" s="23" t="inlineStr">
        <is>
          <t>мяг</t>
        </is>
      </c>
      <c r="M1388" s="23" t="n">
        <v>160</v>
      </c>
      <c r="N1388" s="23" t="n">
        <v>2020</v>
      </c>
      <c r="O1388" s="23" t="n">
        <v>76</v>
      </c>
      <c r="P1388" s="23" t="n"/>
      <c r="Q1388" s="23" t="n"/>
      <c r="R1388" s="25" t="n"/>
      <c r="S1388" s="26">
        <f>HYPERLINK("http://www.cnpol.ru/covers/19419.jpg","фото на сайте")</f>
        <v/>
      </c>
    </row>
    <row r="1389" ht="50.1" customHeight="1" s="3">
      <c r="A1389" s="23" t="n"/>
      <c r="B1389" s="24" t="inlineStr">
        <is>
          <t>19557</t>
        </is>
      </c>
      <c r="C1389" s="23" t="inlineStr">
        <is>
          <t>ЛР</t>
        </is>
      </c>
      <c r="D1389" s="23" t="inlineStr">
        <is>
          <t>Уильямс А.</t>
        </is>
      </c>
      <c r="E1389" s="23" t="inlineStr">
        <is>
          <t>Неожиданное замужество</t>
        </is>
      </c>
      <c r="F1389" s="23" t="n">
        <v>1022</v>
      </c>
      <c r="G1389" s="23" t="n">
        <v>94</v>
      </c>
      <c r="H1389" s="23" t="n">
        <v>10</v>
      </c>
      <c r="I1389" s="23" t="n">
        <v>30</v>
      </c>
      <c r="J1389" s="23" t="inlineStr">
        <is>
          <t>978-5-227-09181-9</t>
        </is>
      </c>
      <c r="K1389" s="23" t="inlineStr">
        <is>
          <t>70x100 1/32</t>
        </is>
      </c>
      <c r="L1389" s="23" t="inlineStr">
        <is>
          <t>мяг</t>
        </is>
      </c>
      <c r="M1389" s="23" t="n">
        <v>160</v>
      </c>
      <c r="N1389" s="23" t="n">
        <v>2021</v>
      </c>
      <c r="O1389" s="23" t="n">
        <v>76</v>
      </c>
      <c r="P1389" s="23" t="n"/>
      <c r="Q1389" s="23" t="n"/>
      <c r="R1389" s="25" t="n"/>
      <c r="S1389" s="26">
        <f>HYPERLINK("http://www.cnpol.ru/covers/19557.jpg","фото на сайте")</f>
        <v/>
      </c>
    </row>
    <row r="1390" ht="50.1" customHeight="1" s="3">
      <c r="A1390" s="23" t="n"/>
      <c r="B1390" s="24" t="inlineStr">
        <is>
          <t>19089</t>
        </is>
      </c>
      <c r="C1390" s="23" t="inlineStr">
        <is>
          <t>ЛР</t>
        </is>
      </c>
      <c r="D1390" s="23" t="inlineStr">
        <is>
          <t>Портер Д.</t>
        </is>
      </c>
      <c r="E1390" s="23" t="inlineStr">
        <is>
          <t>Неожиданный брак</t>
        </is>
      </c>
      <c r="F1390" s="23" t="n">
        <v>965</v>
      </c>
      <c r="G1390" s="23" t="n">
        <v>94</v>
      </c>
      <c r="H1390" s="23" t="n">
        <v>10</v>
      </c>
      <c r="I1390" s="23" t="n">
        <v>30</v>
      </c>
      <c r="J1390" s="23" t="inlineStr">
        <is>
          <t>978-5-227-08937-3</t>
        </is>
      </c>
      <c r="K1390" s="23" t="inlineStr">
        <is>
          <t>70x100 1/32</t>
        </is>
      </c>
      <c r="L1390" s="23" t="inlineStr">
        <is>
          <t>мяг</t>
        </is>
      </c>
      <c r="M1390" s="23" t="n">
        <v>160</v>
      </c>
      <c r="N1390" s="23" t="n">
        <v>2020</v>
      </c>
      <c r="O1390" s="23" t="n">
        <v>76</v>
      </c>
      <c r="P1390" s="23" t="n"/>
      <c r="Q1390" s="23" t="n"/>
      <c r="R1390" s="25" t="n"/>
      <c r="S1390" s="26">
        <f>HYPERLINK("http://www.cnpol.ru/covers/19089.jpg","фото на сайте")</f>
        <v/>
      </c>
    </row>
    <row r="1391" ht="50.1" customHeight="1" s="3">
      <c r="A1391" s="23" t="n"/>
      <c r="B1391" s="24" t="inlineStr">
        <is>
          <t>16224</t>
        </is>
      </c>
      <c r="C1391" s="23" t="inlineStr">
        <is>
          <t>ЛР</t>
        </is>
      </c>
      <c r="D1391" s="23" t="inlineStr">
        <is>
          <t>Уоллис Бадж</t>
        </is>
      </c>
      <c r="E1391" s="23" t="inlineStr">
        <is>
          <t>Неожиданный медовый месяц</t>
        </is>
      </c>
      <c r="F1391" s="23" t="n">
        <v>550</v>
      </c>
      <c r="G1391" s="23" t="n">
        <v>94</v>
      </c>
      <c r="H1391" s="23" t="n">
        <v>10</v>
      </c>
      <c r="I1391" s="23" t="n">
        <v>30</v>
      </c>
      <c r="J1391" s="23" t="inlineStr">
        <is>
          <t>978-5-227-06240-6</t>
        </is>
      </c>
      <c r="K1391" s="23" t="inlineStr">
        <is>
          <t>70x100 1/32</t>
        </is>
      </c>
      <c r="L1391" s="23" t="inlineStr">
        <is>
          <t>мяг</t>
        </is>
      </c>
      <c r="M1391" s="23" t="n">
        <v>158</v>
      </c>
      <c r="N1391" s="23" t="n">
        <v>2015</v>
      </c>
      <c r="O1391" s="23" t="n">
        <v>76</v>
      </c>
      <c r="P1391" s="23" t="n"/>
      <c r="Q1391" s="23" t="n"/>
      <c r="R1391" s="25" t="n"/>
      <c r="S1391" s="26">
        <f>HYPERLINK("http://www.cnpol.ru/covers/16224.jpg","фото на сайте")</f>
        <v/>
      </c>
    </row>
    <row r="1392" ht="50.1" customHeight="1" s="3">
      <c r="A1392" s="23" t="n"/>
      <c r="B1392" s="24" t="inlineStr">
        <is>
          <t>17115</t>
        </is>
      </c>
      <c r="C1392" s="23" t="inlineStr">
        <is>
          <t>ЛР</t>
        </is>
      </c>
      <c r="D1392" s="23" t="inlineStr">
        <is>
          <t>Стивенс С.</t>
        </is>
      </c>
      <c r="E1392" s="23" t="inlineStr">
        <is>
          <t>Неотразимый грубиян</t>
        </is>
      </c>
      <c r="F1392" s="23" t="n">
        <v>665</v>
      </c>
      <c r="G1392" s="23" t="n">
        <v>94</v>
      </c>
      <c r="H1392" s="23" t="n">
        <v>10</v>
      </c>
      <c r="I1392" s="23" t="n">
        <v>30</v>
      </c>
      <c r="J1392" s="23" t="inlineStr">
        <is>
          <t>978-5-227-07074-6</t>
        </is>
      </c>
      <c r="K1392" s="23" t="inlineStr">
        <is>
          <t>70x100 1/32</t>
        </is>
      </c>
      <c r="L1392" s="23" t="inlineStr">
        <is>
          <t>мяг</t>
        </is>
      </c>
      <c r="M1392" s="23" t="n">
        <v>160</v>
      </c>
      <c r="N1392" s="23" t="n">
        <v>2016</v>
      </c>
      <c r="O1392" s="23" t="n">
        <v>76</v>
      </c>
      <c r="P1392" s="23" t="n"/>
      <c r="Q1392" s="23" t="n"/>
      <c r="R1392" s="25" t="n"/>
      <c r="S1392" s="26">
        <f>HYPERLINK("http://www.cnpol.ru/covers/17115.jpg","фото на сайте")</f>
        <v/>
      </c>
    </row>
    <row r="1393" ht="50.1" customHeight="1" s="3">
      <c r="A1393" s="23" t="n"/>
      <c r="B1393" s="24" t="inlineStr">
        <is>
          <t>20119</t>
        </is>
      </c>
      <c r="C1393" s="23" t="inlineStr">
        <is>
          <t>ЛР</t>
        </is>
      </c>
      <c r="D1393" s="23" t="inlineStr">
        <is>
          <t>Фэй Дж.</t>
        </is>
      </c>
      <c r="E1393" s="23" t="inlineStr">
        <is>
          <t>Непокорный холостяк</t>
        </is>
      </c>
      <c r="F1393" s="23" t="n">
        <v>1083</v>
      </c>
      <c r="G1393" s="23" t="n">
        <v>94</v>
      </c>
      <c r="H1393" s="23" t="n">
        <v>10</v>
      </c>
      <c r="I1393" s="23" t="n">
        <v>30</v>
      </c>
      <c r="J1393" s="23" t="inlineStr">
        <is>
          <t>978-5-227-09601-2</t>
        </is>
      </c>
      <c r="K1393" s="23" t="inlineStr">
        <is>
          <t>70x100 1/32</t>
        </is>
      </c>
      <c r="L1393" s="23" t="inlineStr">
        <is>
          <t>мяг</t>
        </is>
      </c>
      <c r="M1393" s="23" t="n">
        <v>159</v>
      </c>
      <c r="N1393" s="23" t="n">
        <v>2022</v>
      </c>
      <c r="O1393" s="23" t="n">
        <v>76</v>
      </c>
      <c r="P1393" s="23" t="n"/>
      <c r="Q1393" s="23" t="n"/>
      <c r="R1393" s="25" t="n"/>
      <c r="S1393" s="26">
        <f>HYPERLINK("http://www.cnpol.ru/covers/20119.jpg","фото на сайте")</f>
        <v/>
      </c>
    </row>
    <row r="1394" ht="50.1" customHeight="1" s="3">
      <c r="A1394" s="23" t="n"/>
      <c r="B1394" s="24" t="inlineStr">
        <is>
          <t>16859</t>
        </is>
      </c>
      <c r="C1394" s="23" t="inlineStr">
        <is>
          <t>ЛР</t>
        </is>
      </c>
      <c r="D1394" s="23" t="inlineStr">
        <is>
          <t>Хьюит К.</t>
        </is>
      </c>
      <c r="E1394" s="23" t="inlineStr">
        <is>
          <t>Непреодолимое влечение</t>
        </is>
      </c>
      <c r="F1394" s="23" t="n">
        <v>630</v>
      </c>
      <c r="G1394" s="23" t="n">
        <v>94</v>
      </c>
      <c r="H1394" s="23" t="n">
        <v>10</v>
      </c>
      <c r="I1394" s="23" t="n">
        <v>30</v>
      </c>
      <c r="J1394" s="23" t="inlineStr">
        <is>
          <t>978-5-227-06821-7</t>
        </is>
      </c>
      <c r="K1394" s="23" t="inlineStr">
        <is>
          <t>70x100 1/32</t>
        </is>
      </c>
      <c r="L1394" s="23" t="inlineStr">
        <is>
          <t>мяг</t>
        </is>
      </c>
      <c r="M1394" s="23" t="n">
        <v>160</v>
      </c>
      <c r="N1394" s="23" t="n">
        <v>2016</v>
      </c>
      <c r="O1394" s="23" t="n">
        <v>76</v>
      </c>
      <c r="P1394" s="23" t="n"/>
      <c r="Q1394" s="23" t="n"/>
      <c r="R1394" s="25" t="n"/>
      <c r="S1394" s="26">
        <f>HYPERLINK("http://www.cnpol.ru/covers/16859.jpg","фото на сайте")</f>
        <v/>
      </c>
    </row>
    <row r="1395" ht="50.1" customHeight="1" s="3">
      <c r="A1395" s="23" t="n"/>
      <c r="B1395" s="24" t="inlineStr">
        <is>
          <t>18000</t>
        </is>
      </c>
      <c r="C1395" s="23" t="inlineStr">
        <is>
          <t>ЛР</t>
        </is>
      </c>
      <c r="D1395" s="23" t="inlineStr">
        <is>
          <t>Крюс К.</t>
        </is>
      </c>
      <c r="E1395" s="23" t="inlineStr">
        <is>
          <t>Неузнанная невеста</t>
        </is>
      </c>
      <c r="F1395" s="23" t="n">
        <v>795</v>
      </c>
      <c r="G1395" s="23" t="n">
        <v>94</v>
      </c>
      <c r="H1395" s="23" t="n">
        <v>10</v>
      </c>
      <c r="I1395" s="23" t="n">
        <v>30</v>
      </c>
      <c r="J1395" s="23" t="inlineStr">
        <is>
          <t>978-5-227-08021-9</t>
        </is>
      </c>
      <c r="K1395" s="23" t="inlineStr">
        <is>
          <t>70x100 1/32</t>
        </is>
      </c>
      <c r="L1395" s="23" t="inlineStr">
        <is>
          <t>мяг</t>
        </is>
      </c>
      <c r="M1395" s="23" t="n">
        <v>160</v>
      </c>
      <c r="N1395" s="23" t="n">
        <v>2018</v>
      </c>
      <c r="O1395" s="23" t="n">
        <v>76</v>
      </c>
      <c r="P1395" s="23" t="n"/>
      <c r="Q1395" s="23" t="n"/>
      <c r="R1395" s="25" t="n"/>
      <c r="S1395" s="26">
        <f>HYPERLINK("http://www.cnpol.ru/covers/18000.jpg","фото на сайте")</f>
        <v/>
      </c>
    </row>
    <row r="1396" ht="50.1" customHeight="1" s="3">
      <c r="A1396" s="23" t="n"/>
      <c r="B1396" s="24" t="inlineStr">
        <is>
          <t>16747</t>
        </is>
      </c>
      <c r="C1396" s="23" t="inlineStr">
        <is>
          <t>ЛР</t>
        </is>
      </c>
      <c r="D1396" s="23" t="inlineStr">
        <is>
          <t>Кондер М.</t>
        </is>
      </c>
      <c r="E1396" s="23" t="inlineStr">
        <is>
          <t>Неукротимая пленница</t>
        </is>
      </c>
      <c r="F1396" s="23" t="n">
        <v>616</v>
      </c>
      <c r="G1396" s="23" t="n">
        <v>94</v>
      </c>
      <c r="H1396" s="23" t="n">
        <v>10</v>
      </c>
      <c r="I1396" s="23" t="n">
        <v>30</v>
      </c>
      <c r="J1396" s="23" t="inlineStr">
        <is>
          <t>978-5-227-06737-1</t>
        </is>
      </c>
      <c r="K1396" s="23" t="inlineStr">
        <is>
          <t>70x100 1/32</t>
        </is>
      </c>
      <c r="L1396" s="23" t="inlineStr">
        <is>
          <t>мяг</t>
        </is>
      </c>
      <c r="M1396" s="23" t="n">
        <v>160</v>
      </c>
      <c r="N1396" s="23" t="n">
        <v>2016</v>
      </c>
      <c r="O1396" s="23" t="n">
        <v>76</v>
      </c>
      <c r="P1396" s="23" t="n"/>
      <c r="Q1396" s="23" t="n"/>
      <c r="R1396" s="25" t="n"/>
      <c r="S1396" s="26">
        <f>HYPERLINK("http://www.cnpol.ru/covers/16747.jpg","фото на сайте")</f>
        <v/>
      </c>
    </row>
    <row r="1397" ht="50.1" customHeight="1" s="3">
      <c r="A1397" s="23" t="n"/>
      <c r="B1397" s="24" t="inlineStr">
        <is>
          <t>18832</t>
        </is>
      </c>
      <c r="C1397" s="23" t="inlineStr">
        <is>
          <t>ЛР</t>
        </is>
      </c>
      <c r="D1397" s="23" t="inlineStr">
        <is>
          <t>Гарбера К.</t>
        </is>
      </c>
      <c r="E1397" s="23" t="inlineStr">
        <is>
          <t>Неукротимый ловелас</t>
        </is>
      </c>
      <c r="F1397" s="23" t="n">
        <v>920</v>
      </c>
      <c r="G1397" s="23" t="n">
        <v>94</v>
      </c>
      <c r="H1397" s="23" t="n">
        <v>10</v>
      </c>
      <c r="I1397" s="23" t="n">
        <v>30</v>
      </c>
      <c r="J1397" s="23" t="inlineStr">
        <is>
          <t>978-5-227-08697-6</t>
        </is>
      </c>
      <c r="K1397" s="23" t="inlineStr">
        <is>
          <t>70x100 1/32</t>
        </is>
      </c>
      <c r="L1397" s="23" t="inlineStr">
        <is>
          <t>мяг</t>
        </is>
      </c>
      <c r="M1397" s="23" t="n">
        <v>160</v>
      </c>
      <c r="N1397" s="23" t="n">
        <v>2019</v>
      </c>
      <c r="O1397" s="23" t="n">
        <v>76</v>
      </c>
      <c r="P1397" s="23" t="n"/>
      <c r="Q1397" s="23" t="n"/>
      <c r="R1397" s="25" t="n"/>
      <c r="S1397" s="26">
        <f>HYPERLINK("http://www.cnpol.ru/covers/18832.jpg","фото на сайте")</f>
        <v/>
      </c>
    </row>
    <row r="1398" ht="50.1" customHeight="1" s="3">
      <c r="A1398" s="23" t="n"/>
      <c r="B1398" s="24" t="inlineStr">
        <is>
          <t>18626</t>
        </is>
      </c>
      <c r="C1398" s="23" t="inlineStr">
        <is>
          <t>ЛР</t>
        </is>
      </c>
      <c r="D1398" s="23" t="inlineStr">
        <is>
          <t>Смарт М.</t>
        </is>
      </c>
      <c r="E1398" s="23" t="inlineStr">
        <is>
          <t>Неуловимое совершенство</t>
        </is>
      </c>
      <c r="F1398" s="23" t="n">
        <v>886</v>
      </c>
      <c r="G1398" s="23" t="n">
        <v>94</v>
      </c>
      <c r="H1398" s="23" t="n">
        <v>10</v>
      </c>
      <c r="I1398" s="23" t="n">
        <v>30</v>
      </c>
      <c r="J1398" s="23" t="inlineStr">
        <is>
          <t>978-5-227-08510-8</t>
        </is>
      </c>
      <c r="K1398" s="23" t="inlineStr">
        <is>
          <t>70x100 1/32</t>
        </is>
      </c>
      <c r="L1398" s="23" t="inlineStr">
        <is>
          <t>мяг</t>
        </is>
      </c>
      <c r="M1398" s="23" t="n">
        <v>160</v>
      </c>
      <c r="N1398" s="23" t="n">
        <v>2019</v>
      </c>
      <c r="O1398" s="23" t="n">
        <v>78</v>
      </c>
      <c r="P1398" s="23" t="n"/>
      <c r="Q1398" s="23" t="n"/>
      <c r="R1398" s="25" t="n"/>
      <c r="S1398" s="26">
        <f>HYPERLINK("http://www.cnpol.ru/covers/18626.jpg","фото на сайте")</f>
        <v/>
      </c>
    </row>
    <row r="1399" ht="50.1" customHeight="1" s="3">
      <c r="A1399" s="23" t="n"/>
      <c r="B1399" s="24" t="inlineStr">
        <is>
          <t>17957</t>
        </is>
      </c>
      <c r="C1399" s="23" t="inlineStr">
        <is>
          <t>ЛР</t>
        </is>
      </c>
      <c r="D1399" s="23" t="inlineStr">
        <is>
          <t>Дуглас М.</t>
        </is>
      </c>
      <c r="E1399" s="23" t="inlineStr">
        <is>
          <t>Ни дня без тебя</t>
        </is>
      </c>
      <c r="F1399" s="23" t="n">
        <v>790</v>
      </c>
      <c r="G1399" s="23" t="n">
        <v>94</v>
      </c>
      <c r="H1399" s="23" t="n">
        <v>10</v>
      </c>
      <c r="I1399" s="23" t="n">
        <v>30</v>
      </c>
      <c r="J1399" s="23" t="inlineStr">
        <is>
          <t>978-5-227-08016-5</t>
        </is>
      </c>
      <c r="K1399" s="23" t="inlineStr">
        <is>
          <t>70x100 1/32</t>
        </is>
      </c>
      <c r="L1399" s="23" t="inlineStr">
        <is>
          <t>мяг</t>
        </is>
      </c>
      <c r="M1399" s="23" t="n">
        <v>160</v>
      </c>
      <c r="N1399" s="23" t="n">
        <v>2018</v>
      </c>
      <c r="O1399" s="23" t="n">
        <v>76</v>
      </c>
      <c r="P1399" s="23" t="n"/>
      <c r="Q1399" s="23" t="n"/>
      <c r="R1399" s="25" t="n"/>
      <c r="S1399" s="26">
        <f>HYPERLINK("http://www.cnpol.ru/covers/17957.jpg","фото на сайте")</f>
        <v/>
      </c>
    </row>
    <row r="1400" ht="50.1" customHeight="1" s="3">
      <c r="A1400" s="23" t="n"/>
      <c r="B1400" s="24" t="inlineStr">
        <is>
          <t>16774</t>
        </is>
      </c>
      <c r="C1400" s="23" t="inlineStr">
        <is>
          <t>ЛР</t>
        </is>
      </c>
      <c r="D1400" s="23" t="inlineStr">
        <is>
          <t>Мортимер К.</t>
        </is>
      </c>
      <c r="E1400" s="23" t="inlineStr">
        <is>
          <t>Никаких запретов</t>
        </is>
      </c>
      <c r="F1400" s="23" t="n">
        <v>621</v>
      </c>
      <c r="G1400" s="23" t="n">
        <v>94</v>
      </c>
      <c r="H1400" s="23" t="n">
        <v>10</v>
      </c>
      <c r="I1400" s="23" t="n">
        <v>30</v>
      </c>
      <c r="J1400" s="23" t="inlineStr">
        <is>
          <t>978-5-227-06742-5</t>
        </is>
      </c>
      <c r="K1400" s="23" t="inlineStr">
        <is>
          <t>70x100 1/32</t>
        </is>
      </c>
      <c r="L1400" s="23" t="inlineStr">
        <is>
          <t>мяг</t>
        </is>
      </c>
      <c r="M1400" s="23" t="n">
        <v>160</v>
      </c>
      <c r="N1400" s="23" t="n">
        <v>2016</v>
      </c>
      <c r="O1400" s="23" t="n">
        <v>76</v>
      </c>
      <c r="P1400" s="23" t="n"/>
      <c r="Q1400" s="23" t="n"/>
      <c r="R1400" s="25" t="n"/>
      <c r="S1400" s="26">
        <f>HYPERLINK("http://www.cnpol.ru/covers/16774.jpg","фото на сайте")</f>
        <v/>
      </c>
    </row>
    <row r="1401" ht="50.1" customHeight="1" s="3">
      <c r="A1401" s="23" t="n"/>
      <c r="B1401" s="24" t="inlineStr">
        <is>
          <t>16456</t>
        </is>
      </c>
      <c r="C1401" s="23" t="inlineStr">
        <is>
          <t>ЛР</t>
        </is>
      </c>
      <c r="D1401" s="23" t="inlineStr">
        <is>
          <t>Робертс Э.</t>
        </is>
      </c>
      <c r="E1401" s="23" t="inlineStr">
        <is>
          <t>Никаких иллюзий</t>
        </is>
      </c>
      <c r="F1401" s="23" t="n">
        <v>578</v>
      </c>
      <c r="G1401" s="23" t="n">
        <v>94</v>
      </c>
      <c r="H1401" s="23" t="n">
        <v>10</v>
      </c>
      <c r="I1401" s="23" t="n">
        <v>30</v>
      </c>
      <c r="J1401" s="23" t="inlineStr">
        <is>
          <t>978-5-227-06293-2</t>
        </is>
      </c>
      <c r="K1401" s="23" t="inlineStr">
        <is>
          <t>70x100 1/32</t>
        </is>
      </c>
      <c r="L1401" s="23" t="inlineStr">
        <is>
          <t>мяг</t>
        </is>
      </c>
      <c r="M1401" s="23" t="n">
        <v>158</v>
      </c>
      <c r="N1401" s="23" t="n">
        <v>2016</v>
      </c>
      <c r="O1401" s="23" t="n">
        <v>76</v>
      </c>
      <c r="P1401" s="23" t="n"/>
      <c r="Q1401" s="23" t="n"/>
      <c r="R1401" s="25" t="n"/>
      <c r="S1401" s="26">
        <f>HYPERLINK("http://www.cnpol.ru/covers/16456.jpg","фото на сайте")</f>
        <v/>
      </c>
    </row>
    <row r="1402" ht="50.1" customHeight="1" s="3">
      <c r="A1402" s="23" t="n"/>
      <c r="B1402" s="24" t="inlineStr">
        <is>
          <t>17246</t>
        </is>
      </c>
      <c r="C1402" s="23" t="inlineStr">
        <is>
          <t>ЛР</t>
        </is>
      </c>
      <c r="D1402" s="23" t="inlineStr">
        <is>
          <t>Уэй М.</t>
        </is>
      </c>
      <c r="E1402" s="23" t="inlineStr">
        <is>
          <t>Никто тебя не заменит</t>
        </is>
      </c>
      <c r="F1402" s="23" t="n">
        <v>683</v>
      </c>
      <c r="G1402" s="23" t="n">
        <v>94</v>
      </c>
      <c r="H1402" s="23" t="n">
        <v>10</v>
      </c>
      <c r="I1402" s="23" t="n">
        <v>30</v>
      </c>
      <c r="J1402" s="23" t="inlineStr">
        <is>
          <t>978-5-227-07211-5</t>
        </is>
      </c>
      <c r="K1402" s="23" t="inlineStr">
        <is>
          <t>70x100 1/32</t>
        </is>
      </c>
      <c r="L1402" s="23" t="inlineStr">
        <is>
          <t>мяг</t>
        </is>
      </c>
      <c r="M1402" s="23" t="n">
        <v>160</v>
      </c>
      <c r="N1402" s="23" t="n">
        <v>2017</v>
      </c>
      <c r="O1402" s="23" t="n">
        <v>76</v>
      </c>
      <c r="P1402" s="23" t="n"/>
      <c r="Q1402" s="23" t="n"/>
      <c r="R1402" s="25" t="n"/>
      <c r="S1402" s="26">
        <f>HYPERLINK("http://www.cnpol.ru/covers/17246.jpg","фото на сайте")</f>
        <v/>
      </c>
    </row>
    <row r="1403" ht="50.1" customHeight="1" s="3">
      <c r="A1403" s="23" t="n"/>
      <c r="B1403" s="24" t="inlineStr">
        <is>
          <t>19537</t>
        </is>
      </c>
      <c r="C1403" s="23" t="inlineStr">
        <is>
          <t>ЛР</t>
        </is>
      </c>
      <c r="D1403" s="23" t="inlineStr">
        <is>
          <t>Уоллис Бадж</t>
        </is>
      </c>
      <c r="E1403" s="23" t="inlineStr">
        <is>
          <t>Ночь в Провансе</t>
        </is>
      </c>
      <c r="F1403" s="23" t="n">
        <v>1020</v>
      </c>
      <c r="G1403" s="23" t="n">
        <v>94</v>
      </c>
      <c r="H1403" s="23" t="n">
        <v>10</v>
      </c>
      <c r="I1403" s="23" t="n">
        <v>30</v>
      </c>
      <c r="J1403" s="23" t="inlineStr">
        <is>
          <t>978-5-227-09179-6</t>
        </is>
      </c>
      <c r="K1403" s="23" t="inlineStr">
        <is>
          <t>70x100 1/32</t>
        </is>
      </c>
      <c r="L1403" s="23" t="inlineStr">
        <is>
          <t>мяг</t>
        </is>
      </c>
      <c r="M1403" s="23" t="n">
        <v>160</v>
      </c>
      <c r="N1403" s="23" t="n">
        <v>2021</v>
      </c>
      <c r="O1403" s="23" t="n">
        <v>76</v>
      </c>
      <c r="P1403" s="23" t="n"/>
      <c r="Q1403" s="23" t="n"/>
      <c r="R1403" s="25" t="n"/>
      <c r="S1403" s="26">
        <f>HYPERLINK("http://www.cnpol.ru/covers/19537.jpg","фото на сайте")</f>
        <v/>
      </c>
    </row>
    <row r="1404" ht="50.1" customHeight="1" s="3">
      <c r="A1404" s="23" t="n"/>
      <c r="B1404" s="24" t="inlineStr">
        <is>
          <t>16704</t>
        </is>
      </c>
      <c r="C1404" s="23" t="inlineStr">
        <is>
          <t>ЛР</t>
        </is>
      </c>
      <c r="D1404" s="23" t="inlineStr">
        <is>
          <t>Пэмми Т.</t>
        </is>
      </c>
      <c r="E1404" s="23" t="inlineStr">
        <is>
          <t>Ночь любви или развод</t>
        </is>
      </c>
      <c r="F1404" s="23" t="n">
        <v>614</v>
      </c>
      <c r="G1404" s="23" t="n">
        <v>94</v>
      </c>
      <c r="H1404" s="23" t="n">
        <v>10</v>
      </c>
      <c r="I1404" s="23" t="n">
        <v>30</v>
      </c>
      <c r="J1404" s="23" t="inlineStr">
        <is>
          <t>978-5-227-06735-7</t>
        </is>
      </c>
      <c r="K1404" s="23" t="inlineStr">
        <is>
          <t>70x100 1/32</t>
        </is>
      </c>
      <c r="L1404" s="23" t="inlineStr">
        <is>
          <t>мяг</t>
        </is>
      </c>
      <c r="M1404" s="23" t="n">
        <v>160</v>
      </c>
      <c r="N1404" s="23" t="n">
        <v>2016</v>
      </c>
      <c r="O1404" s="23" t="n">
        <v>76</v>
      </c>
      <c r="P1404" s="23" t="n"/>
      <c r="Q1404" s="23" t="n"/>
      <c r="R1404" s="25" t="n"/>
      <c r="S1404" s="26">
        <f>HYPERLINK("http://www.cnpol.ru/covers/16704.jpg","фото на сайте")</f>
        <v/>
      </c>
    </row>
    <row r="1405" ht="50.1" customHeight="1" s="3">
      <c r="A1405" s="23" t="n"/>
      <c r="B1405" s="24" t="inlineStr">
        <is>
          <t>16887</t>
        </is>
      </c>
      <c r="C1405" s="23" t="inlineStr">
        <is>
          <t>ЛР</t>
        </is>
      </c>
      <c r="D1405" s="23" t="inlineStr">
        <is>
          <t>Стивенс С.</t>
        </is>
      </c>
      <c r="E1405" s="23" t="inlineStr">
        <is>
          <t>Ночь полной свободы</t>
        </is>
      </c>
      <c r="F1405" s="23" t="n">
        <v>636</v>
      </c>
      <c r="G1405" s="23" t="n">
        <v>94</v>
      </c>
      <c r="H1405" s="23" t="n">
        <v>10</v>
      </c>
      <c r="I1405" s="23" t="n">
        <v>30</v>
      </c>
      <c r="J1405" s="23" t="inlineStr">
        <is>
          <t>978-5-227-06827-9</t>
        </is>
      </c>
      <c r="K1405" s="23" t="inlineStr">
        <is>
          <t>70x100 1/32</t>
        </is>
      </c>
      <c r="L1405" s="23" t="inlineStr">
        <is>
          <t>мяг</t>
        </is>
      </c>
      <c r="M1405" s="23" t="n">
        <v>160</v>
      </c>
      <c r="N1405" s="23" t="n">
        <v>2016</v>
      </c>
      <c r="O1405" s="23" t="n">
        <v>76</v>
      </c>
      <c r="P1405" s="23" t="n"/>
      <c r="Q1405" s="23" t="n"/>
      <c r="R1405" s="25" t="n"/>
      <c r="S1405" s="26">
        <f>HYPERLINK("http://www.cnpol.ru/covers/16887.jpg","фото на сайте")</f>
        <v/>
      </c>
    </row>
    <row r="1406" ht="50.1" customHeight="1" s="3">
      <c r="A1406" s="23" t="n"/>
      <c r="B1406" s="24" t="inlineStr">
        <is>
          <t>16977</t>
        </is>
      </c>
      <c r="C1406" s="23" t="inlineStr">
        <is>
          <t>ЛР</t>
        </is>
      </c>
      <c r="D1406" s="23" t="inlineStr">
        <is>
          <t>Крюс К.</t>
        </is>
      </c>
      <c r="E1406" s="23" t="inlineStr">
        <is>
          <t>Ночь решает все</t>
        </is>
      </c>
      <c r="F1406" s="23" t="n">
        <v>647</v>
      </c>
      <c r="G1406" s="23" t="n">
        <v>94</v>
      </c>
      <c r="H1406" s="23" t="n">
        <v>10</v>
      </c>
      <c r="I1406" s="23" t="n">
        <v>30</v>
      </c>
      <c r="J1406" s="23" t="inlineStr">
        <is>
          <t>978-5-227-06921-4</t>
        </is>
      </c>
      <c r="K1406" s="23" t="inlineStr">
        <is>
          <t>70x100 1/32</t>
        </is>
      </c>
      <c r="L1406" s="23" t="inlineStr">
        <is>
          <t>мяг</t>
        </is>
      </c>
      <c r="M1406" s="23" t="n">
        <v>158</v>
      </c>
      <c r="N1406" s="23" t="n">
        <v>2016</v>
      </c>
      <c r="O1406" s="23" t="n">
        <v>76</v>
      </c>
      <c r="P1406" s="23" t="n"/>
      <c r="Q1406" s="23" t="n"/>
      <c r="R1406" s="25" t="n"/>
      <c r="S1406" s="26">
        <f>HYPERLINK("http://www.cnpol.ru/covers/16977.jpg","фото на сайте")</f>
        <v/>
      </c>
    </row>
    <row r="1407" ht="50.1" customHeight="1" s="3">
      <c r="A1407" s="23" t="n"/>
      <c r="B1407" s="24" t="inlineStr">
        <is>
          <t>20386</t>
        </is>
      </c>
      <c r="C1407" s="23" t="inlineStr">
        <is>
          <t>ЛР</t>
        </is>
      </c>
      <c r="D1407" s="23" t="inlineStr">
        <is>
          <t>Лоренс А.</t>
        </is>
      </c>
      <c r="E1407" s="23" t="inlineStr">
        <is>
          <t>Обещание плейбоя</t>
        </is>
      </c>
      <c r="F1407" s="23" t="n">
        <v>1107</v>
      </c>
      <c r="G1407" s="23" t="n">
        <v>94</v>
      </c>
      <c r="H1407" s="23" t="n">
        <v>10</v>
      </c>
      <c r="I1407" s="23" t="n">
        <v>30</v>
      </c>
      <c r="J1407" s="23" t="inlineStr">
        <is>
          <t>978-5-227-10069-6</t>
        </is>
      </c>
      <c r="K1407" s="23" t="inlineStr">
        <is>
          <t>70x100 1/32</t>
        </is>
      </c>
      <c r="L1407" s="23" t="inlineStr">
        <is>
          <t>мяг</t>
        </is>
      </c>
      <c r="M1407" s="23" t="n">
        <v>159</v>
      </c>
      <c r="N1407" s="23" t="n">
        <v>2022</v>
      </c>
      <c r="O1407" s="23" t="n">
        <v>76</v>
      </c>
      <c r="P1407" s="23" t="n"/>
      <c r="Q1407" s="23" t="n"/>
      <c r="R1407" s="25" t="n"/>
      <c r="S1407" s="26">
        <f>HYPERLINK("http://www.cnpol.ru/covers/20386.jpg","фото на сайте")</f>
        <v/>
      </c>
    </row>
    <row r="1408" ht="50.1" customHeight="1" s="3">
      <c r="A1408" s="23" t="n"/>
      <c r="B1408" s="24" t="inlineStr">
        <is>
          <t>19462</t>
        </is>
      </c>
      <c r="C1408" s="23" t="inlineStr">
        <is>
          <t>ЛР</t>
        </is>
      </c>
      <c r="D1408" s="23" t="inlineStr">
        <is>
          <t>Филдинг Л</t>
        </is>
      </c>
      <c r="E1408" s="23" t="inlineStr">
        <is>
          <t>Обещанная невеста</t>
        </is>
      </c>
      <c r="F1408" s="23" t="n">
        <v>1012</v>
      </c>
      <c r="G1408" s="23" t="n">
        <v>94</v>
      </c>
      <c r="H1408" s="23" t="n">
        <v>10</v>
      </c>
      <c r="I1408" s="23" t="n">
        <v>30</v>
      </c>
      <c r="J1408" s="23" t="inlineStr">
        <is>
          <t>978-5-227-09150-5</t>
        </is>
      </c>
      <c r="K1408" s="23" t="inlineStr">
        <is>
          <t>70x100 1/32</t>
        </is>
      </c>
      <c r="L1408" s="23" t="inlineStr">
        <is>
          <t>мяг</t>
        </is>
      </c>
      <c r="M1408" s="23" t="n">
        <v>160</v>
      </c>
      <c r="N1408" s="23" t="n">
        <v>2021</v>
      </c>
      <c r="O1408" s="23" t="n">
        <v>76</v>
      </c>
      <c r="P1408" s="23" t="n"/>
      <c r="Q1408" s="23" t="n"/>
      <c r="R1408" s="25" t="n"/>
      <c r="S1408" s="26">
        <f>HYPERLINK("http://www.cnpol.ru/covers/19462.jpg","фото на сайте")</f>
        <v/>
      </c>
    </row>
    <row r="1409" ht="50.1" customHeight="1" s="3">
      <c r="A1409" s="23" t="n"/>
      <c r="B1409" s="24" t="inlineStr">
        <is>
          <t>17679</t>
        </is>
      </c>
      <c r="C1409" s="23" t="inlineStr">
        <is>
          <t>ЛР</t>
        </is>
      </c>
      <c r="D1409" s="23" t="inlineStr">
        <is>
          <t>Милн Н.</t>
        </is>
      </c>
      <c r="E1409" s="23" t="inlineStr">
        <is>
          <t>Обещать - значит жениться</t>
        </is>
      </c>
      <c r="F1409" s="23" t="n">
        <v>750</v>
      </c>
      <c r="G1409" s="23" t="n">
        <v>94</v>
      </c>
      <c r="H1409" s="23" t="n">
        <v>10</v>
      </c>
      <c r="I1409" s="23" t="n">
        <v>30</v>
      </c>
      <c r="J1409" s="23" t="inlineStr">
        <is>
          <t>978-5-227-07702-8</t>
        </is>
      </c>
      <c r="K1409" s="23" t="inlineStr">
        <is>
          <t>70x100 1/32</t>
        </is>
      </c>
      <c r="L1409" s="23" t="inlineStr">
        <is>
          <t>мяг</t>
        </is>
      </c>
      <c r="M1409" s="23" t="n">
        <v>160</v>
      </c>
      <c r="N1409" s="23" t="n">
        <v>2017</v>
      </c>
      <c r="O1409" s="23" t="n">
        <v>76</v>
      </c>
      <c r="P1409" s="23" t="n"/>
      <c r="Q1409" s="23" t="n"/>
      <c r="R1409" s="25" t="n"/>
      <c r="S1409" s="26">
        <f>HYPERLINK("http://www.cnpol.ru/covers/17679.jpg","фото на сайте")</f>
        <v/>
      </c>
    </row>
    <row r="1410" ht="50.1" customHeight="1" s="3">
      <c r="A1410" s="23" t="n"/>
      <c r="B1410" s="24" t="inlineStr">
        <is>
          <t>17881</t>
        </is>
      </c>
      <c r="C1410" s="23" t="inlineStr">
        <is>
          <t>ЛР</t>
        </is>
      </c>
      <c r="D1410" s="23" t="inlineStr">
        <is>
          <t>Мэтер Э.</t>
        </is>
      </c>
      <c r="E1410" s="23" t="inlineStr">
        <is>
          <t>Обманем моего мужа</t>
        </is>
      </c>
      <c r="F1410" s="23" t="n">
        <v>779</v>
      </c>
      <c r="G1410" s="23" t="n">
        <v>94</v>
      </c>
      <c r="H1410" s="23" t="n">
        <v>10</v>
      </c>
      <c r="I1410" s="23" t="n">
        <v>30</v>
      </c>
      <c r="J1410" s="23" t="inlineStr">
        <is>
          <t>978-5-227-07785-1</t>
        </is>
      </c>
      <c r="K1410" s="23" t="inlineStr">
        <is>
          <t>70x100 1/32</t>
        </is>
      </c>
      <c r="L1410" s="23" t="inlineStr">
        <is>
          <t>мяг</t>
        </is>
      </c>
      <c r="M1410" s="23" t="n">
        <v>160</v>
      </c>
      <c r="N1410" s="23" t="n">
        <v>2017</v>
      </c>
      <c r="O1410" s="23" t="n">
        <v>76</v>
      </c>
      <c r="P1410" s="23" t="n"/>
      <c r="Q1410" s="23" t="n"/>
      <c r="R1410" s="25" t="n"/>
      <c r="S1410" s="26">
        <f>HYPERLINK("http://www.cnpol.ru/covers/17881.jpg","фото на сайте")</f>
        <v/>
      </c>
    </row>
    <row r="1411" ht="50.1" customHeight="1" s="3">
      <c r="A1411" s="23" t="n"/>
      <c r="B1411" s="24" t="inlineStr">
        <is>
          <t>16585</t>
        </is>
      </c>
      <c r="C1411" s="23" t="inlineStr">
        <is>
          <t>ЛР</t>
        </is>
      </c>
      <c r="D1411" s="23" t="inlineStr">
        <is>
          <t>Пэмми Т.</t>
        </is>
      </c>
      <c r="E1411" s="23" t="inlineStr">
        <is>
          <t>Обмани, но не покидай</t>
        </is>
      </c>
      <c r="F1411" s="23" t="n">
        <v>596</v>
      </c>
      <c r="G1411" s="23" t="n">
        <v>94</v>
      </c>
      <c r="H1411" s="23" t="n">
        <v>10</v>
      </c>
      <c r="I1411" s="23" t="n">
        <v>30</v>
      </c>
      <c r="J1411" s="23" t="inlineStr">
        <is>
          <t>978-5-227-06526-1</t>
        </is>
      </c>
      <c r="K1411" s="23" t="inlineStr">
        <is>
          <t>70x100 1/32</t>
        </is>
      </c>
      <c r="L1411" s="23" t="inlineStr">
        <is>
          <t>мяг</t>
        </is>
      </c>
      <c r="M1411" s="23" t="n">
        <v>160</v>
      </c>
      <c r="N1411" s="23" t="n">
        <v>2016</v>
      </c>
      <c r="O1411" s="23" t="n">
        <v>76</v>
      </c>
      <c r="P1411" s="23" t="n"/>
      <c r="Q1411" s="23" t="n"/>
      <c r="R1411" s="25" t="n"/>
      <c r="S1411" s="26">
        <f>HYPERLINK("http://www.cnpol.ru/covers/16585.jpg","фото на сайте")</f>
        <v/>
      </c>
    </row>
    <row r="1412" ht="50.1" customHeight="1" s="3">
      <c r="A1412" s="23" t="n"/>
      <c r="B1412" s="24" t="inlineStr">
        <is>
          <t>15435</t>
        </is>
      </c>
      <c r="C1412" s="23" t="inlineStr">
        <is>
          <t>ЛР</t>
        </is>
      </c>
      <c r="D1412" s="23" t="inlineStr">
        <is>
          <t>Харрисон С.</t>
        </is>
      </c>
      <c r="E1412" s="23" t="inlineStr">
        <is>
          <t>Обманчивая внешность</t>
        </is>
      </c>
      <c r="F1412" s="23" t="n">
        <v>442</v>
      </c>
      <c r="G1412" s="23" t="n">
        <v>94</v>
      </c>
      <c r="H1412" s="23" t="n">
        <v>10</v>
      </c>
      <c r="I1412" s="23" t="n">
        <v>30</v>
      </c>
      <c r="J1412" s="23" t="inlineStr">
        <is>
          <t>978-5-227-05429-6</t>
        </is>
      </c>
      <c r="K1412" s="23" t="inlineStr">
        <is>
          <t>70x100 1/32</t>
        </is>
      </c>
      <c r="L1412" s="23" t="inlineStr">
        <is>
          <t>мяг</t>
        </is>
      </c>
      <c r="M1412" s="23" t="n">
        <v>158</v>
      </c>
      <c r="N1412" s="23" t="n">
        <v>2014</v>
      </c>
      <c r="O1412" s="23" t="n">
        <v>78</v>
      </c>
      <c r="P1412" s="23" t="n"/>
      <c r="Q1412" s="23" t="n"/>
      <c r="R1412" s="25" t="n"/>
      <c r="S1412" s="26">
        <f>HYPERLINK("http://www.cnpol.ru/covers/15435.jpg","фото на сайте")</f>
        <v/>
      </c>
    </row>
    <row r="1413" ht="50.1" customHeight="1" s="3">
      <c r="A1413" s="23" t="n"/>
      <c r="B1413" s="24" t="inlineStr">
        <is>
          <t>15671</t>
        </is>
      </c>
      <c r="C1413" s="23" t="inlineStr">
        <is>
          <t>ЛР</t>
        </is>
      </c>
      <c r="D1413" s="23" t="inlineStr">
        <is>
          <t>Ли М.</t>
        </is>
      </c>
      <c r="E1413" s="23" t="inlineStr">
        <is>
          <t>Обними меня крепче</t>
        </is>
      </c>
      <c r="F1413" s="23" t="n">
        <v>475</v>
      </c>
      <c r="G1413" s="23" t="n">
        <v>94</v>
      </c>
      <c r="H1413" s="23" t="n">
        <v>10</v>
      </c>
      <c r="I1413" s="23" t="n">
        <v>30</v>
      </c>
      <c r="J1413" s="23" t="inlineStr">
        <is>
          <t>978-5-227-05643-6</t>
        </is>
      </c>
      <c r="K1413" s="23" t="inlineStr">
        <is>
          <t>70x100 1/32</t>
        </is>
      </c>
      <c r="L1413" s="23" t="inlineStr">
        <is>
          <t>мяг</t>
        </is>
      </c>
      <c r="M1413" s="23" t="n">
        <v>158</v>
      </c>
      <c r="N1413" s="23" t="n">
        <v>2014</v>
      </c>
      <c r="O1413" s="23" t="n">
        <v>76</v>
      </c>
      <c r="P1413" s="23" t="n"/>
      <c r="Q1413" s="23" t="n"/>
      <c r="R1413" s="25" t="n"/>
      <c r="S1413" s="26">
        <f>HYPERLINK("http://www.cnpol.ru/covers/15671.jpg","фото на сайте")</f>
        <v/>
      </c>
    </row>
    <row r="1414" ht="50.1" customHeight="1" s="3">
      <c r="A1414" s="23" t="n"/>
      <c r="B1414" s="24" t="inlineStr">
        <is>
          <t>17522</t>
        </is>
      </c>
      <c r="C1414" s="23" t="inlineStr">
        <is>
          <t>ЛР</t>
        </is>
      </c>
      <c r="D1414" s="23" t="inlineStr">
        <is>
          <t>Лоренс К.</t>
        </is>
      </c>
      <c r="E1414" s="23" t="inlineStr">
        <is>
          <t>Обольстить недотрогу</t>
        </is>
      </c>
      <c r="F1414" s="23" t="n">
        <v>725</v>
      </c>
      <c r="G1414" s="23" t="n">
        <v>94</v>
      </c>
      <c r="H1414" s="23" t="n">
        <v>10</v>
      </c>
      <c r="I1414" s="23" t="n">
        <v>30</v>
      </c>
      <c r="J1414" s="23" t="inlineStr">
        <is>
          <t>978-5-227-07579-6</t>
        </is>
      </c>
      <c r="K1414" s="23" t="inlineStr">
        <is>
          <t>70x100 1/32</t>
        </is>
      </c>
      <c r="L1414" s="23" t="inlineStr">
        <is>
          <t>мяг</t>
        </is>
      </c>
      <c r="M1414" s="23" t="n">
        <v>160</v>
      </c>
      <c r="N1414" s="23" t="n">
        <v>2017</v>
      </c>
      <c r="O1414" s="23" t="n">
        <v>76</v>
      </c>
      <c r="P1414" s="23" t="n"/>
      <c r="Q1414" s="23" t="n"/>
      <c r="R1414" s="25" t="n"/>
      <c r="S1414" s="26">
        <f>HYPERLINK("http://www.cnpol.ru/covers/17522.jpg","фото на сайте")</f>
        <v/>
      </c>
    </row>
    <row r="1415" ht="50.1" customHeight="1" s="3">
      <c r="A1415" s="23" t="n"/>
      <c r="B1415" s="24" t="inlineStr">
        <is>
          <t>18748</t>
        </is>
      </c>
      <c r="C1415" s="23" t="inlineStr">
        <is>
          <t>ЛР</t>
        </is>
      </c>
      <c r="D1415" s="23" t="inlineStr">
        <is>
          <t>Уоллис Бадж</t>
        </is>
      </c>
      <c r="E1415" s="23" t="inlineStr">
        <is>
          <t>Обрести свободу у алтаря</t>
        </is>
      </c>
      <c r="F1415" s="23" t="n">
        <v>906</v>
      </c>
      <c r="G1415" s="23" t="n">
        <v>94</v>
      </c>
      <c r="H1415" s="23" t="n">
        <v>10</v>
      </c>
      <c r="I1415" s="23" t="n">
        <v>30</v>
      </c>
      <c r="J1415" s="23" t="inlineStr">
        <is>
          <t>978-5-227-08657-0</t>
        </is>
      </c>
      <c r="K1415" s="23" t="inlineStr">
        <is>
          <t>70x100 1/32</t>
        </is>
      </c>
      <c r="L1415" s="23" t="inlineStr">
        <is>
          <t>мяг</t>
        </is>
      </c>
      <c r="M1415" s="23" t="n">
        <v>160</v>
      </c>
      <c r="N1415" s="23" t="n">
        <v>2019</v>
      </c>
      <c r="O1415" s="23" t="n">
        <v>76</v>
      </c>
      <c r="P1415" s="23" t="n"/>
      <c r="Q1415" s="23" t="n"/>
      <c r="R1415" s="25" t="n"/>
      <c r="S1415" s="26">
        <f>HYPERLINK("http://www.cnpol.ru/covers/18748.jpg","фото на сайте")</f>
        <v/>
      </c>
    </row>
    <row r="1416" ht="50.1" customHeight="1" s="3">
      <c r="A1416" s="23" t="n"/>
      <c r="B1416" s="24" t="inlineStr">
        <is>
          <t>14096</t>
        </is>
      </c>
      <c r="C1416" s="23" t="inlineStr">
        <is>
          <t>ЛР</t>
        </is>
      </c>
      <c r="D1416" s="23" t="inlineStr">
        <is>
          <t>Хантер К.</t>
        </is>
      </c>
      <c r="E1416" s="23" t="inlineStr">
        <is>
          <t>Обречены любить</t>
        </is>
      </c>
      <c r="F1416" s="23" t="n">
        <v>297</v>
      </c>
      <c r="G1416" s="23" t="n">
        <v>94</v>
      </c>
      <c r="H1416" s="23" t="n">
        <v>10</v>
      </c>
      <c r="I1416" s="23" t="n">
        <v>30</v>
      </c>
      <c r="J1416" s="23" t="inlineStr">
        <is>
          <t>978-5-227-04147-0</t>
        </is>
      </c>
      <c r="K1416" s="23" t="inlineStr">
        <is>
          <t>70x100 1/32</t>
        </is>
      </c>
      <c r="L1416" s="23" t="inlineStr">
        <is>
          <t>мяг</t>
        </is>
      </c>
      <c r="M1416" s="23" t="n">
        <v>158</v>
      </c>
      <c r="N1416" s="23" t="n">
        <v>2013</v>
      </c>
      <c r="O1416" s="23" t="n">
        <v>80</v>
      </c>
      <c r="P1416" s="23" t="n"/>
      <c r="Q1416" s="23" t="n"/>
      <c r="R1416" s="25" t="n"/>
      <c r="S1416" s="26">
        <f>HYPERLINK("http://www.cnpol.ru/covers/14096.jpg","фото на сайте")</f>
        <v/>
      </c>
    </row>
    <row r="1417" ht="50.1" customHeight="1" s="3">
      <c r="A1417" s="23" t="n"/>
      <c r="B1417" s="24" t="inlineStr">
        <is>
          <t>16281</t>
        </is>
      </c>
      <c r="C1417" s="23" t="inlineStr">
        <is>
          <t>ЛР</t>
        </is>
      </c>
      <c r="D1417" s="23" t="inlineStr">
        <is>
          <t>Крейвен С.</t>
        </is>
      </c>
      <c r="E1417" s="23" t="inlineStr">
        <is>
          <t>Обрученная с врагом</t>
        </is>
      </c>
      <c r="F1417" s="23" t="n">
        <v>557</v>
      </c>
      <c r="G1417" s="23" t="n">
        <v>94</v>
      </c>
      <c r="H1417" s="23" t="n">
        <v>10</v>
      </c>
      <c r="I1417" s="23" t="n">
        <v>30</v>
      </c>
      <c r="J1417" s="23" t="inlineStr">
        <is>
          <t>978-5-227-06188-1</t>
        </is>
      </c>
      <c r="K1417" s="23" t="inlineStr">
        <is>
          <t>70x100 1/32</t>
        </is>
      </c>
      <c r="L1417" s="23" t="inlineStr">
        <is>
          <t>мяг</t>
        </is>
      </c>
      <c r="M1417" s="23" t="n">
        <v>158</v>
      </c>
      <c r="N1417" s="23" t="n">
        <v>2015</v>
      </c>
      <c r="O1417" s="23" t="n">
        <v>76</v>
      </c>
      <c r="P1417" s="23" t="n"/>
      <c r="Q1417" s="23" t="n"/>
      <c r="R1417" s="25" t="n"/>
      <c r="S1417" s="26">
        <f>HYPERLINK("http://www.cnpol.ru/covers/16281.jpg","фото на сайте")</f>
        <v/>
      </c>
    </row>
    <row r="1418" ht="50.1" customHeight="1" s="3">
      <c r="A1418" s="23" t="n"/>
      <c r="B1418" s="24" t="inlineStr">
        <is>
          <t>17795</t>
        </is>
      </c>
      <c r="C1418" s="23" t="inlineStr">
        <is>
          <t>ЛР</t>
        </is>
      </c>
      <c r="D1418" s="23" t="inlineStr">
        <is>
          <t>Андерсон Н.</t>
        </is>
      </c>
      <c r="E1418" s="23" t="inlineStr">
        <is>
          <t>Обрученные дважды</t>
        </is>
      </c>
      <c r="F1418" s="23" t="n">
        <v>766</v>
      </c>
      <c r="G1418" s="23" t="n">
        <v>94</v>
      </c>
      <c r="H1418" s="23" t="n">
        <v>10</v>
      </c>
      <c r="I1418" s="23" t="n">
        <v>30</v>
      </c>
      <c r="J1418" s="23" t="inlineStr">
        <is>
          <t>978-5-227-07750-9</t>
        </is>
      </c>
      <c r="K1418" s="23" t="inlineStr">
        <is>
          <t>70x100 1/32</t>
        </is>
      </c>
      <c r="L1418" s="23" t="inlineStr">
        <is>
          <t>мяг</t>
        </is>
      </c>
      <c r="M1418" s="23" t="n">
        <v>160</v>
      </c>
      <c r="N1418" s="23" t="n">
        <v>2017</v>
      </c>
      <c r="O1418" s="23" t="n">
        <v>76</v>
      </c>
      <c r="P1418" s="23" t="n"/>
      <c r="Q1418" s="23" t="n"/>
      <c r="R1418" s="25" t="n"/>
      <c r="S1418" s="26">
        <f>HYPERLINK("http://www.cnpol.ru/covers/17795.jpg","фото на сайте")</f>
        <v/>
      </c>
    </row>
    <row r="1419" ht="50.1" customHeight="1" s="3">
      <c r="A1419" s="23" t="n"/>
      <c r="B1419" s="24" t="inlineStr">
        <is>
          <t>20392</t>
        </is>
      </c>
      <c r="C1419" s="23" t="inlineStr">
        <is>
          <t>ЛР</t>
        </is>
      </c>
      <c r="D1419" s="23" t="inlineStr">
        <is>
          <t>Сэндс Ч.</t>
        </is>
      </c>
      <c r="E1419" s="23" t="inlineStr">
        <is>
          <t>Объятия придуманной невесты</t>
        </is>
      </c>
      <c r="F1419" s="23" t="n">
        <v>1108</v>
      </c>
      <c r="G1419" s="23" t="n">
        <v>94</v>
      </c>
      <c r="H1419" s="23" t="n">
        <v>10</v>
      </c>
      <c r="I1419" s="23" t="n">
        <v>30</v>
      </c>
      <c r="J1419" s="23" t="inlineStr">
        <is>
          <t>978-5-227-10070-2</t>
        </is>
      </c>
      <c r="K1419" s="23" t="inlineStr">
        <is>
          <t>70x100 1/32</t>
        </is>
      </c>
      <c r="L1419" s="23" t="inlineStr">
        <is>
          <t>мяг</t>
        </is>
      </c>
      <c r="M1419" s="23" t="n">
        <v>159</v>
      </c>
      <c r="N1419" s="23" t="n">
        <v>2022</v>
      </c>
      <c r="O1419" s="23" t="n">
        <v>76</v>
      </c>
      <c r="P1419" s="23" t="n"/>
      <c r="Q1419" s="23" t="n"/>
      <c r="R1419" s="25" t="inlineStr">
        <is>
          <t>Звезде кантри Гейджу Тремейну надо срочно восстановить репутацию, чтобы не пострадала его музыкальная карьера. Он решает притвориться влюбленным и на роль своей фиктивной невесты выбирает подругу детства, Джанну Марино, с которой они постоянно ссорились.</t>
        </is>
      </c>
      <c r="S1419" s="26">
        <f>HYPERLINK("http://www.cnpol.ru/covers/20392.jpg","фото на сайте")</f>
        <v/>
      </c>
    </row>
    <row r="1420" ht="50.1" customHeight="1" s="3">
      <c r="A1420" s="23" t="n"/>
      <c r="B1420" s="24" t="inlineStr">
        <is>
          <t>18538</t>
        </is>
      </c>
      <c r="C1420" s="23" t="inlineStr">
        <is>
          <t>ЛР</t>
        </is>
      </c>
      <c r="D1420" s="23" t="inlineStr">
        <is>
          <t>Уильямс А.</t>
        </is>
      </c>
      <c r="E1420" s="23" t="inlineStr">
        <is>
          <t>Огненная идиллия</t>
        </is>
      </c>
      <c r="F1420" s="23" t="n">
        <v>875</v>
      </c>
      <c r="G1420" s="23" t="n">
        <v>94</v>
      </c>
      <c r="H1420" s="23" t="n">
        <v>10</v>
      </c>
      <c r="I1420" s="23" t="n">
        <v>30</v>
      </c>
      <c r="J1420" s="23" t="inlineStr">
        <is>
          <t>978-5-227-08435-4</t>
        </is>
      </c>
      <c r="K1420" s="23" t="inlineStr">
        <is>
          <t>70x100 1/32</t>
        </is>
      </c>
      <c r="L1420" s="23" t="inlineStr">
        <is>
          <t>мяг</t>
        </is>
      </c>
      <c r="M1420" s="23" t="n">
        <v>160</v>
      </c>
      <c r="N1420" s="23" t="n">
        <v>2019</v>
      </c>
      <c r="O1420" s="23" t="n">
        <v>76</v>
      </c>
      <c r="P1420" s="23" t="n"/>
      <c r="Q1420" s="23" t="n"/>
      <c r="R1420" s="25" t="n"/>
      <c r="S1420" s="26">
        <f>HYPERLINK("http://www.cnpol.ru/covers/18538.jpg","фото на сайте")</f>
        <v/>
      </c>
    </row>
    <row r="1421" ht="50.1" customHeight="1" s="3">
      <c r="A1421" s="23" t="n"/>
      <c r="B1421" s="24" t="inlineStr">
        <is>
          <t>19669</t>
        </is>
      </c>
      <c r="C1421" s="23" t="inlineStr">
        <is>
          <t>ЛР</t>
        </is>
      </c>
      <c r="D1421" s="23" t="inlineStr">
        <is>
          <t>Эшенден Д.</t>
        </is>
      </c>
      <c r="E1421" s="23" t="inlineStr">
        <is>
          <t>Один шанс на соблазнение</t>
        </is>
      </c>
      <c r="F1421" s="23" t="n">
        <v>1036</v>
      </c>
      <c r="G1421" s="23" t="n">
        <v>94</v>
      </c>
      <c r="H1421" s="23" t="n">
        <v>10</v>
      </c>
      <c r="I1421" s="23" t="n">
        <v>30</v>
      </c>
      <c r="J1421" s="23" t="inlineStr">
        <is>
          <t>978-5-227-09292-2</t>
        </is>
      </c>
      <c r="K1421" s="23" t="inlineStr">
        <is>
          <t>70x100 1/32</t>
        </is>
      </c>
      <c r="L1421" s="23" t="inlineStr">
        <is>
          <t>мяг</t>
        </is>
      </c>
      <c r="M1421" s="23" t="n">
        <v>160</v>
      </c>
      <c r="N1421" s="23" t="n">
        <v>2021</v>
      </c>
      <c r="O1421" s="23" t="n">
        <v>76</v>
      </c>
      <c r="P1421" s="23" t="n"/>
      <c r="Q1421" s="23" t="n"/>
      <c r="R1421" s="25" t="n"/>
      <c r="S1421" s="26">
        <f>HYPERLINK("http://www.cnpol.ru/covers/19669.jpg","фото на сайте")</f>
        <v/>
      </c>
    </row>
    <row r="1422" ht="50.1" customHeight="1" s="3">
      <c r="A1422" s="23" t="n"/>
      <c r="B1422" s="24" t="inlineStr">
        <is>
          <t>17690</t>
        </is>
      </c>
      <c r="C1422" s="23" t="inlineStr">
        <is>
          <t>ЛР</t>
        </is>
      </c>
      <c r="D1422" s="23" t="inlineStr">
        <is>
          <t>Биссел А.</t>
        </is>
      </c>
      <c r="E1422" s="23" t="inlineStr">
        <is>
          <t>Одна душа на двоих</t>
        </is>
      </c>
      <c r="F1422" s="23" t="n">
        <v>753</v>
      </c>
      <c r="G1422" s="23" t="n">
        <v>94</v>
      </c>
      <c r="H1422" s="23" t="n">
        <v>10</v>
      </c>
      <c r="I1422" s="23" t="n">
        <v>30</v>
      </c>
      <c r="J1422" s="23" t="inlineStr">
        <is>
          <t>978-5-227-07705-9</t>
        </is>
      </c>
      <c r="K1422" s="23" t="inlineStr">
        <is>
          <t>70x100 1/32</t>
        </is>
      </c>
      <c r="L1422" s="23" t="inlineStr">
        <is>
          <t>мяг</t>
        </is>
      </c>
      <c r="M1422" s="23" t="n">
        <v>160</v>
      </c>
      <c r="N1422" s="23" t="n">
        <v>2017</v>
      </c>
      <c r="O1422" s="23" t="n">
        <v>76</v>
      </c>
      <c r="P1422" s="23" t="n"/>
      <c r="Q1422" s="23" t="n"/>
      <c r="R1422" s="25" t="n"/>
      <c r="S1422" s="26">
        <f>HYPERLINK("http://www.cnpol.ru/covers/17690.jpg","фото на сайте")</f>
        <v/>
      </c>
    </row>
    <row r="1423" ht="50.1" customHeight="1" s="3">
      <c r="A1423" s="23" t="inlineStr">
        <is>
          <t>Н</t>
        </is>
      </c>
      <c r="B1423" s="24" t="inlineStr">
        <is>
          <t>21247</t>
        </is>
      </c>
      <c r="C1423" s="23" t="inlineStr">
        <is>
          <t>ЛР</t>
        </is>
      </c>
      <c r="D1423" s="23" t="inlineStr">
        <is>
          <t>Андерсон Н.</t>
        </is>
      </c>
      <c r="E1423" s="23" t="inlineStr">
        <is>
          <t>Однажды стану твоей</t>
        </is>
      </c>
      <c r="F1423" s="23" t="n">
        <v>1180</v>
      </c>
      <c r="G1423" s="23" t="n">
        <v>94</v>
      </c>
      <c r="H1423" s="23" t="n">
        <v>10</v>
      </c>
      <c r="I1423" s="23" t="n">
        <v>30</v>
      </c>
      <c r="J1423" s="23" t="inlineStr">
        <is>
          <t>978-5-227-10520-2</t>
        </is>
      </c>
      <c r="K1423" s="23" t="inlineStr">
        <is>
          <t>70x100 1/32</t>
        </is>
      </c>
      <c r="L1423" s="23" t="inlineStr">
        <is>
          <t>мяг</t>
        </is>
      </c>
      <c r="M1423" s="23" t="n">
        <v>159</v>
      </c>
      <c r="N1423" s="23" t="n">
        <v>2024</v>
      </c>
      <c r="O1423" s="23" t="n">
        <v>76</v>
      </c>
      <c r="P1423" s="23" t="n"/>
      <c r="Q1423" s="23" t="n"/>
      <c r="R1423" s="25" t="inlineStr">
        <is>
          <t>Из-за тяжелой болезни Вайолет Саммерс провела юность затворницей. Но в один прекрасный момент она вырывается из-под родительской опеки и отправляется на другой конец планеты, чтобы узнать настоящую жизнь. Судьба сводит ее с миллиардером, который избегает серьезных отношений и сторонится людей.</t>
        </is>
      </c>
      <c r="S1423" s="26">
        <f>HYPERLINK("http://www.cnpol.ru/covers/21247.jpg","фото на сайте")</f>
        <v/>
      </c>
    </row>
    <row r="1424" ht="50.1" customHeight="1" s="3">
      <c r="A1424" s="23" t="n"/>
      <c r="B1424" s="24" t="inlineStr">
        <is>
          <t>16996</t>
        </is>
      </c>
      <c r="C1424" s="23" t="inlineStr">
        <is>
          <t>ЛР</t>
        </is>
      </c>
      <c r="D1424" s="23" t="inlineStr">
        <is>
          <t>Уэст Э.</t>
        </is>
      </c>
      <c r="E1424" s="23" t="inlineStr">
        <is>
          <t>Однажды я разлюблю</t>
        </is>
      </c>
      <c r="F1424" s="23" t="n">
        <v>650</v>
      </c>
      <c r="G1424" s="23" t="n">
        <v>94</v>
      </c>
      <c r="H1424" s="23" t="n">
        <v>10</v>
      </c>
      <c r="I1424" s="23" t="n">
        <v>30</v>
      </c>
      <c r="J1424" s="23" t="inlineStr">
        <is>
          <t>978-5-227-07035-7</t>
        </is>
      </c>
      <c r="K1424" s="23" t="inlineStr">
        <is>
          <t>70x100 1/32</t>
        </is>
      </c>
      <c r="L1424" s="23" t="inlineStr">
        <is>
          <t>мяг</t>
        </is>
      </c>
      <c r="M1424" s="23" t="n">
        <v>160</v>
      </c>
      <c r="N1424" s="23" t="n">
        <v>2016</v>
      </c>
      <c r="O1424" s="23" t="n">
        <v>76</v>
      </c>
      <c r="P1424" s="23" t="n"/>
      <c r="Q1424" s="23" t="n"/>
      <c r="R1424" s="25" t="n"/>
      <c r="S1424" s="26">
        <f>HYPERLINK("http://www.cnpol.ru/covers/16996.jpg","фото на сайте")</f>
        <v/>
      </c>
    </row>
    <row r="1425" ht="50.1" customHeight="1" s="3">
      <c r="A1425" s="23" t="n"/>
      <c r="B1425" s="24" t="inlineStr">
        <is>
          <t>15617</t>
        </is>
      </c>
      <c r="C1425" s="23" t="inlineStr">
        <is>
          <t>ЛР</t>
        </is>
      </c>
      <c r="D1425" s="23" t="inlineStr">
        <is>
          <t>Морган Р.</t>
        </is>
      </c>
      <c r="E1425" s="23" t="inlineStr">
        <is>
          <t>Одно счастье на двоих</t>
        </is>
      </c>
      <c r="F1425" s="23" t="n">
        <v>468</v>
      </c>
      <c r="G1425" s="23" t="n">
        <v>94</v>
      </c>
      <c r="H1425" s="23" t="n">
        <v>10</v>
      </c>
      <c r="I1425" s="23" t="n">
        <v>30</v>
      </c>
      <c r="J1425" s="23" t="inlineStr">
        <is>
          <t>978-5-227-05053-3</t>
        </is>
      </c>
      <c r="K1425" s="23" t="inlineStr">
        <is>
          <t>70x100 1/32</t>
        </is>
      </c>
      <c r="L1425" s="23" t="inlineStr">
        <is>
          <t>мяг</t>
        </is>
      </c>
      <c r="M1425" s="23" t="n">
        <v>158</v>
      </c>
      <c r="N1425" s="23" t="n">
        <v>2014</v>
      </c>
      <c r="O1425" s="23" t="n">
        <v>76</v>
      </c>
      <c r="P1425" s="23" t="n"/>
      <c r="Q1425" s="23" t="n"/>
      <c r="R1425" s="25" t="n"/>
      <c r="S1425" s="26">
        <f>HYPERLINK("http://www.cnpol.ru/covers/15617.jpg","фото на сайте")</f>
        <v/>
      </c>
    </row>
    <row r="1426" ht="50.1" customHeight="1" s="3">
      <c r="A1426" s="23" t="n"/>
      <c r="B1426" s="24" t="inlineStr">
        <is>
          <t>17738</t>
        </is>
      </c>
      <c r="C1426" s="23" t="inlineStr">
        <is>
          <t>ЛР</t>
        </is>
      </c>
      <c r="D1426" s="23" t="inlineStr">
        <is>
          <t>Уильямс А.</t>
        </is>
      </c>
      <c r="E1426" s="23" t="inlineStr">
        <is>
          <t>Околдованная ловеласом</t>
        </is>
      </c>
      <c r="F1426" s="23" t="n">
        <v>760</v>
      </c>
      <c r="G1426" s="23" t="n">
        <v>94</v>
      </c>
      <c r="H1426" s="23" t="n">
        <v>10</v>
      </c>
      <c r="I1426" s="23" t="n">
        <v>30</v>
      </c>
      <c r="J1426" s="23" t="inlineStr">
        <is>
          <t>978-5-227-07722-6</t>
        </is>
      </c>
      <c r="K1426" s="23" t="inlineStr">
        <is>
          <t>70x100 1/32</t>
        </is>
      </c>
      <c r="L1426" s="23" t="inlineStr">
        <is>
          <t>мяг</t>
        </is>
      </c>
      <c r="M1426" s="23" t="n">
        <v>160</v>
      </c>
      <c r="N1426" s="23" t="n">
        <v>2017</v>
      </c>
      <c r="O1426" s="23" t="n">
        <v>76</v>
      </c>
      <c r="P1426" s="23" t="n"/>
      <c r="Q1426" s="23" t="n"/>
      <c r="R1426" s="25" t="n"/>
      <c r="S1426" s="26">
        <f>HYPERLINK("http://www.cnpol.ru/covers/17738.jpg","фото на сайте")</f>
        <v/>
      </c>
    </row>
    <row r="1427" ht="50.1" customHeight="1" s="3">
      <c r="A1427" s="23" t="n"/>
      <c r="B1427" s="24" t="inlineStr">
        <is>
          <t>18098</t>
        </is>
      </c>
      <c r="C1427" s="23" t="inlineStr">
        <is>
          <t>ЛР</t>
        </is>
      </c>
      <c r="D1427" s="23" t="inlineStr">
        <is>
          <t>Томас Р.</t>
        </is>
      </c>
      <c r="E1427" s="23" t="inlineStr">
        <is>
          <t>Он мой, слышишь?</t>
        </is>
      </c>
      <c r="F1427" s="23" t="n">
        <v>804</v>
      </c>
      <c r="G1427" s="23" t="n">
        <v>94</v>
      </c>
      <c r="H1427" s="23" t="n">
        <v>10</v>
      </c>
      <c r="I1427" s="23" t="n">
        <v>30</v>
      </c>
      <c r="J1427" s="23" t="inlineStr">
        <is>
          <t>978-5-227-08091-2</t>
        </is>
      </c>
      <c r="K1427" s="23" t="inlineStr">
        <is>
          <t>70x100 1/32</t>
        </is>
      </c>
      <c r="L1427" s="23" t="inlineStr">
        <is>
          <t>мяг</t>
        </is>
      </c>
      <c r="M1427" s="23" t="n">
        <v>160</v>
      </c>
      <c r="N1427" s="23" t="n">
        <v>2018</v>
      </c>
      <c r="O1427" s="23" t="n">
        <v>76</v>
      </c>
      <c r="P1427" s="23" t="n"/>
      <c r="Q1427" s="23" t="n"/>
      <c r="R1427" s="25" t="n"/>
      <c r="S1427" s="26">
        <f>HYPERLINK("http://www.cnpol.ru/covers/18098.jpg","фото на сайте")</f>
        <v/>
      </c>
    </row>
    <row r="1428" ht="50.1" customHeight="1" s="3">
      <c r="A1428" s="23" t="n"/>
      <c r="B1428" s="24" t="inlineStr">
        <is>
          <t>12179</t>
        </is>
      </c>
      <c r="C1428" s="23" t="inlineStr">
        <is>
          <t>ЛР</t>
        </is>
      </c>
      <c r="D1428" s="23" t="inlineStr">
        <is>
          <t>Данлоп Б.</t>
        </is>
      </c>
      <c r="E1428" s="23" t="inlineStr">
        <is>
          <t>Она передумала!</t>
        </is>
      </c>
      <c r="F1428" s="23" t="n">
        <v>31</v>
      </c>
      <c r="G1428" s="23" t="n">
        <v>94</v>
      </c>
      <c r="H1428" s="23" t="n">
        <v>10</v>
      </c>
      <c r="I1428" s="23" t="n">
        <v>30</v>
      </c>
      <c r="J1428" s="23" t="inlineStr">
        <is>
          <t>978-5-227-02277-6</t>
        </is>
      </c>
      <c r="K1428" s="23" t="inlineStr">
        <is>
          <t>70x100 1/32</t>
        </is>
      </c>
      <c r="L1428" s="23" t="inlineStr">
        <is>
          <t>мяг</t>
        </is>
      </c>
      <c r="M1428" s="23" t="n">
        <v>158</v>
      </c>
      <c r="N1428" s="23" t="n">
        <v>2010</v>
      </c>
      <c r="O1428" s="23" t="n">
        <v>78</v>
      </c>
      <c r="P1428" s="23" t="n"/>
      <c r="Q1428" s="23" t="n"/>
      <c r="R1428" s="25" t="n"/>
      <c r="S1428" s="26">
        <f>HYPERLINK("http://www.cnpol.ru/covers/12179.jpg","фото на сайте")</f>
        <v/>
      </c>
    </row>
    <row r="1429" ht="50.1" customHeight="1" s="3">
      <c r="A1429" s="23" t="n"/>
      <c r="B1429" s="24" t="inlineStr">
        <is>
          <t>16213</t>
        </is>
      </c>
      <c r="C1429" s="23" t="inlineStr">
        <is>
          <t>ЛР</t>
        </is>
      </c>
      <c r="D1429" s="23" t="inlineStr">
        <is>
          <t>Уильямс А.</t>
        </is>
      </c>
      <c r="E1429" s="23" t="inlineStr">
        <is>
          <t>Опасное влечение</t>
        </is>
      </c>
      <c r="F1429" s="23" t="n">
        <v>546</v>
      </c>
      <c r="G1429" s="23" t="n">
        <v>94</v>
      </c>
      <c r="H1429" s="23" t="n">
        <v>10</v>
      </c>
      <c r="I1429" s="23" t="n">
        <v>30</v>
      </c>
      <c r="J1429" s="23" t="inlineStr">
        <is>
          <t>978-5-227-06145-4</t>
        </is>
      </c>
      <c r="K1429" s="23" t="inlineStr">
        <is>
          <t>70x100 1/32</t>
        </is>
      </c>
      <c r="L1429" s="23" t="inlineStr">
        <is>
          <t>мяг</t>
        </is>
      </c>
      <c r="M1429" s="23" t="n">
        <v>158</v>
      </c>
      <c r="N1429" s="23" t="n">
        <v>2015</v>
      </c>
      <c r="O1429" s="23" t="n">
        <v>76</v>
      </c>
      <c r="P1429" s="23" t="n"/>
      <c r="Q1429" s="23" t="n"/>
      <c r="R1429" s="25" t="n"/>
      <c r="S1429" s="26">
        <f>HYPERLINK("http://www.cnpol.ru/covers/16213.jpg","фото на сайте")</f>
        <v/>
      </c>
    </row>
    <row r="1430" ht="50.1" customHeight="1" s="3">
      <c r="A1430" s="23" t="n"/>
      <c r="B1430" s="24" t="inlineStr">
        <is>
          <t>15639</t>
        </is>
      </c>
      <c r="C1430" s="23" t="inlineStr">
        <is>
          <t>ЛР</t>
        </is>
      </c>
      <c r="D1430" s="23" t="inlineStr">
        <is>
          <t>Крейвен С.</t>
        </is>
      </c>
      <c r="E1430" s="23" t="inlineStr">
        <is>
          <t>Опытный соблазнитель</t>
        </is>
      </c>
      <c r="F1430" s="23" t="n">
        <v>470</v>
      </c>
      <c r="G1430" s="23" t="n">
        <v>94</v>
      </c>
      <c r="H1430" s="23" t="n">
        <v>10</v>
      </c>
      <c r="I1430" s="23" t="n">
        <v>30</v>
      </c>
      <c r="J1430" s="23" t="inlineStr">
        <is>
          <t>978-5-227-05055-7</t>
        </is>
      </c>
      <c r="K1430" s="23" t="inlineStr">
        <is>
          <t>70x100 1/32</t>
        </is>
      </c>
      <c r="L1430" s="23" t="inlineStr">
        <is>
          <t>мяг</t>
        </is>
      </c>
      <c r="M1430" s="23" t="n">
        <v>158</v>
      </c>
      <c r="N1430" s="23" t="n">
        <v>2014</v>
      </c>
      <c r="O1430" s="23" t="n">
        <v>74</v>
      </c>
      <c r="P1430" s="23" t="n"/>
      <c r="Q1430" s="23" t="n"/>
      <c r="R1430" s="25" t="n"/>
      <c r="S1430" s="26">
        <f>HYPERLINK("http://www.cnpol.ru/covers/15639.jpg","фото на сайте")</f>
        <v/>
      </c>
    </row>
    <row r="1431" ht="50.1" customHeight="1" s="3">
      <c r="A1431" s="23" t="n"/>
      <c r="B1431" s="24" t="inlineStr">
        <is>
          <t>20316</t>
        </is>
      </c>
      <c r="C1431" s="23" t="inlineStr">
        <is>
          <t>ЛР</t>
        </is>
      </c>
      <c r="D1431" s="23" t="inlineStr">
        <is>
          <t>Леммон Д.</t>
        </is>
      </c>
      <c r="E1431" s="23" t="inlineStr">
        <is>
          <t>Опьяняющая нежность</t>
        </is>
      </c>
      <c r="F1431" s="23" t="n">
        <v>1100</v>
      </c>
      <c r="G1431" s="23" t="n">
        <v>94</v>
      </c>
      <c r="H1431" s="23" t="n">
        <v>10</v>
      </c>
      <c r="I1431" s="23" t="n">
        <v>30</v>
      </c>
      <c r="J1431" s="23" t="inlineStr">
        <is>
          <t>978-5-227-09924-2</t>
        </is>
      </c>
      <c r="K1431" s="23" t="inlineStr">
        <is>
          <t>70x100 1/32</t>
        </is>
      </c>
      <c r="L1431" s="23" t="inlineStr">
        <is>
          <t>мяг</t>
        </is>
      </c>
      <c r="M1431" s="23" t="n">
        <v>159</v>
      </c>
      <c r="N1431" s="23" t="n">
        <v>2022</v>
      </c>
      <c r="O1431" s="23" t="n">
        <v>76</v>
      </c>
      <c r="P1431" s="23" t="n"/>
      <c r="Q1431" s="23" t="n"/>
      <c r="R1431" s="25" t="n"/>
      <c r="S1431" s="26">
        <f>HYPERLINK("http://www.cnpol.ru/covers/20316.jpg","фото на сайте")</f>
        <v/>
      </c>
    </row>
    <row r="1432" ht="50.1" customHeight="1" s="3">
      <c r="A1432" s="23" t="n"/>
      <c r="B1432" s="24" t="inlineStr">
        <is>
          <t>18885</t>
        </is>
      </c>
      <c r="C1432" s="23" t="inlineStr">
        <is>
          <t>ЛР</t>
        </is>
      </c>
      <c r="D1432" s="23" t="inlineStr">
        <is>
          <t>Кадмор К.</t>
        </is>
      </c>
      <c r="E1432" s="23" t="inlineStr">
        <is>
          <t>Останься со мной сейчас</t>
        </is>
      </c>
      <c r="F1432" s="23" t="n">
        <v>929</v>
      </c>
      <c r="G1432" s="23" t="n">
        <v>94</v>
      </c>
      <c r="H1432" s="23" t="n">
        <v>10</v>
      </c>
      <c r="I1432" s="23" t="n">
        <v>30</v>
      </c>
      <c r="J1432" s="23" t="inlineStr">
        <is>
          <t>978-5-227-08731-7</t>
        </is>
      </c>
      <c r="K1432" s="23" t="inlineStr">
        <is>
          <t>70x100 1/32</t>
        </is>
      </c>
      <c r="L1432" s="23" t="inlineStr">
        <is>
          <t>мяг</t>
        </is>
      </c>
      <c r="M1432" s="23" t="n">
        <v>160</v>
      </c>
      <c r="N1432" s="23" t="n">
        <v>2019</v>
      </c>
      <c r="O1432" s="23" t="n">
        <v>76</v>
      </c>
      <c r="P1432" s="23" t="n"/>
      <c r="Q1432" s="23" t="n"/>
      <c r="R1432" s="25" t="n"/>
      <c r="S1432" s="26">
        <f>HYPERLINK("http://www.cnpol.ru/covers/18885.jpg","фото на сайте")</f>
        <v/>
      </c>
    </row>
    <row r="1433" ht="50.1" customHeight="1" s="3">
      <c r="A1433" s="23" t="n"/>
      <c r="B1433" s="24" t="inlineStr">
        <is>
          <t>17154</t>
        </is>
      </c>
      <c r="C1433" s="23" t="inlineStr">
        <is>
          <t>ЛР</t>
        </is>
      </c>
      <c r="D1433" s="23" t="inlineStr">
        <is>
          <t>Логан Н.</t>
        </is>
      </c>
      <c r="E1433" s="23" t="inlineStr">
        <is>
          <t>Острота ощущений</t>
        </is>
      </c>
      <c r="F1433" s="23" t="n">
        <v>670</v>
      </c>
      <c r="G1433" s="23" t="n">
        <v>94</v>
      </c>
      <c r="H1433" s="23" t="n">
        <v>10</v>
      </c>
      <c r="I1433" s="23" t="n">
        <v>30</v>
      </c>
      <c r="J1433" s="23" t="inlineStr">
        <is>
          <t>978-5-227-07120-0</t>
        </is>
      </c>
      <c r="K1433" s="23" t="inlineStr">
        <is>
          <t>70x100 1/32</t>
        </is>
      </c>
      <c r="L1433" s="23" t="inlineStr">
        <is>
          <t>мяг</t>
        </is>
      </c>
      <c r="M1433" s="23" t="n">
        <v>160</v>
      </c>
      <c r="N1433" s="23" t="n">
        <v>2016</v>
      </c>
      <c r="O1433" s="23" t="n">
        <v>76</v>
      </c>
      <c r="P1433" s="23" t="n"/>
      <c r="Q1433" s="23" t="n"/>
      <c r="R1433" s="25" t="n"/>
      <c r="S1433" s="26">
        <f>HYPERLINK("http://www.cnpol.ru/covers/17154.jpg","фото на сайте")</f>
        <v/>
      </c>
    </row>
    <row r="1434" ht="50.1" customHeight="1" s="3">
      <c r="A1434" s="23" t="n"/>
      <c r="B1434" s="24" t="inlineStr">
        <is>
          <t>17396</t>
        </is>
      </c>
      <c r="C1434" s="23" t="inlineStr">
        <is>
          <t>ЛР</t>
        </is>
      </c>
      <c r="D1434" s="23" t="inlineStr">
        <is>
          <t>Маккелен Кристи</t>
        </is>
      </c>
      <c r="E1434" s="23" t="inlineStr">
        <is>
          <t>От судьбы не уйти</t>
        </is>
      </c>
      <c r="F1434" s="23" t="n">
        <v>705</v>
      </c>
      <c r="G1434" s="23" t="n">
        <v>94</v>
      </c>
      <c r="H1434" s="23" t="n">
        <v>10</v>
      </c>
      <c r="I1434" s="23" t="n">
        <v>30</v>
      </c>
      <c r="J1434" s="23" t="inlineStr">
        <is>
          <t>978-5-227-07440-9</t>
        </is>
      </c>
      <c r="K1434" s="23" t="inlineStr">
        <is>
          <t>70x100 1/32</t>
        </is>
      </c>
      <c r="L1434" s="23" t="inlineStr">
        <is>
          <t>мяг</t>
        </is>
      </c>
      <c r="M1434" s="23" t="n">
        <v>160</v>
      </c>
      <c r="N1434" s="23" t="n">
        <v>2017</v>
      </c>
      <c r="O1434" s="23" t="n">
        <v>76</v>
      </c>
      <c r="P1434" s="23" t="n"/>
      <c r="Q1434" s="23" t="n"/>
      <c r="R1434" s="25" t="n"/>
      <c r="S1434" s="26">
        <f>HYPERLINK("http://www.cnpol.ru/covers/17396.jpg","фото на сайте")</f>
        <v/>
      </c>
    </row>
    <row r="1435" ht="50.1" customHeight="1" s="3">
      <c r="A1435" s="23" t="n"/>
      <c r="B1435" s="24" t="inlineStr">
        <is>
          <t>19426</t>
        </is>
      </c>
      <c r="C1435" s="23" t="inlineStr">
        <is>
          <t>ЛР</t>
        </is>
      </c>
      <c r="D1435" s="23" t="inlineStr">
        <is>
          <t>Даймон Х</t>
        </is>
      </c>
      <c r="E1435" s="23" t="inlineStr">
        <is>
          <t>Отдать все за ее любовь</t>
        </is>
      </c>
      <c r="F1435" s="23" t="n">
        <v>1008</v>
      </c>
      <c r="G1435" s="23" t="n">
        <v>94</v>
      </c>
      <c r="H1435" s="23" t="n">
        <v>10</v>
      </c>
      <c r="I1435" s="23" t="n">
        <v>30</v>
      </c>
      <c r="J1435" s="23" t="inlineStr">
        <is>
          <t>978-5-227-09112-3</t>
        </is>
      </c>
      <c r="K1435" s="23" t="inlineStr">
        <is>
          <t>70x100 1/32</t>
        </is>
      </c>
      <c r="L1435" s="23" t="inlineStr">
        <is>
          <t>мяг</t>
        </is>
      </c>
      <c r="M1435" s="23" t="n">
        <v>160</v>
      </c>
      <c r="N1435" s="23" t="n">
        <v>2020</v>
      </c>
      <c r="O1435" s="23" t="n">
        <v>76</v>
      </c>
      <c r="P1435" s="23" t="n"/>
      <c r="Q1435" s="23" t="n"/>
      <c r="R1435" s="25" t="n"/>
      <c r="S1435" s="26">
        <f>HYPERLINK("http://www.cnpol.ru/covers/19426.jpg","фото на сайте")</f>
        <v/>
      </c>
    </row>
    <row r="1436" ht="50.1" customHeight="1" s="3">
      <c r="A1436" s="23" t="n"/>
      <c r="B1436" s="24" t="inlineStr">
        <is>
          <t>14938</t>
        </is>
      </c>
      <c r="C1436" s="23" t="inlineStr">
        <is>
          <t>ЛР</t>
        </is>
      </c>
      <c r="D1436" s="23" t="inlineStr">
        <is>
          <t>Милберн М.</t>
        </is>
      </c>
      <c r="E1436" s="23" t="inlineStr">
        <is>
          <t>Отдать все, кроме сердца</t>
        </is>
      </c>
      <c r="F1436" s="23" t="n">
        <v>390</v>
      </c>
      <c r="G1436" s="23" t="n">
        <v>94</v>
      </c>
      <c r="H1436" s="23" t="n">
        <v>10</v>
      </c>
      <c r="I1436" s="23" t="n">
        <v>30</v>
      </c>
      <c r="J1436" s="23" t="inlineStr">
        <is>
          <t>978-5-227-04875-2</t>
        </is>
      </c>
      <c r="K1436" s="23" t="inlineStr">
        <is>
          <t>70x100 1/32</t>
        </is>
      </c>
      <c r="L1436" s="23" t="inlineStr">
        <is>
          <t>мяг</t>
        </is>
      </c>
      <c r="M1436" s="23" t="n">
        <v>158</v>
      </c>
      <c r="N1436" s="23" t="n">
        <v>2014</v>
      </c>
      <c r="O1436" s="23" t="n">
        <v>76</v>
      </c>
      <c r="P1436" s="23" t="n"/>
      <c r="Q1436" s="23" t="n"/>
      <c r="R1436" s="25" t="n"/>
      <c r="S1436" s="26">
        <f>HYPERLINK("http://www.cnpol.ru/covers/14938.jpg","фото на сайте")</f>
        <v/>
      </c>
    </row>
    <row r="1437" ht="50.1" customHeight="1" s="3">
      <c r="A1437" s="23" t="n"/>
      <c r="B1437" s="24" t="inlineStr">
        <is>
          <t>16963</t>
        </is>
      </c>
      <c r="C1437" s="23" t="inlineStr">
        <is>
          <t>ЛР</t>
        </is>
      </c>
      <c r="D1437" s="23" t="inlineStr">
        <is>
          <t>Кендрик Ш.</t>
        </is>
      </c>
      <c r="E1437" s="23" t="inlineStr">
        <is>
          <t>Отказать мистеру совершенство</t>
        </is>
      </c>
      <c r="F1437" s="23" t="n">
        <v>644</v>
      </c>
      <c r="G1437" s="23" t="n">
        <v>94</v>
      </c>
      <c r="H1437" s="23" t="n">
        <v>10</v>
      </c>
      <c r="I1437" s="23" t="n">
        <v>30</v>
      </c>
      <c r="J1437" s="23" t="inlineStr">
        <is>
          <t>978-5-227-06858-3</t>
        </is>
      </c>
      <c r="K1437" s="23" t="inlineStr">
        <is>
          <t>70x100 1/32</t>
        </is>
      </c>
      <c r="L1437" s="23" t="inlineStr">
        <is>
          <t>мяг</t>
        </is>
      </c>
      <c r="M1437" s="23" t="n">
        <v>160</v>
      </c>
      <c r="N1437" s="23" t="n">
        <v>2016</v>
      </c>
      <c r="O1437" s="23" t="n">
        <v>76</v>
      </c>
      <c r="P1437" s="23" t="n"/>
      <c r="Q1437" s="23" t="n"/>
      <c r="R1437" s="25" t="n"/>
      <c r="S1437" s="26">
        <f>HYPERLINK("http://www.cnpol.ru/covers/16963.jpg","фото на сайте")</f>
        <v/>
      </c>
    </row>
    <row r="1438" ht="50.1" customHeight="1" s="3">
      <c r="A1438" s="23" t="n"/>
      <c r="B1438" s="24" t="inlineStr">
        <is>
          <t>19614</t>
        </is>
      </c>
      <c r="C1438" s="23" t="inlineStr">
        <is>
          <t>ЛР</t>
        </is>
      </c>
      <c r="D1438" s="23" t="inlineStr">
        <is>
          <t>Вейд Д.</t>
        </is>
      </c>
      <c r="E1438" s="23" t="inlineStr">
        <is>
          <t>Откровения соблазна</t>
        </is>
      </c>
      <c r="F1438" s="23" t="n">
        <v>1030</v>
      </c>
      <c r="G1438" s="23" t="n">
        <v>94</v>
      </c>
      <c r="H1438" s="23" t="n">
        <v>10</v>
      </c>
      <c r="I1438" s="23" t="n">
        <v>30</v>
      </c>
      <c r="J1438" s="23" t="inlineStr">
        <is>
          <t>978-5-227-09274-8</t>
        </is>
      </c>
      <c r="K1438" s="23" t="inlineStr">
        <is>
          <t>70x100 1/32</t>
        </is>
      </c>
      <c r="L1438" s="23" t="inlineStr">
        <is>
          <t>мяг</t>
        </is>
      </c>
      <c r="M1438" s="23" t="n">
        <v>160</v>
      </c>
      <c r="N1438" s="23" t="n">
        <v>2021</v>
      </c>
      <c r="O1438" s="23" t="n">
        <v>76</v>
      </c>
      <c r="P1438" s="23" t="n"/>
      <c r="Q1438" s="23" t="n"/>
      <c r="R1438" s="25" t="n"/>
      <c r="S1438" s="26">
        <f>HYPERLINK("http://www.cnpol.ru/covers/19614.jpg","фото на сайте")</f>
        <v/>
      </c>
    </row>
    <row r="1439" ht="50.1" customHeight="1" s="3">
      <c r="A1439" s="23" t="n"/>
      <c r="B1439" s="24" t="inlineStr">
        <is>
          <t>20630</t>
        </is>
      </c>
      <c r="C1439" s="23" t="inlineStr">
        <is>
          <t>ЛР</t>
        </is>
      </c>
      <c r="D1439" s="23" t="inlineStr">
        <is>
          <t>Сен­Джон Я.</t>
        </is>
      </c>
      <c r="E1439" s="23" t="inlineStr">
        <is>
          <t>Открой дверь в прошлое</t>
        </is>
      </c>
      <c r="F1439" s="23" t="n">
        <v>1136</v>
      </c>
      <c r="G1439" s="23" t="n">
        <v>94</v>
      </c>
      <c r="H1439" s="23" t="n">
        <v>10</v>
      </c>
      <c r="I1439" s="23" t="n">
        <v>30</v>
      </c>
      <c r="J1439" s="23" t="inlineStr">
        <is>
          <t>978-5-227-10287-4</t>
        </is>
      </c>
      <c r="K1439" s="23" t="inlineStr">
        <is>
          <t>70x100 1/32</t>
        </is>
      </c>
      <c r="L1439" s="23" t="inlineStr">
        <is>
          <t>мяг</t>
        </is>
      </c>
      <c r="M1439" s="23" t="n">
        <v>159</v>
      </c>
      <c r="N1439" s="23" t="n">
        <v>2023</v>
      </c>
      <c r="O1439" s="23" t="n">
        <v>76</v>
      </c>
      <c r="P1439" s="23" t="n"/>
      <c r="Q1439" s="23" t="n"/>
      <c r="R1439" s="25" t="inlineStr">
        <is>
          <t>Шантель Уилсон, известный психолог, неожиданно для самой себя отправляется на аукцион холостяков. Так она решает угодить своему другу. На мероприятии Шантель делает ставку на Романа Локетта, брата ее приятеля. Результатом этого шага стала бурная страстная ночь с незабываемым красавчиком, обернувшаяся незапланированной беременностью. Роман оказывается порядочным мужчиной, он предлагает Шантель брак, но та решительно отказывается, потому что всю жизнь мечтала о неземной любви…</t>
        </is>
      </c>
      <c r="S1439" s="26">
        <f>HYPERLINK("http://www.cnpol.ru/covers/20630.jpg","фото на сайте")</f>
        <v/>
      </c>
    </row>
    <row r="1440" ht="50.1" customHeight="1" s="3">
      <c r="A1440" s="23" t="n"/>
      <c r="B1440" s="24" t="inlineStr">
        <is>
          <t>19670</t>
        </is>
      </c>
      <c r="C1440" s="23" t="inlineStr">
        <is>
          <t>ЛР</t>
        </is>
      </c>
      <c r="D1440" s="23" t="inlineStr">
        <is>
          <t>Ли Д.</t>
        </is>
      </c>
      <c r="E1440" s="23" t="inlineStr">
        <is>
          <t>Открой свое сердце</t>
        </is>
      </c>
      <c r="F1440" s="23" t="n">
        <v>1037</v>
      </c>
      <c r="G1440" s="23" t="n">
        <v>94</v>
      </c>
      <c r="H1440" s="23" t="n">
        <v>10</v>
      </c>
      <c r="I1440" s="23" t="n">
        <v>30</v>
      </c>
      <c r="J1440" s="23" t="inlineStr">
        <is>
          <t>978-5-227-09293-9</t>
        </is>
      </c>
      <c r="K1440" s="23" t="inlineStr">
        <is>
          <t>70x100 1/32</t>
        </is>
      </c>
      <c r="L1440" s="23" t="inlineStr">
        <is>
          <t>мяг</t>
        </is>
      </c>
      <c r="M1440" s="23" t="n">
        <v>160</v>
      </c>
      <c r="N1440" s="23" t="n">
        <v>2021</v>
      </c>
      <c r="O1440" s="23" t="n">
        <v>76</v>
      </c>
      <c r="P1440" s="23" t="n"/>
      <c r="Q1440" s="23" t="n"/>
      <c r="R1440" s="25" t="n"/>
      <c r="S1440" s="26">
        <f>HYPERLINK("http://www.cnpol.ru/covers/19670.jpg","фото на сайте")</f>
        <v/>
      </c>
    </row>
    <row r="1441" ht="50.1" customHeight="1" s="3">
      <c r="A1441" s="23" t="n"/>
      <c r="B1441" s="24" t="inlineStr">
        <is>
          <t>18537</t>
        </is>
      </c>
      <c r="C1441" s="23" t="inlineStr">
        <is>
          <t>ЛР</t>
        </is>
      </c>
      <c r="D1441" s="23" t="inlineStr">
        <is>
          <t>Грэхем Л.</t>
        </is>
      </c>
      <c r="E1441" s="23" t="inlineStr">
        <is>
          <t>Отложенное счастье</t>
        </is>
      </c>
      <c r="F1441" s="23" t="n">
        <v>874</v>
      </c>
      <c r="G1441" s="23" t="n">
        <v>94</v>
      </c>
      <c r="H1441" s="23" t="n">
        <v>10</v>
      </c>
      <c r="I1441" s="23" t="n">
        <v>30</v>
      </c>
      <c r="J1441" s="23" t="inlineStr">
        <is>
          <t>978-5-227-08434-7</t>
        </is>
      </c>
      <c r="K1441" s="23" t="inlineStr">
        <is>
          <t>70x100 1/32</t>
        </is>
      </c>
      <c r="L1441" s="23" t="inlineStr">
        <is>
          <t>мяг</t>
        </is>
      </c>
      <c r="M1441" s="23" t="n">
        <v>160</v>
      </c>
      <c r="N1441" s="23" t="n">
        <v>2019</v>
      </c>
      <c r="O1441" s="23" t="n">
        <v>76</v>
      </c>
      <c r="P1441" s="23" t="n"/>
      <c r="Q1441" s="23" t="n"/>
      <c r="R1441" s="25" t="n"/>
      <c r="S1441" s="26">
        <f>HYPERLINK("http://www.cnpol.ru/covers/18537.jpg","фото на сайте")</f>
        <v/>
      </c>
    </row>
    <row r="1442" ht="50.1" customHeight="1" s="3">
      <c r="A1442" s="23" t="n"/>
      <c r="B1442" s="24" t="inlineStr">
        <is>
          <t>17059</t>
        </is>
      </c>
      <c r="C1442" s="23" t="inlineStr">
        <is>
          <t>ЛР</t>
        </is>
      </c>
      <c r="D1442" s="23" t="inlineStr">
        <is>
          <t>Пемброк С.</t>
        </is>
      </c>
      <c r="E1442" s="23" t="inlineStr">
        <is>
          <t>Отмени мое одиночество</t>
        </is>
      </c>
      <c r="F1442" s="23" t="n">
        <v>659</v>
      </c>
      <c r="G1442" s="23" t="n">
        <v>94</v>
      </c>
      <c r="H1442" s="23" t="n">
        <v>10</v>
      </c>
      <c r="I1442" s="23" t="n">
        <v>30</v>
      </c>
      <c r="J1442" s="23" t="inlineStr">
        <is>
          <t>978-5-227-07068-5</t>
        </is>
      </c>
      <c r="K1442" s="23" t="inlineStr">
        <is>
          <t>70x100 1/32</t>
        </is>
      </c>
      <c r="L1442" s="23" t="inlineStr">
        <is>
          <t>мяг</t>
        </is>
      </c>
      <c r="M1442" s="23" t="n">
        <v>160</v>
      </c>
      <c r="N1442" s="23" t="n">
        <v>2016</v>
      </c>
      <c r="O1442" s="23" t="n">
        <v>76</v>
      </c>
      <c r="P1442" s="23" t="n"/>
      <c r="Q1442" s="23" t="n"/>
      <c r="R1442" s="25" t="n"/>
      <c r="S1442" s="26">
        <f>HYPERLINK("http://www.cnpol.ru/covers/17059.jpg","фото на сайте")</f>
        <v/>
      </c>
    </row>
    <row r="1443" ht="50.1" customHeight="1" s="3">
      <c r="A1443" s="23" t="n"/>
      <c r="B1443" s="24" t="inlineStr">
        <is>
          <t>19114</t>
        </is>
      </c>
      <c r="C1443" s="23" t="inlineStr">
        <is>
          <t>ЛР</t>
        </is>
      </c>
      <c r="D1443" s="23" t="inlineStr">
        <is>
          <t>Сингх Н.</t>
        </is>
      </c>
      <c r="E1443" s="23" t="inlineStr">
        <is>
          <t>Отпразднуем развод!</t>
        </is>
      </c>
      <c r="F1443" s="23" t="n">
        <v>969</v>
      </c>
      <c r="G1443" s="23" t="n">
        <v>94</v>
      </c>
      <c r="H1443" s="23" t="n">
        <v>10</v>
      </c>
      <c r="I1443" s="23" t="n">
        <v>30</v>
      </c>
      <c r="J1443" s="23" t="inlineStr">
        <is>
          <t>978-5-227-08941-0</t>
        </is>
      </c>
      <c r="K1443" s="23" t="inlineStr">
        <is>
          <t>70x100 1/32</t>
        </is>
      </c>
      <c r="L1443" s="23" t="inlineStr">
        <is>
          <t>мяг</t>
        </is>
      </c>
      <c r="M1443" s="23" t="n">
        <v>160</v>
      </c>
      <c r="N1443" s="23" t="n">
        <v>2020</v>
      </c>
      <c r="O1443" s="23" t="n">
        <v>76</v>
      </c>
      <c r="P1443" s="23" t="n"/>
      <c r="Q1443" s="23" t="n"/>
      <c r="R1443" s="25" t="n"/>
      <c r="S1443" s="26">
        <f>HYPERLINK("http://www.cnpol.ru/covers/19114.jpg","фото на сайте")</f>
        <v/>
      </c>
    </row>
    <row r="1444" ht="50.1" customHeight="1" s="3">
      <c r="A1444" s="23" t="n"/>
      <c r="B1444" s="24" t="inlineStr">
        <is>
          <t>17578</t>
        </is>
      </c>
      <c r="C1444" s="23" t="inlineStr">
        <is>
          <t>ЛР</t>
        </is>
      </c>
      <c r="D1444" s="23" t="inlineStr">
        <is>
          <t>Блейк М.</t>
        </is>
      </c>
      <c r="E1444" s="23" t="inlineStr">
        <is>
          <t>Очарование невинности</t>
        </is>
      </c>
      <c r="F1444" s="23" t="n">
        <v>733</v>
      </c>
      <c r="G1444" s="23" t="n">
        <v>94</v>
      </c>
      <c r="H1444" s="23" t="n">
        <v>10</v>
      </c>
      <c r="I1444" s="23" t="n">
        <v>30</v>
      </c>
      <c r="J1444" s="23" t="inlineStr">
        <is>
          <t>978-5-227-07612-0</t>
        </is>
      </c>
      <c r="K1444" s="23" t="inlineStr">
        <is>
          <t>70x100 1/32</t>
        </is>
      </c>
      <c r="L1444" s="23" t="inlineStr">
        <is>
          <t>мяг</t>
        </is>
      </c>
      <c r="M1444" s="23" t="n">
        <v>160</v>
      </c>
      <c r="N1444" s="23" t="n">
        <v>2017</v>
      </c>
      <c r="O1444" s="23" t="n">
        <v>76</v>
      </c>
      <c r="P1444" s="23" t="n"/>
      <c r="Q1444" s="23" t="n"/>
      <c r="R1444" s="25" t="n"/>
      <c r="S1444" s="26">
        <f>HYPERLINK("http://www.cnpol.ru/covers/17578.jpg","фото на сайте")</f>
        <v/>
      </c>
    </row>
    <row r="1445" ht="50.1" customHeight="1" s="3">
      <c r="A1445" s="23" t="n"/>
      <c r="B1445" s="24" t="inlineStr">
        <is>
          <t>17621</t>
        </is>
      </c>
      <c r="C1445" s="23" t="inlineStr">
        <is>
          <t>ЛР</t>
        </is>
      </c>
      <c r="D1445" s="23" t="inlineStr">
        <is>
          <t>Карр С.</t>
        </is>
      </c>
      <c r="E1445" s="23" t="inlineStr">
        <is>
          <t>Персональный рай</t>
        </is>
      </c>
      <c r="F1445" s="23" t="n">
        <v>741</v>
      </c>
      <c r="G1445" s="23" t="n">
        <v>94</v>
      </c>
      <c r="H1445" s="23" t="n">
        <v>10</v>
      </c>
      <c r="I1445" s="23" t="n">
        <v>30</v>
      </c>
      <c r="J1445" s="23" t="inlineStr">
        <is>
          <t>978-5-227-07637-3</t>
        </is>
      </c>
      <c r="K1445" s="23" t="inlineStr">
        <is>
          <t>70x100 1/32</t>
        </is>
      </c>
      <c r="L1445" s="23" t="inlineStr">
        <is>
          <t>мяг</t>
        </is>
      </c>
      <c r="M1445" s="23" t="n">
        <v>160</v>
      </c>
      <c r="N1445" s="23" t="n">
        <v>2017</v>
      </c>
      <c r="O1445" s="23" t="n">
        <v>76</v>
      </c>
      <c r="P1445" s="23" t="n"/>
      <c r="Q1445" s="23" t="n"/>
      <c r="R1445" s="25" t="n"/>
      <c r="S1445" s="26">
        <f>HYPERLINK("http://www.cnpol.ru/covers/17621.jpg","фото на сайте")</f>
        <v/>
      </c>
    </row>
    <row r="1446" ht="50.1" customHeight="1" s="3">
      <c r="A1446" s="23" t="n"/>
      <c r="B1446" s="24" t="inlineStr">
        <is>
          <t>20434</t>
        </is>
      </c>
      <c r="C1446" s="23" t="inlineStr">
        <is>
          <t>ЛР</t>
        </is>
      </c>
      <c r="D1446" s="23" t="inlineStr">
        <is>
          <t>Саймон Н.</t>
        </is>
      </c>
      <c r="E1446" s="23" t="inlineStr">
        <is>
          <t>Пик тайной страсти</t>
        </is>
      </c>
      <c r="F1446" s="23" t="n">
        <v>1113</v>
      </c>
      <c r="G1446" s="23" t="n">
        <v>94</v>
      </c>
      <c r="H1446" s="23" t="n">
        <v>10</v>
      </c>
      <c r="I1446" s="23" t="n">
        <v>30</v>
      </c>
      <c r="J1446" s="23" t="inlineStr">
        <is>
          <t>978-5-227-10123-5</t>
        </is>
      </c>
      <c r="K1446" s="23" t="inlineStr">
        <is>
          <t>70x100 1/32</t>
        </is>
      </c>
      <c r="L1446" s="23" t="inlineStr">
        <is>
          <t>мяг</t>
        </is>
      </c>
      <c r="M1446" s="23" t="n">
        <v>159</v>
      </c>
      <c r="N1446" s="23" t="n">
        <v>2022</v>
      </c>
      <c r="O1446" s="23" t="n">
        <v>76</v>
      </c>
      <c r="P1446" s="23" t="n"/>
      <c r="Q1446" s="23" t="n"/>
      <c r="R1446" s="25" t="inlineStr">
        <is>
          <t>Его называли Дикий Фаррелл. Он и был таким — нелюдимым, не желавшим ни к кому привязываться. Но эта женщина — Мика — запала ему в сердце. В прошлом у обоих был печальный опыт неудачных отношений. Неужели судьба дарит им второй шанс?</t>
        </is>
      </c>
      <c r="S1446" s="26">
        <f>HYPERLINK("http://www.cnpol.ru/covers/20434.jpg","фото на сайте")</f>
        <v/>
      </c>
    </row>
    <row r="1447" ht="50.1" customHeight="1" s="3">
      <c r="A1447" s="23" t="n"/>
      <c r="B1447" s="24" t="inlineStr">
        <is>
          <t>18724</t>
        </is>
      </c>
      <c r="C1447" s="23" t="inlineStr">
        <is>
          <t>ЛР</t>
        </is>
      </c>
      <c r="D1447" s="23" t="inlineStr">
        <is>
          <t>Лукас Д.</t>
        </is>
      </c>
      <c r="E1447" s="23" t="inlineStr">
        <is>
          <t>Пламенная цель итальянца</t>
        </is>
      </c>
      <c r="F1447" s="23" t="n">
        <v>903</v>
      </c>
      <c r="G1447" s="23" t="n">
        <v>94</v>
      </c>
      <c r="H1447" s="23" t="n">
        <v>10</v>
      </c>
      <c r="I1447" s="23" t="n">
        <v>30</v>
      </c>
      <c r="J1447" s="23" t="inlineStr">
        <is>
          <t>978-5-227-08578-8</t>
        </is>
      </c>
      <c r="K1447" s="23" t="inlineStr">
        <is>
          <t>70x100 1/32</t>
        </is>
      </c>
      <c r="L1447" s="23" t="inlineStr">
        <is>
          <t>мяг</t>
        </is>
      </c>
      <c r="M1447" s="23" t="n">
        <v>160</v>
      </c>
      <c r="N1447" s="23" t="n">
        <v>2019</v>
      </c>
      <c r="O1447" s="23" t="n">
        <v>76</v>
      </c>
      <c r="P1447" s="23" t="n"/>
      <c r="Q1447" s="23" t="n"/>
      <c r="R1447" s="25" t="n"/>
      <c r="S1447" s="26">
        <f>HYPERLINK("http://www.cnpol.ru/covers/18724.jpg","фото на сайте")</f>
        <v/>
      </c>
    </row>
    <row r="1448" ht="50.1" customHeight="1" s="3">
      <c r="A1448" s="23" t="n"/>
      <c r="B1448" s="24" t="inlineStr">
        <is>
          <t>18603</t>
        </is>
      </c>
      <c r="C1448" s="23" t="inlineStr">
        <is>
          <t>ЛР</t>
        </is>
      </c>
      <c r="D1448" s="23" t="inlineStr">
        <is>
          <t>Уинтерз Р.</t>
        </is>
      </c>
      <c r="E1448" s="23" t="inlineStr">
        <is>
          <t>Плейбой с сердцем романтика</t>
        </is>
      </c>
      <c r="F1448" s="23" t="n">
        <v>884</v>
      </c>
      <c r="G1448" s="23" t="n">
        <v>94</v>
      </c>
      <c r="H1448" s="23" t="n">
        <v>10</v>
      </c>
      <c r="I1448" s="23" t="n">
        <v>30</v>
      </c>
      <c r="J1448" s="23" t="inlineStr">
        <is>
          <t>978-5-227-08508-5</t>
        </is>
      </c>
      <c r="K1448" s="23" t="inlineStr">
        <is>
          <t>70x100 1/32</t>
        </is>
      </c>
      <c r="L1448" s="23" t="inlineStr">
        <is>
          <t>мяг</t>
        </is>
      </c>
      <c r="M1448" s="23" t="n">
        <v>160</v>
      </c>
      <c r="N1448" s="23" t="n">
        <v>2019</v>
      </c>
      <c r="O1448" s="23" t="n">
        <v>78</v>
      </c>
      <c r="P1448" s="23" t="n"/>
      <c r="Q1448" s="23" t="n"/>
      <c r="R1448" s="25" t="n"/>
      <c r="S1448" s="26">
        <f>HYPERLINK("http://www.cnpol.ru/covers/18603.jpg","фото на сайте")</f>
        <v/>
      </c>
    </row>
    <row r="1449" ht="50.1" customHeight="1" s="3">
      <c r="A1449" s="23" t="n"/>
      <c r="B1449" s="24" t="inlineStr">
        <is>
          <t>18381</t>
        </is>
      </c>
      <c r="C1449" s="23" t="inlineStr">
        <is>
          <t>ЛР</t>
        </is>
      </c>
      <c r="D1449" s="23" t="inlineStr">
        <is>
          <t>Пэмми Т.</t>
        </is>
      </c>
      <c r="E1449" s="23" t="inlineStr">
        <is>
          <t>Пленительная невинность</t>
        </is>
      </c>
      <c r="F1449" s="23" t="n">
        <v>848</v>
      </c>
      <c r="G1449" s="23" t="n">
        <v>94</v>
      </c>
      <c r="H1449" s="23" t="n">
        <v>10</v>
      </c>
      <c r="I1449" s="23" t="n">
        <v>30</v>
      </c>
      <c r="J1449" s="23" t="inlineStr">
        <is>
          <t>978-5-2270-8353-1</t>
        </is>
      </c>
      <c r="K1449" s="23" t="inlineStr">
        <is>
          <t>70x100 1/32</t>
        </is>
      </c>
      <c r="L1449" s="23" t="inlineStr">
        <is>
          <t>мяг</t>
        </is>
      </c>
      <c r="M1449" s="23" t="n">
        <v>160</v>
      </c>
      <c r="N1449" s="23" t="n">
        <v>2018</v>
      </c>
      <c r="O1449" s="23" t="n">
        <v>76</v>
      </c>
      <c r="P1449" s="23" t="n"/>
      <c r="Q1449" s="23" t="n"/>
      <c r="R1449" s="25" t="n"/>
      <c r="S1449" s="26">
        <f>HYPERLINK("http://www.cnpol.ru/covers/18381.jpg","фото на сайте")</f>
        <v/>
      </c>
    </row>
    <row r="1450" ht="50.1" customHeight="1" s="3">
      <c r="A1450" s="23" t="n"/>
      <c r="B1450" s="24" t="inlineStr">
        <is>
          <t>19130</t>
        </is>
      </c>
      <c r="C1450" s="23" t="inlineStr">
        <is>
          <t>ЛР</t>
        </is>
      </c>
      <c r="D1450" s="23" t="inlineStr">
        <is>
          <t>Брок Э.</t>
        </is>
      </c>
      <c r="E1450" s="23" t="inlineStr">
        <is>
          <t>Пленница острова страсти</t>
        </is>
      </c>
      <c r="F1450" s="23" t="n">
        <v>972</v>
      </c>
      <c r="G1450" s="23" t="n">
        <v>94</v>
      </c>
      <c r="H1450" s="23" t="n">
        <v>10</v>
      </c>
      <c r="I1450" s="23" t="n">
        <v>30</v>
      </c>
      <c r="J1450" s="23" t="inlineStr">
        <is>
          <t>978-5-227-08961-8</t>
        </is>
      </c>
      <c r="K1450" s="23" t="inlineStr">
        <is>
          <t>70x100 1/32</t>
        </is>
      </c>
      <c r="L1450" s="23" t="inlineStr">
        <is>
          <t>мяг</t>
        </is>
      </c>
      <c r="M1450" s="23" t="n">
        <v>160</v>
      </c>
      <c r="N1450" s="23" t="n">
        <v>2020</v>
      </c>
      <c r="O1450" s="23" t="n">
        <v>76</v>
      </c>
      <c r="P1450" s="23" t="n"/>
      <c r="Q1450" s="23" t="n"/>
      <c r="R1450" s="25" t="n"/>
      <c r="S1450" s="26">
        <f>HYPERLINK("http://www.cnpol.ru/covers/19130.jpg","фото на сайте")</f>
        <v/>
      </c>
    </row>
    <row r="1451" ht="50.1" customHeight="1" s="3">
      <c r="A1451" s="23" t="n"/>
      <c r="B1451" s="24" t="inlineStr">
        <is>
          <t>15013</t>
        </is>
      </c>
      <c r="C1451" s="23" t="inlineStr">
        <is>
          <t>ЛР</t>
        </is>
      </c>
      <c r="D1451" s="23" t="inlineStr">
        <is>
          <t>Милберн М.</t>
        </is>
      </c>
      <c r="E1451" s="23" t="inlineStr">
        <is>
          <t>По ту сторону полуночи</t>
        </is>
      </c>
      <c r="F1451" s="23" t="n">
        <v>396</v>
      </c>
      <c r="G1451" s="23" t="n">
        <v>94</v>
      </c>
      <c r="H1451" s="23" t="n">
        <v>10</v>
      </c>
      <c r="I1451" s="23" t="n">
        <v>30</v>
      </c>
      <c r="J1451" s="23" t="inlineStr">
        <is>
          <t>978-5-227-04973-5</t>
        </is>
      </c>
      <c r="K1451" s="23" t="inlineStr">
        <is>
          <t>70x100 1/32</t>
        </is>
      </c>
      <c r="L1451" s="23" t="inlineStr">
        <is>
          <t>мяг</t>
        </is>
      </c>
      <c r="M1451" s="23" t="n">
        <v>158</v>
      </c>
      <c r="N1451" s="23" t="n">
        <v>2014</v>
      </c>
      <c r="O1451" s="23" t="n">
        <v>78</v>
      </c>
      <c r="P1451" s="23" t="n"/>
      <c r="Q1451" s="23" t="n"/>
      <c r="R1451" s="25" t="n"/>
      <c r="S1451" s="26">
        <f>HYPERLINK("http://www.cnpol.ru/covers/15013.jpg","фото на сайте")</f>
        <v/>
      </c>
    </row>
    <row r="1452" ht="50.1" customHeight="1" s="3">
      <c r="A1452" s="23" t="n"/>
      <c r="B1452" s="24" t="inlineStr">
        <is>
          <t>19271</t>
        </is>
      </c>
      <c r="C1452" s="23" t="inlineStr">
        <is>
          <t>ЛР</t>
        </is>
      </c>
      <c r="D1452" s="23" t="inlineStr">
        <is>
          <t>Грэхем</t>
        </is>
      </c>
      <c r="E1452" s="23" t="inlineStr">
        <is>
          <t>Побег к собственному счастью</t>
        </is>
      </c>
      <c r="F1452" s="23" t="n">
        <v>989</v>
      </c>
      <c r="G1452" s="23" t="n">
        <v>94</v>
      </c>
      <c r="H1452" s="23" t="n">
        <v>10</v>
      </c>
      <c r="I1452" s="23" t="n">
        <v>30</v>
      </c>
      <c r="J1452" s="23" t="inlineStr">
        <is>
          <t>978-5-227-09052-2</t>
        </is>
      </c>
      <c r="K1452" s="23" t="inlineStr">
        <is>
          <t>70x100 1/32</t>
        </is>
      </c>
      <c r="L1452" s="23" t="inlineStr">
        <is>
          <t>мяг</t>
        </is>
      </c>
      <c r="M1452" s="23" t="n">
        <v>160</v>
      </c>
      <c r="N1452" s="23" t="n">
        <v>2020</v>
      </c>
      <c r="O1452" s="23" t="n">
        <v>76</v>
      </c>
      <c r="P1452" s="23" t="n"/>
      <c r="Q1452" s="23" t="n"/>
      <c r="R1452" s="25" t="n"/>
      <c r="S1452" s="26">
        <f>HYPERLINK("http://www.cnpol.ru/covers/19271.jpg","фото на сайте")</f>
        <v/>
      </c>
    </row>
    <row r="1453" ht="50.1" customHeight="1" s="3">
      <c r="A1453" s="23" t="n"/>
      <c r="B1453" s="24" t="inlineStr">
        <is>
          <t>15318</t>
        </is>
      </c>
      <c r="C1453" s="23" t="inlineStr">
        <is>
          <t>ЛР</t>
        </is>
      </c>
      <c r="D1453" s="23" t="inlineStr">
        <is>
          <t>Карсон Э.</t>
        </is>
      </c>
      <c r="E1453" s="23" t="inlineStr">
        <is>
          <t>Победить в любовной схватке</t>
        </is>
      </c>
      <c r="F1453" s="23" t="n">
        <v>429</v>
      </c>
      <c r="G1453" s="23" t="n">
        <v>94</v>
      </c>
      <c r="H1453" s="23" t="n">
        <v>10</v>
      </c>
      <c r="I1453" s="23" t="n">
        <v>30</v>
      </c>
      <c r="J1453" s="23" t="inlineStr">
        <is>
          <t>978-5-227-05290-2</t>
        </is>
      </c>
      <c r="K1453" s="23" t="inlineStr">
        <is>
          <t>70x100 1/32</t>
        </is>
      </c>
      <c r="L1453" s="23" t="inlineStr">
        <is>
          <t>мяг</t>
        </is>
      </c>
      <c r="M1453" s="23" t="n">
        <v>158</v>
      </c>
      <c r="N1453" s="23" t="n">
        <v>2014</v>
      </c>
      <c r="O1453" s="23" t="n">
        <v>76</v>
      </c>
      <c r="P1453" s="23" t="n"/>
      <c r="Q1453" s="23" t="n"/>
      <c r="R1453" s="25" t="n"/>
      <c r="S1453" s="26">
        <f>HYPERLINK("http://www.cnpol.ru/covers/15318.jpg","фото на сайте")</f>
        <v/>
      </c>
    </row>
    <row r="1454" ht="50.1" customHeight="1" s="3">
      <c r="A1454" s="23" t="n"/>
      <c r="B1454" s="24" t="inlineStr">
        <is>
          <t>14915</t>
        </is>
      </c>
      <c r="C1454" s="23" t="inlineStr">
        <is>
          <t>ЛР</t>
        </is>
      </c>
      <c r="D1454" s="23" t="inlineStr">
        <is>
          <t>Кокс М.</t>
        </is>
      </c>
      <c r="E1454" s="23" t="inlineStr">
        <is>
          <t>Побежденный холостяк</t>
        </is>
      </c>
      <c r="F1454" s="23" t="n">
        <v>387</v>
      </c>
      <c r="G1454" s="23" t="n">
        <v>94</v>
      </c>
      <c r="H1454" s="23" t="n">
        <v>10</v>
      </c>
      <c r="I1454" s="23" t="n">
        <v>30</v>
      </c>
      <c r="J1454" s="23" t="inlineStr">
        <is>
          <t>978-5-227-04872-1</t>
        </is>
      </c>
      <c r="K1454" s="23" t="inlineStr">
        <is>
          <t>70x100 1/32</t>
        </is>
      </c>
      <c r="L1454" s="23" t="inlineStr">
        <is>
          <t>мяг</t>
        </is>
      </c>
      <c r="M1454" s="23" t="n">
        <v>158</v>
      </c>
      <c r="N1454" s="23" t="n">
        <v>2014</v>
      </c>
      <c r="O1454" s="23" t="n">
        <v>76</v>
      </c>
      <c r="P1454" s="23" t="n"/>
      <c r="Q1454" s="23" t="n"/>
      <c r="R1454" s="25" t="n"/>
      <c r="S1454" s="26">
        <f>HYPERLINK("http://www.cnpol.ru/covers/14915.jpg","фото на сайте")</f>
        <v/>
      </c>
    </row>
    <row r="1455" ht="50.1" customHeight="1" s="3">
      <c r="A1455" s="23" t="n"/>
      <c r="B1455" s="24" t="inlineStr">
        <is>
          <t>14340</t>
        </is>
      </c>
      <c r="C1455" s="23" t="inlineStr">
        <is>
          <t>ЛР</t>
        </is>
      </c>
      <c r="D1455" s="23" t="inlineStr">
        <is>
          <t>Кендрик Ш.</t>
        </is>
      </c>
      <c r="E1455" s="23" t="inlineStr">
        <is>
          <t>Повелитель песков</t>
        </is>
      </c>
      <c r="F1455" s="23" t="n">
        <v>325</v>
      </c>
      <c r="G1455" s="23" t="n">
        <v>94</v>
      </c>
      <c r="H1455" s="23" t="n">
        <v>10</v>
      </c>
      <c r="I1455" s="23" t="n">
        <v>30</v>
      </c>
      <c r="J1455" s="23" t="inlineStr">
        <is>
          <t>978-5-227-04349-8</t>
        </is>
      </c>
      <c r="K1455" s="23" t="inlineStr">
        <is>
          <t>70x100 1/32</t>
        </is>
      </c>
      <c r="L1455" s="23" t="inlineStr">
        <is>
          <t>мяг</t>
        </is>
      </c>
      <c r="M1455" s="23" t="n">
        <v>158</v>
      </c>
      <c r="N1455" s="23" t="n">
        <v>2013</v>
      </c>
      <c r="O1455" s="23" t="n">
        <v>76</v>
      </c>
      <c r="P1455" s="23" t="n"/>
      <c r="Q1455" s="23" t="n"/>
      <c r="R1455" s="25" t="n"/>
      <c r="S1455" s="26">
        <f>HYPERLINK("http://www.cnpol.ru/covers/14340.jpg","фото на сайте")</f>
        <v/>
      </c>
    </row>
    <row r="1456" ht="50.1" customHeight="1" s="3">
      <c r="A1456" s="23" t="n"/>
      <c r="B1456" s="24" t="inlineStr">
        <is>
          <t>19321</t>
        </is>
      </c>
      <c r="C1456" s="23" t="inlineStr">
        <is>
          <t>ЛР</t>
        </is>
      </c>
      <c r="D1456" s="23" t="inlineStr">
        <is>
          <t>Батиджелли Р.</t>
        </is>
      </c>
      <c r="E1456" s="23" t="inlineStr">
        <is>
          <t>Повторившаяся любовь</t>
        </is>
      </c>
      <c r="F1456" s="23" t="n">
        <v>993</v>
      </c>
      <c r="G1456" s="23" t="n">
        <v>94</v>
      </c>
      <c r="H1456" s="23" t="n">
        <v>10</v>
      </c>
      <c r="I1456" s="23" t="n">
        <v>30</v>
      </c>
      <c r="J1456" s="23" t="inlineStr">
        <is>
          <t>978-5-227-09056-0</t>
        </is>
      </c>
      <c r="K1456" s="23" t="inlineStr">
        <is>
          <t>70x100 1/32</t>
        </is>
      </c>
      <c r="L1456" s="23" t="inlineStr">
        <is>
          <t>мяг</t>
        </is>
      </c>
      <c r="M1456" s="23" t="n">
        <v>160</v>
      </c>
      <c r="N1456" s="23" t="n">
        <v>2020</v>
      </c>
      <c r="O1456" s="23" t="n">
        <v>76</v>
      </c>
      <c r="P1456" s="23" t="n"/>
      <c r="Q1456" s="23" t="n"/>
      <c r="R1456" s="25" t="n"/>
      <c r="S1456" s="26">
        <f>HYPERLINK("http://www.cnpol.ru/covers/19321.jpg","фото на сайте")</f>
        <v/>
      </c>
    </row>
    <row r="1457" ht="50.1" customHeight="1" s="3">
      <c r="A1457" s="23" t="n"/>
      <c r="B1457" s="24" t="inlineStr">
        <is>
          <t>19901</t>
        </is>
      </c>
      <c r="C1457" s="23" t="inlineStr">
        <is>
          <t>ЛР</t>
        </is>
      </c>
      <c r="D1457" s="23" t="inlineStr">
        <is>
          <t>Блейк М.</t>
        </is>
      </c>
      <c r="E1457" s="23" t="inlineStr">
        <is>
          <t>Повторим брачную ночь?</t>
        </is>
      </c>
      <c r="F1457" s="23" t="n">
        <v>1060</v>
      </c>
      <c r="G1457" s="23" t="n">
        <v>94</v>
      </c>
      <c r="H1457" s="23" t="n">
        <v>10</v>
      </c>
      <c r="I1457" s="23" t="n">
        <v>30</v>
      </c>
      <c r="J1457" s="23" t="inlineStr">
        <is>
          <t>978-5-227-09484-1</t>
        </is>
      </c>
      <c r="K1457" s="23" t="inlineStr">
        <is>
          <t>70x100 1/32</t>
        </is>
      </c>
      <c r="L1457" s="23" t="inlineStr">
        <is>
          <t>мяг</t>
        </is>
      </c>
      <c r="M1457" s="23" t="n">
        <v>159</v>
      </c>
      <c r="N1457" s="23" t="n">
        <v>2021</v>
      </c>
      <c r="O1457" s="23" t="n">
        <v>76</v>
      </c>
      <c r="P1457" s="23" t="n"/>
      <c r="Q1457" s="23" t="n"/>
      <c r="R1457" s="25" t="n"/>
      <c r="S1457" s="26">
        <f>HYPERLINK("http://www.cnpol.ru/covers/19901.jpg","фото на сайте")</f>
        <v/>
      </c>
    </row>
    <row r="1458" ht="50.1" customHeight="1" s="3">
      <c r="A1458" s="23" t="inlineStr">
        <is>
          <t>Н</t>
        </is>
      </c>
      <c r="B1458" s="24" t="inlineStr">
        <is>
          <t>21490</t>
        </is>
      </c>
      <c r="C1458" s="23" t="inlineStr">
        <is>
          <t>ЛР</t>
        </is>
      </c>
      <c r="D1458" s="23" t="inlineStr">
        <is>
          <t>Колтер К.</t>
        </is>
      </c>
      <c r="E1458" s="23" t="inlineStr">
        <is>
          <t>Повторим медовый месяц</t>
        </is>
      </c>
      <c r="F1458" s="23" t="n">
        <v>1185</v>
      </c>
      <c r="G1458" s="23" t="n">
        <v>94</v>
      </c>
      <c r="H1458" s="23" t="n">
        <v>10</v>
      </c>
      <c r="I1458" s="23" t="n">
        <v>30</v>
      </c>
      <c r="J1458" s="23" t="inlineStr">
        <is>
          <t>978-5-227-10567-7</t>
        </is>
      </c>
      <c r="K1458" s="23" t="inlineStr">
        <is>
          <t>70x100 1/32</t>
        </is>
      </c>
      <c r="L1458" s="23" t="inlineStr">
        <is>
          <t>мяг</t>
        </is>
      </c>
      <c r="M1458" s="23" t="n">
        <v>159</v>
      </c>
      <c r="N1458" s="23" t="n">
        <v>2024</v>
      </c>
      <c r="O1458" s="23" t="n">
        <v>76</v>
      </c>
      <c r="P1458" s="23" t="n"/>
      <c r="Q1458" s="23" t="n"/>
      <c r="R1458" s="25" t="inlineStr">
        <is>
          <t>Блоссом Дюпон, владелица свадебного агентства, готовит собственную свадьбу с красавцем-миллиардером Джо Блэкуэллом. На очередной встрече по обсуждению торжества в ее душу закрадывается сомнение, что жених передумал. Блоссом сгоряча разрывает помолвку и отменяет их свадьбу. Роскошная вилла на Гавайях ждет молодоженов в медовый месяц, и Блоссом отправляется туда одна «зализывать раны». У Джо возникает та же идея. И вот они снова вместе и волей-неволей вынуждены решать проблемы между собой. Смогут ли они восстановить доверие в своих отношениях и снова стать парой?</t>
        </is>
      </c>
      <c r="S1458" s="26">
        <f>HYPERLINK("http://www.cnpol.ru/covers/21490.jpg","фото на сайте")</f>
        <v/>
      </c>
    </row>
    <row r="1459" ht="50.1" customHeight="1" s="3">
      <c r="A1459" s="23" t="n"/>
      <c r="B1459" s="24" t="inlineStr">
        <is>
          <t>16868</t>
        </is>
      </c>
      <c r="C1459" s="23" t="inlineStr">
        <is>
          <t>ЛР</t>
        </is>
      </c>
      <c r="D1459" s="23" t="inlineStr">
        <is>
          <t>Крюс К.</t>
        </is>
      </c>
      <c r="E1459" s="23" t="inlineStr">
        <is>
          <t>Повторим нашу встречу</t>
        </is>
      </c>
      <c r="F1459" s="23" t="n">
        <v>632</v>
      </c>
      <c r="G1459" s="23" t="n">
        <v>94</v>
      </c>
      <c r="H1459" s="23" t="n">
        <v>10</v>
      </c>
      <c r="I1459" s="23" t="n">
        <v>30</v>
      </c>
      <c r="J1459" s="23" t="inlineStr">
        <is>
          <t>978-5-227-06823-1</t>
        </is>
      </c>
      <c r="K1459" s="23" t="inlineStr">
        <is>
          <t>70x100 1/32</t>
        </is>
      </c>
      <c r="L1459" s="23" t="inlineStr">
        <is>
          <t>мяг</t>
        </is>
      </c>
      <c r="M1459" s="23" t="n">
        <v>160</v>
      </c>
      <c r="N1459" s="23" t="n">
        <v>2016</v>
      </c>
      <c r="O1459" s="23" t="n">
        <v>76</v>
      </c>
      <c r="P1459" s="23" t="n"/>
      <c r="Q1459" s="23" t="n"/>
      <c r="R1459" s="25" t="n"/>
      <c r="S1459" s="26">
        <f>HYPERLINK("http://www.cnpol.ru/covers/16868.jpg","фото на сайте")</f>
        <v/>
      </c>
    </row>
    <row r="1460" ht="50.1" customHeight="1" s="3">
      <c r="A1460" s="23" t="n"/>
      <c r="B1460" s="24" t="inlineStr">
        <is>
          <t>20317</t>
        </is>
      </c>
      <c r="C1460" s="23" t="inlineStr">
        <is>
          <t>ЛР</t>
        </is>
      </c>
      <c r="D1460" s="23" t="inlineStr">
        <is>
          <t>Сэйсон С.С.</t>
        </is>
      </c>
      <c r="E1460" s="23" t="inlineStr">
        <is>
          <t>Под венец с другой невестой</t>
        </is>
      </c>
      <c r="F1460" s="23" t="n">
        <v>1101</v>
      </c>
      <c r="G1460" s="23" t="n">
        <v>94</v>
      </c>
      <c r="H1460" s="23" t="n">
        <v>10</v>
      </c>
      <c r="I1460" s="23" t="n">
        <v>30</v>
      </c>
      <c r="J1460" s="23" t="inlineStr">
        <is>
          <t>978-5-227-09925-9</t>
        </is>
      </c>
      <c r="K1460" s="23" t="inlineStr">
        <is>
          <t>70x100 1/32</t>
        </is>
      </c>
      <c r="L1460" s="23" t="inlineStr">
        <is>
          <t>мяг</t>
        </is>
      </c>
      <c r="M1460" s="23" t="n">
        <v>159</v>
      </c>
      <c r="N1460" s="23" t="n">
        <v>2022</v>
      </c>
      <c r="O1460" s="23" t="n">
        <v>76</v>
      </c>
      <c r="P1460" s="23" t="n"/>
      <c r="Q1460" s="23" t="n"/>
      <c r="R1460" s="25" t="n"/>
      <c r="S1460" s="26">
        <f>HYPERLINK("http://www.cnpol.ru/covers/20317.jpg","фото на сайте")</f>
        <v/>
      </c>
    </row>
    <row r="1461" ht="50.1" customHeight="1" s="3">
      <c r="A1461" s="23" t="n"/>
      <c r="B1461" s="24" t="inlineStr">
        <is>
          <t>18868</t>
        </is>
      </c>
      <c r="C1461" s="23" t="inlineStr">
        <is>
          <t>ЛР</t>
        </is>
      </c>
      <c r="D1461" s="23" t="inlineStr">
        <is>
          <t>Леннокс М.</t>
        </is>
      </c>
      <c r="E1461" s="23" t="inlineStr">
        <is>
          <t>Под покровом светлых чувств</t>
        </is>
      </c>
      <c r="F1461" s="23" t="n">
        <v>926</v>
      </c>
      <c r="G1461" s="23" t="n">
        <v>94</v>
      </c>
      <c r="H1461" s="23" t="n">
        <v>10</v>
      </c>
      <c r="I1461" s="23" t="n">
        <v>30</v>
      </c>
      <c r="J1461" s="23" t="inlineStr">
        <is>
          <t>978-5-227-08728-7</t>
        </is>
      </c>
      <c r="K1461" s="23" t="inlineStr">
        <is>
          <t>70x108 1/32</t>
        </is>
      </c>
      <c r="L1461" s="23" t="inlineStr">
        <is>
          <t>мяг</t>
        </is>
      </c>
      <c r="M1461" s="23" t="n">
        <v>160</v>
      </c>
      <c r="N1461" s="23" t="n">
        <v>2019</v>
      </c>
      <c r="O1461" s="23" t="n">
        <v>76</v>
      </c>
      <c r="P1461" s="23" t="n"/>
      <c r="Q1461" s="23" t="n"/>
      <c r="R1461" s="25" t="n"/>
      <c r="S1461" s="26">
        <f>HYPERLINK("http://www.cnpol.ru/covers/18868.jpg","фото на сайте")</f>
        <v/>
      </c>
    </row>
    <row r="1462" ht="50.1" customHeight="1" s="3">
      <c r="A1462" s="23" t="n"/>
      <c r="B1462" s="24" t="inlineStr">
        <is>
          <t>16522</t>
        </is>
      </c>
      <c r="C1462" s="23" t="inlineStr">
        <is>
          <t>ЛР</t>
        </is>
      </c>
      <c r="D1462" s="23" t="inlineStr">
        <is>
          <t>Колтер К.</t>
        </is>
      </c>
      <c r="E1462" s="23" t="inlineStr">
        <is>
          <t>Подари мне волшебство</t>
        </is>
      </c>
      <c r="F1462" s="23" t="n">
        <v>587</v>
      </c>
      <c r="G1462" s="23" t="n">
        <v>94</v>
      </c>
      <c r="H1462" s="23" t="n">
        <v>10</v>
      </c>
      <c r="I1462" s="23" t="n">
        <v>30</v>
      </c>
      <c r="J1462" s="23" t="inlineStr">
        <is>
          <t>978-5-227-06395-3</t>
        </is>
      </c>
      <c r="K1462" s="23" t="inlineStr">
        <is>
          <t>70x100 1/32</t>
        </is>
      </c>
      <c r="L1462" s="23" t="inlineStr">
        <is>
          <t>мяг</t>
        </is>
      </c>
      <c r="M1462" s="23" t="n">
        <v>158</v>
      </c>
      <c r="N1462" s="23" t="n">
        <v>2016</v>
      </c>
      <c r="O1462" s="23" t="n">
        <v>76</v>
      </c>
      <c r="P1462" s="23" t="n"/>
      <c r="Q1462" s="23" t="n"/>
      <c r="R1462" s="25" t="n"/>
      <c r="S1462" s="26">
        <f>HYPERLINK("http://www.cnpol.ru/covers/16522.jpg","фото на сайте")</f>
        <v/>
      </c>
    </row>
    <row r="1463" ht="50.1" customHeight="1" s="3">
      <c r="A1463" s="23" t="n"/>
      <c r="B1463" s="24" t="inlineStr">
        <is>
          <t>19694</t>
        </is>
      </c>
      <c r="C1463" s="23" t="inlineStr">
        <is>
          <t>ЛР</t>
        </is>
      </c>
      <c r="D1463" s="23" t="inlineStr">
        <is>
          <t>Джеймс Д.</t>
        </is>
      </c>
      <c r="E1463" s="23" t="inlineStr">
        <is>
          <t>Подари мне второй шанс</t>
        </is>
      </c>
      <c r="F1463" s="23" t="n">
        <v>1038</v>
      </c>
      <c r="G1463" s="23" t="n">
        <v>94</v>
      </c>
      <c r="H1463" s="23" t="n">
        <v>10</v>
      </c>
      <c r="I1463" s="23" t="n">
        <v>30</v>
      </c>
      <c r="J1463" s="23" t="inlineStr">
        <is>
          <t>978-5-227-09350-9</t>
        </is>
      </c>
      <c r="K1463" s="23" t="inlineStr">
        <is>
          <t>70x100 1/32</t>
        </is>
      </c>
      <c r="L1463" s="23" t="inlineStr">
        <is>
          <t>мяг</t>
        </is>
      </c>
      <c r="M1463" s="23" t="n">
        <v>160</v>
      </c>
      <c r="N1463" s="23" t="n">
        <v>2021</v>
      </c>
      <c r="O1463" s="23" t="n">
        <v>76</v>
      </c>
      <c r="P1463" s="23" t="n"/>
      <c r="Q1463" s="23" t="n"/>
      <c r="R1463" s="25" t="n"/>
      <c r="S1463" s="26">
        <f>HYPERLINK("http://www.cnpol.ru/covers/19694.jpg","фото на сайте")</f>
        <v/>
      </c>
    </row>
    <row r="1464" ht="50.1" customHeight="1" s="3">
      <c r="A1464" s="23" t="n"/>
      <c r="B1464" s="24" t="inlineStr">
        <is>
          <t>17015</t>
        </is>
      </c>
      <c r="C1464" s="23" t="inlineStr">
        <is>
          <t>ЛР</t>
        </is>
      </c>
      <c r="D1464" s="23" t="inlineStr">
        <is>
          <t>Хьюит К.</t>
        </is>
      </c>
      <c r="E1464" s="23" t="inlineStr">
        <is>
          <t>Подари мне себя</t>
        </is>
      </c>
      <c r="F1464" s="23" t="n">
        <v>653</v>
      </c>
      <c r="G1464" s="23" t="n">
        <v>94</v>
      </c>
      <c r="H1464" s="23" t="n">
        <v>10</v>
      </c>
      <c r="I1464" s="23" t="n">
        <v>30</v>
      </c>
      <c r="J1464" s="23" t="inlineStr">
        <is>
          <t>978-5-227-07038-8</t>
        </is>
      </c>
      <c r="K1464" s="23" t="inlineStr">
        <is>
          <t>70x100 1/32</t>
        </is>
      </c>
      <c r="L1464" s="23" t="inlineStr">
        <is>
          <t>мяг</t>
        </is>
      </c>
      <c r="M1464" s="23" t="n">
        <v>160</v>
      </c>
      <c r="N1464" s="23" t="n">
        <v>2016</v>
      </c>
      <c r="O1464" s="23" t="n">
        <v>76</v>
      </c>
      <c r="P1464" s="23" t="n"/>
      <c r="Q1464" s="23" t="n"/>
      <c r="R1464" s="25" t="n"/>
      <c r="S1464" s="26">
        <f>HYPERLINK("http://www.cnpol.ru/covers/17015.jpg","фото на сайте")</f>
        <v/>
      </c>
    </row>
    <row r="1465" ht="50.1" customHeight="1" s="3">
      <c r="A1465" s="23" t="n"/>
      <c r="B1465" s="24" t="inlineStr">
        <is>
          <t>17325</t>
        </is>
      </c>
      <c r="C1465" s="23" t="inlineStr">
        <is>
          <t>ЛР</t>
        </is>
      </c>
      <c r="D1465" s="23" t="inlineStr">
        <is>
          <t>Дуглас М.</t>
        </is>
      </c>
      <c r="E1465" s="23" t="inlineStr">
        <is>
          <t>Подлинная красота</t>
        </is>
      </c>
      <c r="F1465" s="23" t="n">
        <v>694</v>
      </c>
      <c r="G1465" s="23" t="n">
        <v>94</v>
      </c>
      <c r="H1465" s="23" t="n">
        <v>10</v>
      </c>
      <c r="I1465" s="23" t="n">
        <v>30</v>
      </c>
      <c r="J1465" s="23" t="inlineStr">
        <is>
          <t>978-5-227-07311-2</t>
        </is>
      </c>
      <c r="K1465" s="23" t="inlineStr">
        <is>
          <t>70x100 1/32</t>
        </is>
      </c>
      <c r="L1465" s="23" t="inlineStr">
        <is>
          <t>мяг</t>
        </is>
      </c>
      <c r="M1465" s="23" t="n">
        <v>160</v>
      </c>
      <c r="N1465" s="23" t="n">
        <v>2017</v>
      </c>
      <c r="O1465" s="23" t="n">
        <v>76</v>
      </c>
      <c r="P1465" s="23" t="n"/>
      <c r="Q1465" s="23" t="n"/>
      <c r="R1465" s="25" t="n"/>
      <c r="S1465" s="26">
        <f>HYPERLINK("http://www.cnpol.ru/covers/17325.jpg","фото на сайте")</f>
        <v/>
      </c>
    </row>
    <row r="1466" ht="50.1" customHeight="1" s="3">
      <c r="A1466" s="23" t="n"/>
      <c r="B1466" s="24" t="inlineStr">
        <is>
          <t>18938</t>
        </is>
      </c>
      <c r="C1466" s="23" t="inlineStr">
        <is>
          <t>ЛР</t>
        </is>
      </c>
      <c r="D1466" s="23" t="inlineStr">
        <is>
          <t>Пемброк С.</t>
        </is>
      </c>
      <c r="E1466" s="23" t="inlineStr">
        <is>
          <t>Подмени моего жениха</t>
        </is>
      </c>
      <c r="F1466" s="23" t="n">
        <v>940</v>
      </c>
      <c r="G1466" s="23" t="n">
        <v>94</v>
      </c>
      <c r="H1466" s="23" t="n">
        <v>10</v>
      </c>
      <c r="I1466" s="23" t="n">
        <v>30</v>
      </c>
      <c r="J1466" s="23" t="inlineStr">
        <is>
          <t>978-5-227-08790-4</t>
        </is>
      </c>
      <c r="K1466" s="23" t="inlineStr">
        <is>
          <t>70x100 1/32</t>
        </is>
      </c>
      <c r="L1466" s="23" t="inlineStr">
        <is>
          <t>мяг</t>
        </is>
      </c>
      <c r="M1466" s="23" t="n">
        <v>160</v>
      </c>
      <c r="N1466" s="23" t="n">
        <v>2019</v>
      </c>
      <c r="O1466" s="23" t="n">
        <v>76</v>
      </c>
      <c r="P1466" s="23" t="n"/>
      <c r="Q1466" s="23" t="n"/>
      <c r="R1466" s="25" t="n"/>
      <c r="S1466" s="26">
        <f>HYPERLINK("http://www.cnpol.ru/covers/18938.jpg","фото на сайте")</f>
        <v/>
      </c>
    </row>
    <row r="1467" ht="50.1" customHeight="1" s="3">
      <c r="A1467" s="23" t="n"/>
      <c r="B1467" s="24" t="inlineStr">
        <is>
          <t>16793</t>
        </is>
      </c>
      <c r="C1467" s="23" t="inlineStr">
        <is>
          <t>ЛР</t>
        </is>
      </c>
      <c r="D1467" s="23" t="inlineStr">
        <is>
          <t>Хьюит К.</t>
        </is>
      </c>
      <c r="E1467" s="23" t="inlineStr">
        <is>
          <t>Подчиниться его приказу</t>
        </is>
      </c>
      <c r="F1467" s="23" t="n">
        <v>623</v>
      </c>
      <c r="G1467" s="23" t="n">
        <v>94</v>
      </c>
      <c r="H1467" s="23" t="n">
        <v>10</v>
      </c>
      <c r="I1467" s="23" t="n">
        <v>30</v>
      </c>
      <c r="J1467" s="23" t="inlineStr">
        <is>
          <t>978-5-227-06784-5</t>
        </is>
      </c>
      <c r="K1467" s="23" t="inlineStr">
        <is>
          <t>70x100 1/32</t>
        </is>
      </c>
      <c r="L1467" s="23" t="inlineStr">
        <is>
          <t>мяг</t>
        </is>
      </c>
      <c r="M1467" s="23" t="n">
        <v>160</v>
      </c>
      <c r="N1467" s="23" t="n">
        <v>2016</v>
      </c>
      <c r="O1467" s="23" t="n">
        <v>76</v>
      </c>
      <c r="P1467" s="23" t="n"/>
      <c r="Q1467" s="23" t="n"/>
      <c r="R1467" s="25" t="n"/>
      <c r="S1467" s="26">
        <f>HYPERLINK("http://www.cnpol.ru/covers/16793.jpg","фото на сайте")</f>
        <v/>
      </c>
    </row>
    <row r="1468" ht="50.1" customHeight="1" s="3">
      <c r="A1468" s="23" t="n"/>
      <c r="B1468" s="24" t="inlineStr">
        <is>
          <t>20851</t>
        </is>
      </c>
      <c r="C1468" s="23" t="inlineStr">
        <is>
          <t>ЛР</t>
        </is>
      </c>
      <c r="D1468" s="23" t="inlineStr">
        <is>
          <t>Гонсалес Н.</t>
        </is>
      </c>
      <c r="E1468" s="23" t="inlineStr">
        <is>
          <t>Поединок страсти</t>
        </is>
      </c>
      <c r="F1468" s="23" t="n">
        <v>1155</v>
      </c>
      <c r="G1468" s="23" t="n">
        <v>94</v>
      </c>
      <c r="H1468" s="23" t="n">
        <v>10</v>
      </c>
      <c r="I1468" s="23" t="n">
        <v>30</v>
      </c>
      <c r="J1468" s="23" t="inlineStr">
        <is>
          <t>978-5-227-10373-4</t>
        </is>
      </c>
      <c r="K1468" s="23" t="inlineStr">
        <is>
          <t>70x100 1/32</t>
        </is>
      </c>
      <c r="L1468" s="23" t="inlineStr">
        <is>
          <t>мяг</t>
        </is>
      </c>
      <c r="M1468" s="23" t="n">
        <v>159</v>
      </c>
      <c r="N1468" s="23" t="n">
        <v>2023</v>
      </c>
      <c r="O1468" s="23" t="n">
        <v>76</v>
      </c>
      <c r="P1468" s="23" t="n"/>
      <c r="Q1468" s="23" t="n"/>
      <c r="R1468" s="25" t="inlineStr">
        <is>
          <t>Александра Латтимор — преуспевающий юрист в крупной компании, возвращается в родной городок, чтобы проведать семью и помочь им в сложном деле. На благотворительной вечеринке Алекса внезапно встречает Джексона, парня, с которым в школе ее связывали непростые отношения. Его интерес к ней, похоже, не угас за долгие годы, — стоит ли дать шанс старым чувствам?..</t>
        </is>
      </c>
      <c r="S1468" s="26">
        <f>HYPERLINK("http://www.cnpol.ru/covers/20851.jpg","фото на сайте")</f>
        <v/>
      </c>
    </row>
    <row r="1469" ht="50.1" customHeight="1" s="3">
      <c r="A1469" s="23" t="n"/>
      <c r="B1469" s="24" t="inlineStr">
        <is>
          <t>18498</t>
        </is>
      </c>
      <c r="C1469" s="23" t="inlineStr">
        <is>
          <t>ЛР</t>
        </is>
      </c>
      <c r="D1469" s="23" t="inlineStr">
        <is>
          <t>Лукас Д.</t>
        </is>
      </c>
      <c r="E1469" s="23" t="inlineStr">
        <is>
          <t>Позволь быть любимой</t>
        </is>
      </c>
      <c r="F1469" s="23" t="n">
        <v>866</v>
      </c>
      <c r="G1469" s="23" t="n">
        <v>94</v>
      </c>
      <c r="H1469" s="23" t="n">
        <v>10</v>
      </c>
      <c r="I1469" s="23" t="n">
        <v>30</v>
      </c>
      <c r="J1469" s="23" t="inlineStr">
        <is>
          <t>978-5-227-08409-5</t>
        </is>
      </c>
      <c r="K1469" s="23" t="inlineStr">
        <is>
          <t>70x100 1/32</t>
        </is>
      </c>
      <c r="L1469" s="23" t="inlineStr">
        <is>
          <t>мяг</t>
        </is>
      </c>
      <c r="M1469" s="23" t="n">
        <v>160</v>
      </c>
      <c r="N1469" s="23" t="n">
        <v>2019</v>
      </c>
      <c r="O1469" s="23" t="n">
        <v>76</v>
      </c>
      <c r="P1469" s="23" t="n"/>
      <c r="Q1469" s="23" t="n"/>
      <c r="R1469" s="25" t="n"/>
      <c r="S1469" s="26">
        <f>HYPERLINK("http://www.cnpol.ru/covers/18498.jpg","фото на сайте")</f>
        <v/>
      </c>
    </row>
    <row r="1470" ht="50.1" customHeight="1" s="3">
      <c r="A1470" s="23" t="n"/>
      <c r="B1470" s="24" t="inlineStr">
        <is>
          <t>17999</t>
        </is>
      </c>
      <c r="C1470" s="23" t="inlineStr">
        <is>
          <t>ЛР</t>
        </is>
      </c>
      <c r="D1470" s="23" t="inlineStr">
        <is>
          <t>Фуллер Л</t>
        </is>
      </c>
      <c r="E1470" s="23" t="inlineStr">
        <is>
          <t>Поиграем в любовь</t>
        </is>
      </c>
      <c r="F1470" s="23" t="n">
        <v>794</v>
      </c>
      <c r="G1470" s="23" t="n">
        <v>94</v>
      </c>
      <c r="H1470" s="23" t="n">
        <v>10</v>
      </c>
      <c r="I1470" s="23" t="n">
        <v>30</v>
      </c>
      <c r="J1470" s="23" t="inlineStr">
        <is>
          <t>978-5-227-08020-2</t>
        </is>
      </c>
      <c r="K1470" s="23" t="inlineStr">
        <is>
          <t>70x100 1/32</t>
        </is>
      </c>
      <c r="L1470" s="23" t="inlineStr">
        <is>
          <t>мяг</t>
        </is>
      </c>
      <c r="M1470" s="23" t="n">
        <v>160</v>
      </c>
      <c r="N1470" s="23" t="n">
        <v>2018</v>
      </c>
      <c r="O1470" s="23" t="n">
        <v>76</v>
      </c>
      <c r="P1470" s="23" t="n"/>
      <c r="Q1470" s="23" t="n"/>
      <c r="R1470" s="25" t="n"/>
      <c r="S1470" s="26">
        <f>HYPERLINK("http://www.cnpol.ru/covers/17999.jpg","фото на сайте")</f>
        <v/>
      </c>
    </row>
    <row r="1471" ht="50.1" customHeight="1" s="3">
      <c r="A1471" s="23" t="n"/>
      <c r="B1471" s="24" t="inlineStr">
        <is>
          <t>14850</t>
        </is>
      </c>
      <c r="C1471" s="23" t="inlineStr">
        <is>
          <t>ЛР</t>
        </is>
      </c>
      <c r="D1471" s="23" t="inlineStr">
        <is>
          <t>Мейер С.</t>
        </is>
      </c>
      <c r="E1471" s="23" t="inlineStr">
        <is>
          <t>Пойманный свет</t>
        </is>
      </c>
      <c r="F1471" s="23" t="n">
        <v>382</v>
      </c>
      <c r="G1471" s="23" t="n">
        <v>94</v>
      </c>
      <c r="H1471" s="23" t="n">
        <v>10</v>
      </c>
      <c r="I1471" s="23" t="n">
        <v>30</v>
      </c>
      <c r="J1471" s="23" t="inlineStr">
        <is>
          <t>978-5-227-04847-9</t>
        </is>
      </c>
      <c r="K1471" s="23" t="inlineStr">
        <is>
          <t>70x100 1/32</t>
        </is>
      </c>
      <c r="L1471" s="23" t="inlineStr">
        <is>
          <t>мяг</t>
        </is>
      </c>
      <c r="M1471" s="23" t="n">
        <v>158</v>
      </c>
      <c r="N1471" s="23" t="n">
        <v>2013</v>
      </c>
      <c r="O1471" s="23" t="n">
        <v>78</v>
      </c>
      <c r="P1471" s="23" t="n"/>
      <c r="Q1471" s="23" t="n"/>
      <c r="R1471" s="25" t="n"/>
      <c r="S1471" s="26">
        <f>HYPERLINK("http://www.cnpol.ru/covers/14850.jpg","фото на сайте")</f>
        <v/>
      </c>
    </row>
    <row r="1472" ht="50.1" customHeight="1" s="3">
      <c r="A1472" s="23" t="n"/>
      <c r="B1472" s="24" t="inlineStr">
        <is>
          <t>18961</t>
        </is>
      </c>
      <c r="C1472" s="23" t="inlineStr">
        <is>
          <t>ЛР</t>
        </is>
      </c>
      <c r="D1472" s="23" t="inlineStr">
        <is>
          <t>Уильямс А.</t>
        </is>
      </c>
      <c r="E1472" s="23" t="inlineStr">
        <is>
          <t>Покажи мне рай</t>
        </is>
      </c>
      <c r="F1472" s="23" t="n">
        <v>944</v>
      </c>
      <c r="G1472" s="23" t="n">
        <v>94</v>
      </c>
      <c r="H1472" s="23" t="n">
        <v>10</v>
      </c>
      <c r="I1472" s="23" t="n">
        <v>30</v>
      </c>
      <c r="J1472" s="23" t="inlineStr">
        <is>
          <t>978-5-227-08794-2</t>
        </is>
      </c>
      <c r="K1472" s="23" t="inlineStr">
        <is>
          <t>70x100 1/32</t>
        </is>
      </c>
      <c r="L1472" s="23" t="inlineStr">
        <is>
          <t>мяг</t>
        </is>
      </c>
      <c r="M1472" s="23" t="n">
        <v>160</v>
      </c>
      <c r="N1472" s="23" t="n">
        <v>2019</v>
      </c>
      <c r="O1472" s="23" t="n">
        <v>76</v>
      </c>
      <c r="P1472" s="23" t="n"/>
      <c r="Q1472" s="23" t="n"/>
      <c r="R1472" s="25" t="n"/>
      <c r="S1472" s="26">
        <f>HYPERLINK("http://www.cnpol.ru/covers/18961.jpg","фото на сайте")</f>
        <v/>
      </c>
    </row>
    <row r="1473" ht="50.1" customHeight="1" s="3">
      <c r="A1473" s="23" t="n"/>
      <c r="B1473" s="24" t="inlineStr">
        <is>
          <t>20366</t>
        </is>
      </c>
      <c r="C1473" s="23" t="inlineStr">
        <is>
          <t>ЛР</t>
        </is>
      </c>
      <c r="D1473" s="23" t="inlineStr">
        <is>
          <t>Эшенден Д.</t>
        </is>
      </c>
      <c r="E1473" s="23" t="inlineStr">
        <is>
          <t>Поклянись быть моей</t>
        </is>
      </c>
      <c r="F1473" s="23" t="n">
        <v>1105</v>
      </c>
      <c r="G1473" s="23" t="n">
        <v>94</v>
      </c>
      <c r="H1473" s="23" t="n">
        <v>10</v>
      </c>
      <c r="I1473" s="23" t="n">
        <v>30</v>
      </c>
      <c r="J1473" s="23" t="inlineStr">
        <is>
          <t>978-5-227-10021-4</t>
        </is>
      </c>
      <c r="K1473" s="23" t="inlineStr">
        <is>
          <t>70x100 1/32</t>
        </is>
      </c>
      <c r="L1473" s="23" t="inlineStr">
        <is>
          <t>мяг</t>
        </is>
      </c>
      <c r="M1473" s="23" t="n">
        <v>159</v>
      </c>
      <c r="N1473" s="23" t="n">
        <v>2022</v>
      </c>
      <c r="O1473" s="23" t="n">
        <v>76</v>
      </c>
      <c r="P1473" s="23" t="n"/>
      <c r="Q1473" s="23" t="n"/>
      <c r="R1473" s="25" t="n"/>
      <c r="S1473" s="26">
        <f>HYPERLINK("http://www.cnpol.ru/covers/20366.jpg","фото на сайте")</f>
        <v/>
      </c>
    </row>
    <row r="1474" ht="50.1" customHeight="1" s="3">
      <c r="A1474" s="23" t="n"/>
      <c r="B1474" s="24" t="inlineStr">
        <is>
          <t>17796</t>
        </is>
      </c>
      <c r="C1474" s="23" t="inlineStr">
        <is>
          <t>ЛР</t>
        </is>
      </c>
      <c r="D1474" s="23" t="inlineStr">
        <is>
          <t>Уинтерз Р.</t>
        </is>
      </c>
      <c r="E1474" s="23" t="inlineStr">
        <is>
          <t>Покорить девушку с обложки</t>
        </is>
      </c>
      <c r="F1474" s="23" t="n">
        <v>767</v>
      </c>
      <c r="G1474" s="23" t="n">
        <v>94</v>
      </c>
      <c r="H1474" s="23" t="n">
        <v>10</v>
      </c>
      <c r="I1474" s="23" t="n">
        <v>30</v>
      </c>
      <c r="J1474" s="23" t="inlineStr">
        <is>
          <t>978-5-227-07751-6</t>
        </is>
      </c>
      <c r="K1474" s="23" t="inlineStr">
        <is>
          <t>70x100 1/32</t>
        </is>
      </c>
      <c r="L1474" s="23" t="inlineStr">
        <is>
          <t>мяг</t>
        </is>
      </c>
      <c r="M1474" s="23" t="n">
        <v>160</v>
      </c>
      <c r="N1474" s="23" t="n">
        <v>2017</v>
      </c>
      <c r="O1474" s="23" t="n">
        <v>76</v>
      </c>
      <c r="P1474" s="23" t="n"/>
      <c r="Q1474" s="23" t="n"/>
      <c r="R1474" s="25" t="n"/>
      <c r="S1474" s="26">
        <f>HYPERLINK("http://www.cnpol.ru/covers/17796.jpg","фото на сайте")</f>
        <v/>
      </c>
    </row>
    <row r="1475" ht="50.1" customHeight="1" s="3">
      <c r="A1475" s="23" t="n"/>
      <c r="B1475" s="24" t="inlineStr">
        <is>
          <t>16009</t>
        </is>
      </c>
      <c r="C1475" s="23" t="inlineStr">
        <is>
          <t>ЛР</t>
        </is>
      </c>
      <c r="D1475" s="23" t="inlineStr">
        <is>
          <t>Уинтерз Р.</t>
        </is>
      </c>
      <c r="E1475" s="23" t="inlineStr">
        <is>
          <t>Полмира за любовь</t>
        </is>
      </c>
      <c r="F1475" s="23" t="n">
        <v>519</v>
      </c>
      <c r="G1475" s="23" t="n">
        <v>94</v>
      </c>
      <c r="H1475" s="23" t="n">
        <v>10</v>
      </c>
      <c r="I1475" s="23" t="n">
        <v>30</v>
      </c>
      <c r="J1475" s="23" t="inlineStr">
        <is>
          <t>978-5-227-05948-2</t>
        </is>
      </c>
      <c r="K1475" s="23" t="inlineStr">
        <is>
          <t>70x100 1/32</t>
        </is>
      </c>
      <c r="L1475" s="23" t="inlineStr">
        <is>
          <t>мяг</t>
        </is>
      </c>
      <c r="M1475" s="23" t="n">
        <v>158</v>
      </c>
      <c r="N1475" s="23" t="n">
        <v>2015</v>
      </c>
      <c r="O1475" s="23" t="n">
        <v>76</v>
      </c>
      <c r="P1475" s="23" t="n"/>
      <c r="Q1475" s="23" t="n"/>
      <c r="R1475" s="25" t="n"/>
      <c r="S1475" s="26">
        <f>HYPERLINK("http://www.cnpol.ru/covers/16009.jpg","фото на сайте")</f>
        <v/>
      </c>
    </row>
    <row r="1476" ht="50.1" customHeight="1" s="3">
      <c r="A1476" s="23" t="n"/>
      <c r="B1476" s="24" t="inlineStr">
        <is>
          <t>14146</t>
        </is>
      </c>
      <c r="C1476" s="23" t="inlineStr">
        <is>
          <t>ЛР</t>
        </is>
      </c>
      <c r="D1476" s="23" t="inlineStr">
        <is>
          <t>Джамп Ш.</t>
        </is>
      </c>
      <c r="E1476" s="23" t="inlineStr">
        <is>
          <t>Полуночный поцелуй</t>
        </is>
      </c>
      <c r="F1476" s="23" t="n">
        <v>305</v>
      </c>
      <c r="G1476" s="23" t="n">
        <v>94</v>
      </c>
      <c r="H1476" s="23" t="n">
        <v>10</v>
      </c>
      <c r="I1476" s="23" t="n">
        <v>30</v>
      </c>
      <c r="J1476" s="23" t="inlineStr">
        <is>
          <t>978-5-227-04222-4</t>
        </is>
      </c>
      <c r="K1476" s="23" t="inlineStr">
        <is>
          <t>70x100 1/32</t>
        </is>
      </c>
      <c r="L1476" s="23" t="inlineStr">
        <is>
          <t>мяг</t>
        </is>
      </c>
      <c r="M1476" s="23" t="n">
        <v>158</v>
      </c>
      <c r="N1476" s="23" t="n">
        <v>2013</v>
      </c>
      <c r="O1476" s="23" t="n">
        <v>76</v>
      </c>
      <c r="P1476" s="23" t="n"/>
      <c r="Q1476" s="23" t="n"/>
      <c r="R1476" s="25" t="n"/>
      <c r="S1476" s="26">
        <f>HYPERLINK("http://www.cnpol.ru/covers/14146.jpg","фото на сайте")</f>
        <v/>
      </c>
    </row>
    <row r="1477" ht="50.1" customHeight="1" s="3">
      <c r="A1477" s="23" t="n"/>
      <c r="B1477" s="24" t="inlineStr">
        <is>
          <t>17464</t>
        </is>
      </c>
      <c r="C1477" s="23" t="inlineStr">
        <is>
          <t>ЛР</t>
        </is>
      </c>
      <c r="D1477" s="23" t="inlineStr">
        <is>
          <t>Уэст Э.</t>
        </is>
      </c>
      <c r="E1477" s="23" t="inlineStr">
        <is>
          <t>Помиримся у алтаря</t>
        </is>
      </c>
      <c r="F1477" s="23" t="n">
        <v>715</v>
      </c>
      <c r="G1477" s="23" t="n">
        <v>94</v>
      </c>
      <c r="H1477" s="23" t="n">
        <v>10</v>
      </c>
      <c r="I1477" s="23" t="n">
        <v>30</v>
      </c>
      <c r="J1477" s="23" t="inlineStr">
        <is>
          <t>978-5-227-07471-3</t>
        </is>
      </c>
      <c r="K1477" s="23" t="inlineStr">
        <is>
          <t>70x100 1/32</t>
        </is>
      </c>
      <c r="L1477" s="23" t="inlineStr">
        <is>
          <t>мяг</t>
        </is>
      </c>
      <c r="M1477" s="23" t="n">
        <v>160</v>
      </c>
      <c r="N1477" s="23" t="n">
        <v>2017</v>
      </c>
      <c r="O1477" s="23" t="n">
        <v>76</v>
      </c>
      <c r="P1477" s="23" t="n"/>
      <c r="Q1477" s="23" t="n"/>
      <c r="R1477" s="25" t="n"/>
      <c r="S1477" s="26">
        <f>HYPERLINK("http://www.cnpol.ru/covers/17464.jpg","фото на сайте")</f>
        <v/>
      </c>
    </row>
    <row r="1478" ht="50.1" customHeight="1" s="3">
      <c r="A1478" s="23" t="n"/>
      <c r="B1478" s="24" t="inlineStr">
        <is>
          <t>19817</t>
        </is>
      </c>
      <c r="C1478" s="23" t="inlineStr">
        <is>
          <t>ЛР</t>
        </is>
      </c>
      <c r="D1478" s="23" t="inlineStr">
        <is>
          <t>Мейнард Д.</t>
        </is>
      </c>
      <c r="E1478" s="23" t="inlineStr">
        <is>
          <t>Помоги остаться с тобой</t>
        </is>
      </c>
      <c r="F1478" s="23" t="n">
        <v>1051</v>
      </c>
      <c r="G1478" s="23" t="n">
        <v>94</v>
      </c>
      <c r="H1478" s="23" t="n">
        <v>10</v>
      </c>
      <c r="I1478" s="23" t="n">
        <v>30</v>
      </c>
      <c r="J1478" s="23" t="inlineStr">
        <is>
          <t>978-5-227-09416-2</t>
        </is>
      </c>
      <c r="K1478" s="23" t="inlineStr">
        <is>
          <t>70x100 1/32</t>
        </is>
      </c>
      <c r="L1478" s="23" t="inlineStr">
        <is>
          <t>мяг</t>
        </is>
      </c>
      <c r="M1478" s="23" t="n">
        <v>160</v>
      </c>
      <c r="N1478" s="23" t="n">
        <v>2021</v>
      </c>
      <c r="O1478" s="23" t="n">
        <v>76</v>
      </c>
      <c r="P1478" s="23" t="n"/>
      <c r="Q1478" s="23" t="n"/>
      <c r="R1478" s="25" t="n"/>
      <c r="S1478" s="26">
        <f>HYPERLINK("http://www.cnpol.ru/covers/19817.jpg","фото на сайте")</f>
        <v/>
      </c>
    </row>
    <row r="1479" ht="50.1" customHeight="1" s="3">
      <c r="A1479" s="23" t="n"/>
      <c r="B1479" s="24" t="inlineStr">
        <is>
          <t>17803</t>
        </is>
      </c>
      <c r="C1479" s="23" t="inlineStr">
        <is>
          <t>ЛР</t>
        </is>
      </c>
      <c r="D1479" s="23" t="inlineStr">
        <is>
          <t>Баканнон Б.</t>
        </is>
      </c>
      <c r="E1479" s="23" t="inlineStr">
        <is>
          <t>Помоги стать твоей</t>
        </is>
      </c>
      <c r="F1479" s="23" t="n">
        <v>768</v>
      </c>
      <c r="G1479" s="23" t="n">
        <v>94</v>
      </c>
      <c r="H1479" s="23" t="n">
        <v>10</v>
      </c>
      <c r="I1479" s="23" t="n">
        <v>30</v>
      </c>
      <c r="J1479" s="23" t="inlineStr">
        <is>
          <t>978-5-227-07752-3</t>
        </is>
      </c>
      <c r="K1479" s="23" t="inlineStr">
        <is>
          <t>70x100 1/32</t>
        </is>
      </c>
      <c r="L1479" s="23" t="inlineStr">
        <is>
          <t>мяг</t>
        </is>
      </c>
      <c r="M1479" s="23" t="n">
        <v>160</v>
      </c>
      <c r="N1479" s="23" t="n">
        <v>2017</v>
      </c>
      <c r="O1479" s="23" t="n">
        <v>76</v>
      </c>
      <c r="P1479" s="23" t="n"/>
      <c r="Q1479" s="23" t="n"/>
      <c r="R1479" s="25" t="n"/>
      <c r="S1479" s="26">
        <f>HYPERLINK("http://www.cnpol.ru/covers/17803.jpg","фото на сайте")</f>
        <v/>
      </c>
    </row>
    <row r="1480" ht="50.1" customHeight="1" s="3">
      <c r="A1480" s="23" t="n"/>
      <c r="B1480" s="24" t="inlineStr">
        <is>
          <t>12701</t>
        </is>
      </c>
      <c r="C1480" s="23" t="inlineStr">
        <is>
          <t>ЛР</t>
        </is>
      </c>
      <c r="D1480" s="23" t="inlineStr">
        <is>
          <t>Харрингтон Н.</t>
        </is>
      </c>
      <c r="E1480" s="23" t="inlineStr">
        <is>
          <t>Помолвка на десерт</t>
        </is>
      </c>
      <c r="F1480" s="23" t="n">
        <v>86</v>
      </c>
      <c r="G1480" s="23" t="n">
        <v>94</v>
      </c>
      <c r="H1480" s="23" t="n">
        <v>10</v>
      </c>
      <c r="I1480" s="23" t="n">
        <v>30</v>
      </c>
      <c r="J1480" s="23" t="inlineStr">
        <is>
          <t>978-5-227-02840-2</t>
        </is>
      </c>
      <c r="K1480" s="23" t="inlineStr">
        <is>
          <t>70x100 1/32</t>
        </is>
      </c>
      <c r="L1480" s="23" t="inlineStr">
        <is>
          <t>мяг</t>
        </is>
      </c>
      <c r="M1480" s="23" t="n">
        <v>158</v>
      </c>
      <c r="N1480" s="23" t="n">
        <v>2011</v>
      </c>
      <c r="O1480" s="23" t="n">
        <v>78</v>
      </c>
      <c r="P1480" s="23" t="n"/>
      <c r="Q1480" s="23" t="n"/>
      <c r="R1480" s="25" t="n"/>
      <c r="S1480" s="26">
        <f>HYPERLINK("http://www.cnpol.ru/covers/12701.jpg","фото на сайте")</f>
        <v/>
      </c>
    </row>
    <row r="1481" ht="50.1" customHeight="1" s="3">
      <c r="A1481" s="23" t="n"/>
      <c r="B1481" s="24" t="inlineStr">
        <is>
          <t>20665</t>
        </is>
      </c>
      <c r="C1481" s="23" t="inlineStr">
        <is>
          <t>ЛР</t>
        </is>
      </c>
      <c r="D1481" s="23" t="inlineStr">
        <is>
          <t>Бэлл М.</t>
        </is>
      </c>
      <c r="E1481" s="23" t="inlineStr">
        <is>
          <t>Пообещай лучшую ночь</t>
        </is>
      </c>
      <c r="F1481" s="23" t="n">
        <v>1143</v>
      </c>
      <c r="G1481" s="23" t="n">
        <v>94</v>
      </c>
      <c r="H1481" s="23" t="n">
        <v>10</v>
      </c>
      <c r="I1481" s="23" t="n">
        <v>30</v>
      </c>
      <c r="J1481" s="23" t="inlineStr">
        <is>
          <t>978-5-227-10342-0</t>
        </is>
      </c>
      <c r="K1481" s="23" t="inlineStr">
        <is>
          <t>70x100 1/32</t>
        </is>
      </c>
      <c r="L1481" s="23" t="inlineStr">
        <is>
          <t>мяг</t>
        </is>
      </c>
      <c r="M1481" s="23" t="n">
        <v>159</v>
      </c>
      <c r="N1481" s="23" t="n">
        <v>2023</v>
      </c>
      <c r="O1481" s="23" t="n">
        <v>76</v>
      </c>
      <c r="P1481" s="23" t="n"/>
      <c r="Q1481" s="23" t="n"/>
      <c r="R1481" s="25" t="inlineStr">
        <is>
          <t>Бенджамин Сильвер уже дважды терял самых близких людей – сначала погибли его биологические родители, а потом приемные. Он твердо решил никогда не заводить семью, из страха пережить еще одну потерю. Но внезапно в его жизнь ворвалась очаровательная Мириам Ховард. Решится ли он отбросить свои страхи и связать жизнь с этой удивительной женщиной?..</t>
        </is>
      </c>
      <c r="S1481" s="26">
        <f>HYPERLINK("http://www.cnpol.ru/covers/20665.jpg","фото на сайте")</f>
        <v/>
      </c>
    </row>
    <row r="1482" ht="50.1" customHeight="1" s="3">
      <c r="A1482" s="23" t="n"/>
      <c r="B1482" s="24" t="inlineStr">
        <is>
          <t>20604</t>
        </is>
      </c>
      <c r="C1482" s="23" t="inlineStr">
        <is>
          <t>ЛР</t>
        </is>
      </c>
      <c r="D1482" s="23" t="inlineStr">
        <is>
          <t>Адамс М.</t>
        </is>
      </c>
      <c r="E1482" s="23" t="inlineStr">
        <is>
          <t>Пообещай мне счастье</t>
        </is>
      </c>
      <c r="F1482" s="23" t="n">
        <v>1134</v>
      </c>
      <c r="G1482" s="23" t="n">
        <v>94</v>
      </c>
      <c r="H1482" s="23" t="n">
        <v>10</v>
      </c>
      <c r="I1482" s="23" t="n">
        <v>30</v>
      </c>
      <c r="J1482" s="23" t="inlineStr">
        <is>
          <t>978-5-227-10285-0</t>
        </is>
      </c>
      <c r="K1482" s="23" t="inlineStr">
        <is>
          <t>70x100 1/32</t>
        </is>
      </c>
      <c r="L1482" s="23" t="inlineStr">
        <is>
          <t>мяг</t>
        </is>
      </c>
      <c r="M1482" s="23" t="n">
        <v>159</v>
      </c>
      <c r="N1482" s="23" t="n">
        <v>2023</v>
      </c>
      <c r="O1482" s="23" t="n">
        <v>76</v>
      </c>
      <c r="P1482" s="23" t="n"/>
      <c r="Q1482" s="23" t="n"/>
      <c r="R1482" s="25" t="inlineStr">
        <is>
          <t>Олив, глава крупной корпорации, давно любит Гуннара, президента фирмы, с которой она соперничает. Эти двое знают друг друга с детства, но только сейчас, после случайной ночи, проведенной вдвоем, им предстоит наконец определиться, что важнее — любовь или дело всей жизни?..</t>
        </is>
      </c>
      <c r="S1482" s="26">
        <f>HYPERLINK("http://www.cnpol.ru/covers/20604.jpg","фото на сайте")</f>
        <v/>
      </c>
    </row>
    <row r="1483" ht="50.1" customHeight="1" s="3">
      <c r="A1483" s="23" t="n"/>
      <c r="B1483" s="24" t="inlineStr">
        <is>
          <t>19119</t>
        </is>
      </c>
      <c r="C1483" s="23" t="inlineStr">
        <is>
          <t>ЛР</t>
        </is>
      </c>
      <c r="D1483" s="23" t="inlineStr">
        <is>
          <t>Фуллер Л</t>
        </is>
      </c>
      <c r="E1483" s="23" t="inlineStr">
        <is>
          <t>Попробуй сказать «нет»</t>
        </is>
      </c>
      <c r="F1483" s="23" t="n">
        <v>970</v>
      </c>
      <c r="G1483" s="23" t="n">
        <v>94</v>
      </c>
      <c r="H1483" s="23" t="n">
        <v>10</v>
      </c>
      <c r="I1483" s="23" t="n">
        <v>30</v>
      </c>
      <c r="J1483" s="23" t="inlineStr">
        <is>
          <t>978-5-227-08959-5</t>
        </is>
      </c>
      <c r="K1483" s="23" t="inlineStr">
        <is>
          <t>70x100 1/32</t>
        </is>
      </c>
      <c r="L1483" s="23" t="inlineStr">
        <is>
          <t>мяг</t>
        </is>
      </c>
      <c r="M1483" s="23" t="n">
        <v>160</v>
      </c>
      <c r="N1483" s="23" t="n">
        <v>2020</v>
      </c>
      <c r="O1483" s="23" t="n">
        <v>76</v>
      </c>
      <c r="P1483" s="23" t="n"/>
      <c r="Q1483" s="23" t="n"/>
      <c r="R1483" s="25" t="n"/>
      <c r="S1483" s="26">
        <f>HYPERLINK("http://www.cnpol.ru/covers/19119.jpg","фото на сайте")</f>
        <v/>
      </c>
    </row>
    <row r="1484" ht="50.1" customHeight="1" s="3">
      <c r="A1484" s="23" t="n"/>
      <c r="B1484" s="24" t="inlineStr">
        <is>
          <t>16110</t>
        </is>
      </c>
      <c r="C1484" s="23" t="inlineStr">
        <is>
          <t>ЛР</t>
        </is>
      </c>
      <c r="D1484" s="23" t="inlineStr">
        <is>
          <t>Гилмор Д.</t>
        </is>
      </c>
      <c r="E1484" s="23" t="inlineStr">
        <is>
          <t>Попроси меня остаться</t>
        </is>
      </c>
      <c r="F1484" s="23" t="n">
        <v>531</v>
      </c>
      <c r="G1484" s="23" t="n">
        <v>94</v>
      </c>
      <c r="H1484" s="23" t="n">
        <v>10</v>
      </c>
      <c r="I1484" s="23" t="n">
        <v>30</v>
      </c>
      <c r="J1484" s="23" t="inlineStr">
        <is>
          <t>978-5-227-06103-4</t>
        </is>
      </c>
      <c r="K1484" s="23" t="inlineStr">
        <is>
          <t>70x100 1/32</t>
        </is>
      </c>
      <c r="L1484" s="23" t="inlineStr">
        <is>
          <t>мяг</t>
        </is>
      </c>
      <c r="M1484" s="23" t="n">
        <v>158</v>
      </c>
      <c r="N1484" s="23" t="n">
        <v>2015</v>
      </c>
      <c r="O1484" s="23" t="n">
        <v>76</v>
      </c>
      <c r="P1484" s="23" t="n"/>
      <c r="Q1484" s="23" t="n"/>
      <c r="R1484" s="25" t="n"/>
      <c r="S1484" s="26">
        <f>HYPERLINK("http://www.cnpol.ru/covers/16110.jpg","фото на сайте")</f>
        <v/>
      </c>
    </row>
    <row r="1485" ht="50.1" customHeight="1" s="3">
      <c r="A1485" s="23" t="n"/>
      <c r="B1485" s="24" t="inlineStr">
        <is>
          <t>18211</t>
        </is>
      </c>
      <c r="C1485" s="23" t="inlineStr">
        <is>
          <t>ЛР</t>
        </is>
      </c>
      <c r="D1485" s="23" t="inlineStr">
        <is>
          <t>Хьюит К.</t>
        </is>
      </c>
      <c r="E1485" s="23" t="inlineStr">
        <is>
          <t>Попроси меня остаться</t>
        </is>
      </c>
      <c r="F1485" s="23" t="n">
        <v>818</v>
      </c>
      <c r="G1485" s="23" t="n">
        <v>94</v>
      </c>
      <c r="H1485" s="23" t="n">
        <v>10</v>
      </c>
      <c r="I1485" s="23" t="n">
        <v>30</v>
      </c>
      <c r="J1485" s="23" t="inlineStr">
        <is>
          <t>978-5-227-08154-4</t>
        </is>
      </c>
      <c r="K1485" s="23" t="inlineStr">
        <is>
          <t>70x100 1/32</t>
        </is>
      </c>
      <c r="L1485" s="23" t="inlineStr">
        <is>
          <t>мяг</t>
        </is>
      </c>
      <c r="M1485" s="23" t="n">
        <v>160</v>
      </c>
      <c r="N1485" s="23" t="n">
        <v>2018</v>
      </c>
      <c r="O1485" s="23" t="n">
        <v>76</v>
      </c>
      <c r="P1485" s="23" t="n"/>
      <c r="Q1485" s="23" t="n"/>
      <c r="R1485" s="25" t="n"/>
      <c r="S1485" s="26">
        <f>HYPERLINK("http://www.cnpol.ru/covers/18211.jpg","фото на сайте")</f>
        <v/>
      </c>
    </row>
    <row r="1486" ht="50.1" customHeight="1" s="3">
      <c r="A1486" s="23" t="n"/>
      <c r="B1486" s="24" t="inlineStr">
        <is>
          <t>19500</t>
        </is>
      </c>
      <c r="C1486" s="23" t="inlineStr">
        <is>
          <t>ЛР</t>
        </is>
      </c>
      <c r="D1486" s="23" t="inlineStr">
        <is>
          <t>Райан Р.</t>
        </is>
      </c>
      <c r="E1486" s="23" t="inlineStr">
        <is>
          <t>Попытка соблазнения</t>
        </is>
      </c>
      <c r="F1486" s="23" t="n">
        <v>1015</v>
      </c>
      <c r="G1486" s="23" t="n">
        <v>94</v>
      </c>
      <c r="H1486" s="23" t="n">
        <v>10</v>
      </c>
      <c r="I1486" s="23" t="n">
        <v>30</v>
      </c>
      <c r="J1486" s="23" t="inlineStr">
        <is>
          <t>978-5-227-09153-6</t>
        </is>
      </c>
      <c r="K1486" s="23" t="inlineStr">
        <is>
          <t>70x100 1/32</t>
        </is>
      </c>
      <c r="L1486" s="23" t="inlineStr">
        <is>
          <t>мяг</t>
        </is>
      </c>
      <c r="M1486" s="23" t="n">
        <v>160</v>
      </c>
      <c r="N1486" s="23" t="n">
        <v>2021</v>
      </c>
      <c r="O1486" s="23" t="n">
        <v>76</v>
      </c>
      <c r="P1486" s="23" t="n"/>
      <c r="Q1486" s="23" t="n"/>
      <c r="R1486" s="25" t="n"/>
      <c r="S1486" s="26">
        <f>HYPERLINK("http://www.cnpol.ru/covers/19500.jpg","фото на сайте")</f>
        <v/>
      </c>
    </row>
    <row r="1487" ht="50.1" customHeight="1" s="3">
      <c r="A1487" s="23" t="n"/>
      <c r="B1487" s="24" t="inlineStr">
        <is>
          <t>17882</t>
        </is>
      </c>
      <c r="C1487" s="23" t="inlineStr">
        <is>
          <t>ЛР</t>
        </is>
      </c>
      <c r="D1487" s="23" t="inlineStr">
        <is>
          <t>Смарт М.</t>
        </is>
      </c>
      <c r="E1487" s="23" t="inlineStr">
        <is>
          <t>Послевкусие желанной мести</t>
        </is>
      </c>
      <c r="F1487" s="23" t="n">
        <v>780</v>
      </c>
      <c r="G1487" s="23" t="n">
        <v>94</v>
      </c>
      <c r="H1487" s="23" t="n">
        <v>10</v>
      </c>
      <c r="I1487" s="23" t="n">
        <v>30</v>
      </c>
      <c r="J1487" s="23" t="inlineStr">
        <is>
          <t>978-5-227-07786-8</t>
        </is>
      </c>
      <c r="K1487" s="23" t="inlineStr">
        <is>
          <t>70x100 1/32</t>
        </is>
      </c>
      <c r="L1487" s="23" t="inlineStr">
        <is>
          <t>мяг</t>
        </is>
      </c>
      <c r="M1487" s="23" t="n">
        <v>160</v>
      </c>
      <c r="N1487" s="23" t="n">
        <v>2017</v>
      </c>
      <c r="O1487" s="23" t="n">
        <v>76</v>
      </c>
      <c r="P1487" s="23" t="n"/>
      <c r="Q1487" s="23" t="n"/>
      <c r="R1487" s="25" t="n"/>
      <c r="S1487" s="26">
        <f>HYPERLINK("http://www.cnpol.ru/covers/17882.jpg","фото на сайте")</f>
        <v/>
      </c>
    </row>
    <row r="1488" ht="50.1" customHeight="1" s="3">
      <c r="A1488" s="23" t="n"/>
      <c r="B1488" s="24" t="inlineStr">
        <is>
          <t>16773</t>
        </is>
      </c>
      <c r="C1488" s="23" t="inlineStr">
        <is>
          <t>ЛР</t>
        </is>
      </c>
      <c r="D1488" s="23" t="inlineStr">
        <is>
          <t>Брок Э.</t>
        </is>
      </c>
      <c r="E1488" s="23" t="inlineStr">
        <is>
          <t>Последний шанс для счастья</t>
        </is>
      </c>
      <c r="F1488" s="23" t="n">
        <v>620</v>
      </c>
      <c r="G1488" s="23" t="n">
        <v>94</v>
      </c>
      <c r="H1488" s="23" t="n">
        <v>10</v>
      </c>
      <c r="I1488" s="23" t="n">
        <v>30</v>
      </c>
      <c r="J1488" s="23" t="inlineStr">
        <is>
          <t>978-5-227-06741-8</t>
        </is>
      </c>
      <c r="K1488" s="23" t="inlineStr">
        <is>
          <t>70x100 1/32</t>
        </is>
      </c>
      <c r="L1488" s="23" t="inlineStr">
        <is>
          <t>мяг</t>
        </is>
      </c>
      <c r="M1488" s="23" t="n">
        <v>160</v>
      </c>
      <c r="N1488" s="23" t="n">
        <v>2016</v>
      </c>
      <c r="O1488" s="23" t="n">
        <v>76</v>
      </c>
      <c r="P1488" s="23" t="n"/>
      <c r="Q1488" s="23" t="n"/>
      <c r="R1488" s="25" t="n"/>
      <c r="S1488" s="26">
        <f>HYPERLINK("http://www.cnpol.ru/covers/16773.jpg","фото на сайте")</f>
        <v/>
      </c>
    </row>
    <row r="1489" ht="50.1" customHeight="1" s="3">
      <c r="A1489" s="23" t="n"/>
      <c r="B1489" s="24" t="inlineStr">
        <is>
          <t>16573</t>
        </is>
      </c>
      <c r="C1489" s="23" t="inlineStr">
        <is>
          <t>ЛР</t>
        </is>
      </c>
      <c r="D1489" s="23" t="inlineStr">
        <is>
          <t>Бранд Ф.</t>
        </is>
      </c>
      <c r="E1489" s="23" t="inlineStr">
        <is>
          <t>Последняя ночь холостяка</t>
        </is>
      </c>
      <c r="F1489" s="23" t="n">
        <v>593</v>
      </c>
      <c r="G1489" s="23" t="n">
        <v>94</v>
      </c>
      <c r="H1489" s="23" t="n">
        <v>10</v>
      </c>
      <c r="I1489" s="23" t="n">
        <v>30</v>
      </c>
      <c r="J1489" s="23" t="inlineStr">
        <is>
          <t>978-5-227-06489-9</t>
        </is>
      </c>
      <c r="K1489" s="23" t="inlineStr">
        <is>
          <t>70x100 1/32</t>
        </is>
      </c>
      <c r="L1489" s="23" t="inlineStr">
        <is>
          <t>мяг</t>
        </is>
      </c>
      <c r="M1489" s="23" t="n">
        <v>160</v>
      </c>
      <c r="N1489" s="23" t="n">
        <v>2016</v>
      </c>
      <c r="O1489" s="23" t="n">
        <v>76</v>
      </c>
      <c r="P1489" s="23" t="n"/>
      <c r="Q1489" s="23" t="n"/>
      <c r="R1489" s="25" t="n"/>
      <c r="S1489" s="26">
        <f>HYPERLINK("http://www.cnpol.ru/covers/16573.jpg","фото на сайте")</f>
        <v/>
      </c>
    </row>
    <row r="1490" ht="50.1" customHeight="1" s="3">
      <c r="A1490" s="23" t="n"/>
      <c r="B1490" s="24" t="inlineStr">
        <is>
          <t>20509</t>
        </is>
      </c>
      <c r="C1490" s="23" t="inlineStr">
        <is>
          <t>ЛР</t>
        </is>
      </c>
      <c r="D1490" s="23" t="inlineStr">
        <is>
          <t>Роско П.</t>
        </is>
      </c>
      <c r="E1490" s="23" t="inlineStr">
        <is>
          <t>Похищенная невеста</t>
        </is>
      </c>
      <c r="F1490" s="23" t="n">
        <v>1125</v>
      </c>
      <c r="G1490" s="23" t="n">
        <v>94</v>
      </c>
      <c r="H1490" s="23" t="n">
        <v>10</v>
      </c>
      <c r="I1490" s="23" t="n">
        <v>30</v>
      </c>
      <c r="J1490" s="23" t="inlineStr">
        <is>
          <t>978-5-227-10200-3</t>
        </is>
      </c>
      <c r="K1490" s="23" t="inlineStr">
        <is>
          <t>70x100 1/32</t>
        </is>
      </c>
      <c r="L1490" s="23" t="inlineStr">
        <is>
          <t>мяг</t>
        </is>
      </c>
      <c r="M1490" s="23" t="n">
        <v>159</v>
      </c>
      <c r="N1490" s="23" t="n">
        <v>2023</v>
      </c>
      <c r="O1490" s="23" t="n">
        <v>76</v>
      </c>
      <c r="P1490" s="23" t="n"/>
      <c r="Q1490" s="23" t="n"/>
      <c r="R1490" s="25" t="inlineStr">
        <is>
          <t>Королевство Свардия находится в самом сердце Скандинавии. Сразу после коронации принца Александра его младшая сестра Марит стремительно покинула страну, чтобы избежать брака, навязанного ей новым королем. Свардию ожидает грандиозный скандал! И чтобы предотвратить его, король отправляет в погоню за беглянкой бывшего уличного воришку, а теперь респектабельного греческого миллиардера Ликоса Ливаса, одинокого хладнокровного эгоиста, желающего свести счеты со своими конкурентами в бизнесе. Но принцесса оказалась не так проста, как предполагал Ликос.</t>
        </is>
      </c>
      <c r="S1490" s="26">
        <f>HYPERLINK("http://www.cnpol.ru/covers/20509.jpg","фото на сайте")</f>
        <v/>
      </c>
    </row>
    <row r="1491" ht="50.1" customHeight="1" s="3">
      <c r="A1491" s="23" t="n"/>
      <c r="B1491" s="24" t="inlineStr">
        <is>
          <t>18398</t>
        </is>
      </c>
      <c r="C1491" s="23" t="inlineStr">
        <is>
          <t>ЛР</t>
        </is>
      </c>
      <c r="D1491" s="23" t="inlineStr">
        <is>
          <t>Эйтс М.</t>
        </is>
      </c>
      <c r="E1491" s="23" t="inlineStr">
        <is>
          <t>Похищенная страсть</t>
        </is>
      </c>
      <c r="F1491" s="23" t="n">
        <v>851</v>
      </c>
      <c r="G1491" s="23" t="n">
        <v>94</v>
      </c>
      <c r="H1491" s="23" t="n">
        <v>10</v>
      </c>
      <c r="I1491" s="23" t="n">
        <v>30</v>
      </c>
      <c r="J1491" s="23" t="inlineStr">
        <is>
          <t>978-5-227-08356-2</t>
        </is>
      </c>
      <c r="K1491" s="23" t="inlineStr">
        <is>
          <t>70x100 1/32</t>
        </is>
      </c>
      <c r="L1491" s="23" t="inlineStr">
        <is>
          <t>мяг</t>
        </is>
      </c>
      <c r="M1491" s="23" t="n">
        <v>160</v>
      </c>
      <c r="N1491" s="23" t="n">
        <v>2018</v>
      </c>
      <c r="O1491" s="23" t="n">
        <v>76</v>
      </c>
      <c r="P1491" s="23" t="n"/>
      <c r="Q1491" s="23" t="n"/>
      <c r="R1491" s="25" t="n"/>
      <c r="S1491" s="26">
        <f>HYPERLINK("http://www.cnpol.ru/covers/18398.jpg","фото на сайте")</f>
        <v/>
      </c>
    </row>
    <row r="1492" ht="50.1" customHeight="1" s="3">
      <c r="A1492" s="23" t="n"/>
      <c r="B1492" s="24" t="inlineStr">
        <is>
          <t>18370</t>
        </is>
      </c>
      <c r="C1492" s="23" t="inlineStr">
        <is>
          <t>ЛР</t>
        </is>
      </c>
      <c r="D1492" s="23" t="inlineStr">
        <is>
          <t>Стивенс С.</t>
        </is>
      </c>
      <c r="E1492" s="23" t="inlineStr">
        <is>
          <t>Поцелуй в лимонной роще</t>
        </is>
      </c>
      <c r="F1492" s="23" t="n">
        <v>846</v>
      </c>
      <c r="G1492" s="23" t="n">
        <v>94</v>
      </c>
      <c r="H1492" s="23" t="n">
        <v>10</v>
      </c>
      <c r="I1492" s="23" t="n">
        <v>30</v>
      </c>
      <c r="J1492" s="23" t="inlineStr">
        <is>
          <t>978-5-227-08351-7</t>
        </is>
      </c>
      <c r="K1492" s="23" t="inlineStr">
        <is>
          <t>70x100 1/32</t>
        </is>
      </c>
      <c r="L1492" s="23" t="inlineStr">
        <is>
          <t>мяг</t>
        </is>
      </c>
      <c r="M1492" s="23" t="n">
        <v>160</v>
      </c>
      <c r="N1492" s="23" t="n">
        <v>2018</v>
      </c>
      <c r="O1492" s="23" t="n">
        <v>76</v>
      </c>
      <c r="P1492" s="23" t="n"/>
      <c r="Q1492" s="23" t="n"/>
      <c r="R1492" s="25" t="n"/>
      <c r="S1492" s="26">
        <f>HYPERLINK("http://www.cnpol.ru/covers/18370.jpg","фото на сайте")</f>
        <v/>
      </c>
    </row>
    <row r="1493" ht="50.1" customHeight="1" s="3">
      <c r="A1493" s="23" t="n"/>
      <c r="B1493" s="24" t="inlineStr">
        <is>
          <t>16753</t>
        </is>
      </c>
      <c r="C1493" s="23" t="inlineStr">
        <is>
          <t>ЛР</t>
        </is>
      </c>
      <c r="D1493" s="23" t="inlineStr">
        <is>
          <t>Хьюит К.</t>
        </is>
      </c>
      <c r="E1493" s="23" t="inlineStr">
        <is>
          <t>Поцелуй для папарацци</t>
        </is>
      </c>
      <c r="F1493" s="23" t="n">
        <v>618</v>
      </c>
      <c r="G1493" s="23" t="n">
        <v>94</v>
      </c>
      <c r="H1493" s="23" t="n">
        <v>10</v>
      </c>
      <c r="I1493" s="23" t="n">
        <v>30</v>
      </c>
      <c r="J1493" s="23" t="inlineStr">
        <is>
          <t>978-5-227-06739-5</t>
        </is>
      </c>
      <c r="K1493" s="23" t="inlineStr">
        <is>
          <t>70x100 1/32</t>
        </is>
      </c>
      <c r="L1493" s="23" t="inlineStr">
        <is>
          <t>мяг</t>
        </is>
      </c>
      <c r="M1493" s="23" t="n">
        <v>160</v>
      </c>
      <c r="N1493" s="23" t="n">
        <v>2016</v>
      </c>
      <c r="O1493" s="23" t="n">
        <v>76</v>
      </c>
      <c r="P1493" s="23" t="n"/>
      <c r="Q1493" s="23" t="n"/>
      <c r="R1493" s="25" t="n"/>
      <c r="S1493" s="26">
        <f>HYPERLINK("http://www.cnpol.ru/covers/16753.jpg","фото на сайте")</f>
        <v/>
      </c>
    </row>
    <row r="1494" ht="50.1" customHeight="1" s="3">
      <c r="A1494" s="23" t="n"/>
      <c r="B1494" s="24" t="inlineStr">
        <is>
          <t>18833</t>
        </is>
      </c>
      <c r="C1494" s="23" t="inlineStr">
        <is>
          <t>ЛР</t>
        </is>
      </c>
      <c r="D1494" s="23" t="inlineStr">
        <is>
          <t>Коллинз Д.</t>
        </is>
      </c>
      <c r="E1494" s="23" t="inlineStr">
        <is>
          <t>Поцелуй желанной интриганки</t>
        </is>
      </c>
      <c r="F1494" s="23" t="n">
        <v>921</v>
      </c>
      <c r="G1494" s="23" t="n">
        <v>94</v>
      </c>
      <c r="H1494" s="23" t="n">
        <v>10</v>
      </c>
      <c r="I1494" s="23" t="n">
        <v>30</v>
      </c>
      <c r="J1494" s="23" t="inlineStr">
        <is>
          <t>978-5-227-08698-3</t>
        </is>
      </c>
      <c r="K1494" s="23" t="inlineStr">
        <is>
          <t>70x100 1/32</t>
        </is>
      </c>
      <c r="L1494" s="23" t="inlineStr">
        <is>
          <t>мяг</t>
        </is>
      </c>
      <c r="M1494" s="23" t="n">
        <v>160</v>
      </c>
      <c r="N1494" s="23" t="n">
        <v>2019</v>
      </c>
      <c r="O1494" s="23" t="n">
        <v>76</v>
      </c>
      <c r="P1494" s="23" t="n"/>
      <c r="Q1494" s="23" t="n"/>
      <c r="R1494" s="25" t="n"/>
      <c r="S1494" s="26">
        <f>HYPERLINK("http://www.cnpol.ru/covers/18833.jpg","фото на сайте")</f>
        <v/>
      </c>
    </row>
    <row r="1495" ht="50.1" customHeight="1" s="3">
      <c r="A1495" s="23" t="n"/>
      <c r="B1495" s="24" t="inlineStr">
        <is>
          <t>17655</t>
        </is>
      </c>
      <c r="C1495" s="23" t="inlineStr">
        <is>
          <t>ЛР</t>
        </is>
      </c>
      <c r="D1495" s="23" t="inlineStr">
        <is>
          <t>Стивенс С.</t>
        </is>
      </c>
      <c r="E1495" s="23" t="inlineStr">
        <is>
          <t>Поцелуй забытой поклонницы</t>
        </is>
      </c>
      <c r="F1495" s="23" t="n">
        <v>746</v>
      </c>
      <c r="G1495" s="23" t="n">
        <v>94</v>
      </c>
      <c r="H1495" s="23" t="n">
        <v>10</v>
      </c>
      <c r="I1495" s="23" t="n">
        <v>30</v>
      </c>
      <c r="J1495" s="23" t="inlineStr">
        <is>
          <t>978-5-227-07682-3</t>
        </is>
      </c>
      <c r="K1495" s="23" t="inlineStr">
        <is>
          <t>70x100 1/32</t>
        </is>
      </c>
      <c r="L1495" s="23" t="inlineStr">
        <is>
          <t>мяг</t>
        </is>
      </c>
      <c r="M1495" s="23" t="n">
        <v>160</v>
      </c>
      <c r="N1495" s="23" t="n">
        <v>2017</v>
      </c>
      <c r="O1495" s="23" t="n">
        <v>76</v>
      </c>
      <c r="P1495" s="23" t="n"/>
      <c r="Q1495" s="23" t="n"/>
      <c r="R1495" s="25" t="n"/>
      <c r="S1495" s="26">
        <f>HYPERLINK("http://www.cnpol.ru/covers/17655.jpg","фото на сайте")</f>
        <v/>
      </c>
    </row>
    <row r="1496" ht="50.1" customHeight="1" s="3">
      <c r="A1496" s="23" t="n"/>
      <c r="B1496" s="24" t="inlineStr">
        <is>
          <t>17410</t>
        </is>
      </c>
      <c r="C1496" s="23" t="inlineStr">
        <is>
          <t>ЛР</t>
        </is>
      </c>
      <c r="D1496" s="23" t="inlineStr">
        <is>
          <t>Логан Н.</t>
        </is>
      </c>
      <c r="E1496" s="23" t="inlineStr">
        <is>
          <t>Поцелуй под северным сиянием</t>
        </is>
      </c>
      <c r="F1496" s="23" t="n">
        <v>706</v>
      </c>
      <c r="G1496" s="23" t="n">
        <v>94</v>
      </c>
      <c r="H1496" s="23" t="n">
        <v>10</v>
      </c>
      <c r="I1496" s="23" t="n">
        <v>30</v>
      </c>
      <c r="J1496" s="23" t="inlineStr">
        <is>
          <t>978-5-227-07449-2</t>
        </is>
      </c>
      <c r="K1496" s="23" t="inlineStr">
        <is>
          <t>70x100 1/32</t>
        </is>
      </c>
      <c r="L1496" s="23" t="inlineStr">
        <is>
          <t>мяг</t>
        </is>
      </c>
      <c r="M1496" s="23" t="n">
        <v>160</v>
      </c>
      <c r="N1496" s="23" t="n">
        <v>2017</v>
      </c>
      <c r="O1496" s="23" t="n">
        <v>76</v>
      </c>
      <c r="P1496" s="23" t="n"/>
      <c r="Q1496" s="23" t="n"/>
      <c r="R1496" s="25" t="n"/>
      <c r="S1496" s="26">
        <f>HYPERLINK("http://www.cnpol.ru/covers/17410.jpg","фото на сайте")</f>
        <v/>
      </c>
    </row>
    <row r="1497" ht="50.1" customHeight="1" s="3">
      <c r="A1497" s="23" t="n"/>
      <c r="B1497" s="24" t="inlineStr">
        <is>
          <t>19057</t>
        </is>
      </c>
      <c r="C1497" s="23" t="inlineStr">
        <is>
          <t>ЛР</t>
        </is>
      </c>
      <c r="D1497" s="23" t="inlineStr">
        <is>
          <t>Хьюит К.</t>
        </is>
      </c>
      <c r="E1497" s="23" t="inlineStr">
        <is>
          <t>Поцелуй под смоковницей</t>
        </is>
      </c>
      <c r="F1497" s="23" t="n">
        <v>962</v>
      </c>
      <c r="G1497" s="23" t="n">
        <v>94</v>
      </c>
      <c r="H1497" s="23" t="n">
        <v>10</v>
      </c>
      <c r="I1497" s="23" t="n">
        <v>30</v>
      </c>
      <c r="J1497" s="23" t="inlineStr">
        <is>
          <t>978-5-227-08934-2</t>
        </is>
      </c>
      <c r="K1497" s="23" t="inlineStr">
        <is>
          <t>70x100 1/32</t>
        </is>
      </c>
      <c r="L1497" s="23" t="inlineStr">
        <is>
          <t>мяг</t>
        </is>
      </c>
      <c r="M1497" s="23" t="n">
        <v>160</v>
      </c>
      <c r="N1497" s="23" t="n">
        <v>2020</v>
      </c>
      <c r="O1497" s="23" t="n">
        <v>76</v>
      </c>
      <c r="P1497" s="23" t="n"/>
      <c r="Q1497" s="23" t="n"/>
      <c r="R1497" s="25" t="n"/>
      <c r="S1497" s="26">
        <f>HYPERLINK("http://www.cnpol.ru/covers/19057.jpg","фото на сайте")</f>
        <v/>
      </c>
    </row>
    <row r="1498" ht="50.1" customHeight="1" s="3">
      <c r="A1498" s="23" t="n"/>
      <c r="B1498" s="24" t="inlineStr">
        <is>
          <t>19131</t>
        </is>
      </c>
      <c r="C1498" s="23" t="inlineStr">
        <is>
          <t>ЛР</t>
        </is>
      </c>
      <c r="D1498" s="23" t="inlineStr">
        <is>
          <t>Милн Н.</t>
        </is>
      </c>
      <c r="E1498" s="23" t="inlineStr">
        <is>
          <t>Почти сдалась тебе</t>
        </is>
      </c>
      <c r="F1498" s="23" t="n">
        <v>973</v>
      </c>
      <c r="G1498" s="23" t="n">
        <v>94</v>
      </c>
      <c r="H1498" s="23" t="n">
        <v>10</v>
      </c>
      <c r="I1498" s="23" t="n">
        <v>30</v>
      </c>
      <c r="J1498" s="23" t="inlineStr">
        <is>
          <t>978-5-227-08962-5</t>
        </is>
      </c>
      <c r="K1498" s="23" t="inlineStr">
        <is>
          <t>70x100 1/32</t>
        </is>
      </c>
      <c r="L1498" s="23" t="inlineStr">
        <is>
          <t>мяг</t>
        </is>
      </c>
      <c r="M1498" s="23" t="n">
        <v>160</v>
      </c>
      <c r="N1498" s="23" t="n">
        <v>2020</v>
      </c>
      <c r="O1498" s="23" t="n">
        <v>76</v>
      </c>
      <c r="P1498" s="23" t="n"/>
      <c r="Q1498" s="23" t="n"/>
      <c r="R1498" s="25" t="n"/>
      <c r="S1498" s="26">
        <f>HYPERLINK("http://www.cnpol.ru/covers/19131.jpg","фото на сайте")</f>
        <v/>
      </c>
    </row>
    <row r="1499" ht="50.1" customHeight="1" s="3">
      <c r="A1499" s="23" t="n"/>
      <c r="B1499" s="24" t="inlineStr">
        <is>
          <t>19010</t>
        </is>
      </c>
      <c r="C1499" s="23" t="inlineStr">
        <is>
          <t>ЛР</t>
        </is>
      </c>
      <c r="D1499" s="23" t="inlineStr">
        <is>
          <t>Колтер К.</t>
        </is>
      </c>
      <c r="E1499" s="23" t="inlineStr">
        <is>
          <t>Праздник былой любви</t>
        </is>
      </c>
      <c r="F1499" s="23" t="n">
        <v>955</v>
      </c>
      <c r="G1499" s="23" t="n">
        <v>94</v>
      </c>
      <c r="H1499" s="23" t="n">
        <v>10</v>
      </c>
      <c r="I1499" s="23" t="n">
        <v>30</v>
      </c>
      <c r="J1499" s="23" t="inlineStr">
        <is>
          <t>978-5-227-08908-3</t>
        </is>
      </c>
      <c r="K1499" s="23" t="inlineStr">
        <is>
          <t>70x100 1/32</t>
        </is>
      </c>
      <c r="L1499" s="23" t="inlineStr">
        <is>
          <t>мяг</t>
        </is>
      </c>
      <c r="M1499" s="23" t="n">
        <v>160</v>
      </c>
      <c r="N1499" s="23" t="n">
        <v>2020</v>
      </c>
      <c r="O1499" s="23" t="n">
        <v>76</v>
      </c>
      <c r="P1499" s="23" t="n"/>
      <c r="Q1499" s="23" t="n"/>
      <c r="R1499" s="25" t="n"/>
      <c r="S1499" s="26">
        <f>HYPERLINK("http://www.cnpol.ru/covers/19010.jpg","фото на сайте")</f>
        <v/>
      </c>
    </row>
    <row r="1500" ht="50.1" customHeight="1" s="3">
      <c r="A1500" s="23" t="n"/>
      <c r="B1500" s="24" t="inlineStr">
        <is>
          <t>16399</t>
        </is>
      </c>
      <c r="C1500" s="23" t="inlineStr">
        <is>
          <t>ЛР</t>
        </is>
      </c>
      <c r="D1500" s="23" t="inlineStr">
        <is>
          <t>Уилсон С.</t>
        </is>
      </c>
      <c r="E1500" s="23" t="inlineStr">
        <is>
          <t>Праздник в городе влюбленных</t>
        </is>
      </c>
      <c r="F1500" s="23" t="n">
        <v>572</v>
      </c>
      <c r="G1500" s="23" t="n">
        <v>94</v>
      </c>
      <c r="H1500" s="23" t="n">
        <v>10</v>
      </c>
      <c r="I1500" s="23" t="n">
        <v>30</v>
      </c>
      <c r="J1500" s="23" t="inlineStr">
        <is>
          <t>978-5-227-06287-1</t>
        </is>
      </c>
      <c r="K1500" s="23" t="inlineStr">
        <is>
          <t>70x100 1/32</t>
        </is>
      </c>
      <c r="L1500" s="23" t="inlineStr">
        <is>
          <t>мяг</t>
        </is>
      </c>
      <c r="M1500" s="23" t="n">
        <v>158</v>
      </c>
      <c r="N1500" s="23" t="n">
        <v>2016</v>
      </c>
      <c r="O1500" s="23" t="n">
        <v>76</v>
      </c>
      <c r="P1500" s="23" t="n"/>
      <c r="Q1500" s="23" t="n"/>
      <c r="R1500" s="25" t="n"/>
      <c r="S1500" s="26">
        <f>HYPERLINK("http://www.cnpol.ru/covers/16399.jpg","фото на сайте")</f>
        <v/>
      </c>
    </row>
    <row r="1501" ht="50.1" customHeight="1" s="3">
      <c r="A1501" s="23" t="n"/>
      <c r="B1501" s="24" t="inlineStr">
        <is>
          <t>14828</t>
        </is>
      </c>
      <c r="C1501" s="23" t="inlineStr">
        <is>
          <t>ЛР</t>
        </is>
      </c>
      <c r="D1501" s="23" t="inlineStr">
        <is>
          <t>Дуглас М.</t>
        </is>
      </c>
      <c r="E1501" s="23" t="inlineStr">
        <is>
          <t>Праздник в сказочной стране</t>
        </is>
      </c>
      <c r="F1501" s="23" t="n">
        <v>378</v>
      </c>
      <c r="G1501" s="23" t="n">
        <v>94</v>
      </c>
      <c r="H1501" s="23" t="n">
        <v>10</v>
      </c>
      <c r="I1501" s="23" t="n">
        <v>30</v>
      </c>
      <c r="J1501" s="23" t="inlineStr">
        <is>
          <t>978-5-227-04843-1</t>
        </is>
      </c>
      <c r="K1501" s="23" t="inlineStr">
        <is>
          <t>70x100 1/32</t>
        </is>
      </c>
      <c r="L1501" s="23" t="inlineStr">
        <is>
          <t>мяг</t>
        </is>
      </c>
      <c r="M1501" s="23" t="n">
        <v>158</v>
      </c>
      <c r="N1501" s="23" t="n">
        <v>2014</v>
      </c>
      <c r="O1501" s="23" t="n">
        <v>76</v>
      </c>
      <c r="P1501" s="23" t="n"/>
      <c r="Q1501" s="23" t="n"/>
      <c r="R1501" s="25" t="n"/>
      <c r="S1501" s="26">
        <f>HYPERLINK("http://www.cnpol.ru/covers/14828.jpg","фото на сайте")</f>
        <v/>
      </c>
    </row>
    <row r="1502" ht="50.1" customHeight="1" s="3">
      <c r="A1502" s="23" t="n"/>
      <c r="B1502" s="24" t="inlineStr">
        <is>
          <t>16225</t>
        </is>
      </c>
      <c r="C1502" s="23" t="inlineStr">
        <is>
          <t>ЛР</t>
        </is>
      </c>
      <c r="D1502" s="23" t="inlineStr">
        <is>
          <t>Уинтерз Р.</t>
        </is>
      </c>
      <c r="E1502" s="23" t="inlineStr">
        <is>
          <t>Праздник любви</t>
        </is>
      </c>
      <c r="F1502" s="23" t="n">
        <v>551</v>
      </c>
      <c r="G1502" s="23" t="n">
        <v>94</v>
      </c>
      <c r="H1502" s="23" t="n">
        <v>10</v>
      </c>
      <c r="I1502" s="23" t="n">
        <v>30</v>
      </c>
      <c r="J1502" s="23" t="inlineStr">
        <is>
          <t>978-5-227-06161-4</t>
        </is>
      </c>
      <c r="K1502" s="23" t="inlineStr">
        <is>
          <t>70x100 1/32</t>
        </is>
      </c>
      <c r="L1502" s="23" t="inlineStr">
        <is>
          <t>мяг</t>
        </is>
      </c>
      <c r="M1502" s="23" t="n">
        <v>158</v>
      </c>
      <c r="N1502" s="23" t="n">
        <v>2015</v>
      </c>
      <c r="O1502" s="23" t="n">
        <v>76</v>
      </c>
      <c r="P1502" s="23" t="n"/>
      <c r="Q1502" s="23" t="n"/>
      <c r="R1502" s="25" t="n"/>
      <c r="S1502" s="26">
        <f>HYPERLINK("http://www.cnpol.ru/covers/16225.jpg","фото на сайте")</f>
        <v/>
      </c>
    </row>
    <row r="1503" ht="50.1" customHeight="1" s="3">
      <c r="A1503" s="23" t="n"/>
      <c r="B1503" s="24" t="inlineStr">
        <is>
          <t>20182</t>
        </is>
      </c>
      <c r="C1503" s="23" t="inlineStr">
        <is>
          <t>ЛР</t>
        </is>
      </c>
      <c r="D1503" s="23" t="inlineStr">
        <is>
          <t>Даркинс Э.</t>
        </is>
      </c>
      <c r="E1503" s="23" t="inlineStr">
        <is>
          <t>Праздник чувств</t>
        </is>
      </c>
      <c r="F1503" s="23" t="n">
        <v>1088</v>
      </c>
      <c r="G1503" s="23" t="n">
        <v>94</v>
      </c>
      <c r="H1503" s="23" t="n">
        <v>10</v>
      </c>
      <c r="I1503" s="23" t="n">
        <v>30</v>
      </c>
      <c r="J1503" s="23" t="inlineStr">
        <is>
          <t>978-5-227-09681-4</t>
        </is>
      </c>
      <c r="K1503" s="23" t="inlineStr">
        <is>
          <t>70x100 1/32</t>
        </is>
      </c>
      <c r="L1503" s="23" t="inlineStr">
        <is>
          <t>мяг</t>
        </is>
      </c>
      <c r="M1503" s="23" t="n">
        <v>159</v>
      </c>
      <c r="N1503" s="23" t="n">
        <v>2022</v>
      </c>
      <c r="O1503" s="23" t="n">
        <v>76</v>
      </c>
      <c r="P1503" s="23" t="n"/>
      <c r="Q1503" s="23" t="n"/>
      <c r="R1503" s="25" t="n"/>
      <c r="S1503" s="26">
        <f>HYPERLINK("http://www.cnpol.ru/covers/20182.jpg","фото на сайте")</f>
        <v/>
      </c>
    </row>
    <row r="1504" ht="50.1" customHeight="1" s="3">
      <c r="A1504" s="23" t="n"/>
      <c r="B1504" s="24" t="inlineStr">
        <is>
          <t>14376</t>
        </is>
      </c>
      <c r="C1504" s="23" t="inlineStr">
        <is>
          <t>ЛР</t>
        </is>
      </c>
      <c r="D1504" s="23" t="inlineStr">
        <is>
          <t>Райс Х.</t>
        </is>
      </c>
      <c r="E1504" s="23" t="inlineStr">
        <is>
          <t>Предел мечтаний</t>
        </is>
      </c>
      <c r="F1504" s="23" t="n">
        <v>327</v>
      </c>
      <c r="G1504" s="23" t="n">
        <v>94</v>
      </c>
      <c r="H1504" s="23" t="n">
        <v>10</v>
      </c>
      <c r="I1504" s="23" t="n">
        <v>30</v>
      </c>
      <c r="J1504" s="23" t="inlineStr">
        <is>
          <t>978-5-227-04351-1</t>
        </is>
      </c>
      <c r="K1504" s="23" t="inlineStr">
        <is>
          <t>70x100 1/32</t>
        </is>
      </c>
      <c r="L1504" s="23" t="inlineStr">
        <is>
          <t>мяг</t>
        </is>
      </c>
      <c r="M1504" s="23" t="n">
        <v>158</v>
      </c>
      <c r="N1504" s="23" t="n">
        <v>2013</v>
      </c>
      <c r="O1504" s="23" t="n">
        <v>76</v>
      </c>
      <c r="P1504" s="23" t="n"/>
      <c r="Q1504" s="23" t="n"/>
      <c r="R1504" s="25" t="n"/>
      <c r="S1504" s="26">
        <f>HYPERLINK("http://www.cnpol.ru/covers/14376.jpg","фото на сайте")</f>
        <v/>
      </c>
    </row>
    <row r="1505" ht="50.1" customHeight="1" s="3">
      <c r="A1505" s="23" t="n"/>
      <c r="B1505" s="24" t="inlineStr">
        <is>
          <t>19381</t>
        </is>
      </c>
      <c r="C1505" s="23" t="inlineStr">
        <is>
          <t>ЛР</t>
        </is>
      </c>
      <c r="D1505" s="23" t="inlineStr">
        <is>
          <t>Уильямс А.</t>
        </is>
      </c>
      <c r="E1505" s="23" t="inlineStr">
        <is>
          <t>Представь нас парой</t>
        </is>
      </c>
      <c r="F1505" s="23" t="n">
        <v>1002</v>
      </c>
      <c r="G1505" s="23" t="n">
        <v>94</v>
      </c>
      <c r="H1505" s="23" t="n">
        <v>10</v>
      </c>
      <c r="I1505" s="23" t="n">
        <v>30</v>
      </c>
      <c r="J1505" s="23" t="inlineStr">
        <is>
          <t>978-5-227-09106-2</t>
        </is>
      </c>
      <c r="K1505" s="23" t="inlineStr">
        <is>
          <t>70x100 1/32</t>
        </is>
      </c>
      <c r="L1505" s="23" t="inlineStr">
        <is>
          <t>мяг</t>
        </is>
      </c>
      <c r="M1505" s="23" t="n">
        <v>160</v>
      </c>
      <c r="N1505" s="23" t="n">
        <v>2020</v>
      </c>
      <c r="O1505" s="23" t="n">
        <v>76</v>
      </c>
      <c r="P1505" s="23" t="n"/>
      <c r="Q1505" s="23" t="n"/>
      <c r="R1505" s="25" t="n"/>
      <c r="S1505" s="26">
        <f>HYPERLINK("http://www.cnpol.ru/covers/19381.jpg","фото на сайте")</f>
        <v/>
      </c>
    </row>
    <row r="1506" ht="50.1" customHeight="1" s="3">
      <c r="A1506" s="23" t="n"/>
      <c r="B1506" s="24" t="inlineStr">
        <is>
          <t>15759</t>
        </is>
      </c>
      <c r="C1506" s="23" t="inlineStr">
        <is>
          <t>ЛР</t>
        </is>
      </c>
      <c r="D1506" s="23" t="inlineStr">
        <is>
          <t>Коллинз Д.</t>
        </is>
      </c>
      <c r="E1506" s="23" t="inlineStr">
        <is>
          <t>Прекрасная воровка</t>
        </is>
      </c>
      <c r="F1506" s="23" t="n">
        <v>484</v>
      </c>
      <c r="G1506" s="23" t="n">
        <v>94</v>
      </c>
      <c r="H1506" s="23" t="n">
        <v>10</v>
      </c>
      <c r="I1506" s="23" t="n">
        <v>30</v>
      </c>
      <c r="J1506" s="23" t="inlineStr">
        <is>
          <t>978-5-227-05679-5</t>
        </is>
      </c>
      <c r="K1506" s="23" t="inlineStr">
        <is>
          <t>70x100 1/32</t>
        </is>
      </c>
      <c r="L1506" s="23" t="inlineStr">
        <is>
          <t>мяг</t>
        </is>
      </c>
      <c r="M1506" s="23" t="n">
        <v>158</v>
      </c>
      <c r="N1506" s="23" t="n">
        <v>2015</v>
      </c>
      <c r="O1506" s="23" t="n">
        <v>76</v>
      </c>
      <c r="P1506" s="23" t="n"/>
      <c r="Q1506" s="23" t="n"/>
      <c r="R1506" s="25" t="n"/>
      <c r="S1506" s="26">
        <f>HYPERLINK("http://www.cnpol.ru/covers/15759.jpg","фото на сайте")</f>
        <v/>
      </c>
    </row>
    <row r="1507" ht="50.1" customHeight="1" s="3">
      <c r="A1507" s="23" t="n"/>
      <c r="B1507" s="24" t="inlineStr">
        <is>
          <t>18163</t>
        </is>
      </c>
      <c r="C1507" s="23" t="inlineStr">
        <is>
          <t>ЛР</t>
        </is>
      </c>
      <c r="D1507" s="23" t="inlineStr">
        <is>
          <t>Блейк М.</t>
        </is>
      </c>
      <c r="E1507" s="23" t="inlineStr">
        <is>
          <t>Прекрасная натурщица</t>
        </is>
      </c>
      <c r="F1507" s="23" t="n">
        <v>812</v>
      </c>
      <c r="G1507" s="23" t="n">
        <v>94</v>
      </c>
      <c r="H1507" s="23" t="n">
        <v>10</v>
      </c>
      <c r="I1507" s="23" t="n">
        <v>30</v>
      </c>
      <c r="J1507" s="23" t="inlineStr">
        <is>
          <t>978-5-227-08131-5</t>
        </is>
      </c>
      <c r="K1507" s="23" t="inlineStr">
        <is>
          <t>70x100 1/32</t>
        </is>
      </c>
      <c r="L1507" s="23" t="inlineStr">
        <is>
          <t>мяг</t>
        </is>
      </c>
      <c r="M1507" s="23" t="n">
        <v>160</v>
      </c>
      <c r="N1507" s="23" t="n">
        <v>2018</v>
      </c>
      <c r="O1507" s="23" t="n">
        <v>76</v>
      </c>
      <c r="P1507" s="23" t="n"/>
      <c r="Q1507" s="23" t="n"/>
      <c r="R1507" s="25" t="n"/>
      <c r="S1507" s="26">
        <f>HYPERLINK("http://www.cnpol.ru/covers/18163.jpg","фото на сайте")</f>
        <v/>
      </c>
    </row>
    <row r="1508" ht="50.1" customHeight="1" s="3">
      <c r="A1508" s="23" t="n"/>
      <c r="B1508" s="24" t="inlineStr">
        <is>
          <t>16146</t>
        </is>
      </c>
      <c r="C1508" s="23" t="inlineStr">
        <is>
          <t>ЛР</t>
        </is>
      </c>
      <c r="D1508" s="23" t="inlineStr">
        <is>
          <t>Грин Э.</t>
        </is>
      </c>
      <c r="E1508" s="23" t="inlineStr">
        <is>
          <t>Приворожить врага</t>
        </is>
      </c>
      <c r="F1508" s="23" t="n">
        <v>537</v>
      </c>
      <c r="G1508" s="23" t="n">
        <v>94</v>
      </c>
      <c r="H1508" s="23" t="n">
        <v>10</v>
      </c>
      <c r="I1508" s="23" t="n">
        <v>30</v>
      </c>
      <c r="J1508" s="23" t="inlineStr">
        <is>
          <t>978-5-227-06116-4</t>
        </is>
      </c>
      <c r="K1508" s="23" t="inlineStr">
        <is>
          <t>70x100 1/32</t>
        </is>
      </c>
      <c r="L1508" s="23" t="inlineStr">
        <is>
          <t>мяг</t>
        </is>
      </c>
      <c r="M1508" s="23" t="n">
        <v>158</v>
      </c>
      <c r="N1508" s="23" t="n">
        <v>2015</v>
      </c>
      <c r="O1508" s="23" t="n">
        <v>76</v>
      </c>
      <c r="P1508" s="23" t="n"/>
      <c r="Q1508" s="23" t="n"/>
      <c r="R1508" s="25" t="n"/>
      <c r="S1508" s="26">
        <f>HYPERLINK("http://www.cnpol.ru/covers/16146.jpg","фото на сайте")</f>
        <v/>
      </c>
    </row>
    <row r="1509" ht="50.1" customHeight="1" s="3">
      <c r="A1509" s="23" t="n"/>
      <c r="B1509" s="24" t="inlineStr">
        <is>
          <t>18124</t>
        </is>
      </c>
      <c r="C1509" s="23" t="inlineStr">
        <is>
          <t>ЛР</t>
        </is>
      </c>
      <c r="D1509" s="23" t="inlineStr">
        <is>
          <t>Маккей Э.</t>
        </is>
      </c>
      <c r="E1509" s="23" t="inlineStr">
        <is>
          <t>Приворожить плейбоя</t>
        </is>
      </c>
      <c r="F1509" s="23" t="n">
        <v>807</v>
      </c>
      <c r="G1509" s="23" t="n">
        <v>94</v>
      </c>
      <c r="H1509" s="23" t="n">
        <v>10</v>
      </c>
      <c r="I1509" s="23" t="n">
        <v>30</v>
      </c>
      <c r="J1509" s="23" t="inlineStr">
        <is>
          <t>978-5-227-08126-1</t>
        </is>
      </c>
      <c r="K1509" s="23" t="inlineStr">
        <is>
          <t>70x100 1/32</t>
        </is>
      </c>
      <c r="L1509" s="23" t="inlineStr">
        <is>
          <t>мяг</t>
        </is>
      </c>
      <c r="M1509" s="23" t="n">
        <v>160</v>
      </c>
      <c r="N1509" s="23" t="n">
        <v>2018</v>
      </c>
      <c r="O1509" s="23" t="n">
        <v>76</v>
      </c>
      <c r="P1509" s="23" t="n"/>
      <c r="Q1509" s="23" t="n"/>
      <c r="R1509" s="25" t="n"/>
      <c r="S1509" s="26">
        <f>HYPERLINK("http://www.cnpol.ru/covers/18124.jpg","фото на сайте")</f>
        <v/>
      </c>
    </row>
    <row r="1510" ht="50.1" customHeight="1" s="3">
      <c r="A1510" s="23" t="n"/>
      <c r="B1510" s="24" t="inlineStr">
        <is>
          <t>18905</t>
        </is>
      </c>
      <c r="C1510" s="23" t="inlineStr">
        <is>
          <t>ЛР</t>
        </is>
      </c>
      <c r="D1510" s="23" t="inlineStr">
        <is>
          <t>Милберн М.</t>
        </is>
      </c>
      <c r="E1510" s="23" t="inlineStr">
        <is>
          <t>Приглашение на собственную свадьбу</t>
        </is>
      </c>
      <c r="F1510" s="23" t="n">
        <v>932</v>
      </c>
      <c r="G1510" s="23" t="n">
        <v>94</v>
      </c>
      <c r="H1510" s="23" t="n">
        <v>10</v>
      </c>
      <c r="I1510" s="23" t="n">
        <v>30</v>
      </c>
      <c r="J1510" s="23" t="inlineStr">
        <is>
          <t>978-5-227-08770-6</t>
        </is>
      </c>
      <c r="K1510" s="23" t="inlineStr">
        <is>
          <t>70x100 1/32</t>
        </is>
      </c>
      <c r="L1510" s="23" t="inlineStr">
        <is>
          <t>мяг</t>
        </is>
      </c>
      <c r="M1510" s="23" t="n">
        <v>160</v>
      </c>
      <c r="N1510" s="23" t="n">
        <v>2019</v>
      </c>
      <c r="O1510" s="23" t="n">
        <v>76</v>
      </c>
      <c r="P1510" s="23" t="n"/>
      <c r="Q1510" s="23" t="n"/>
      <c r="R1510" s="25" t="n"/>
      <c r="S1510" s="26">
        <f>HYPERLINK("http://www.cnpol.ru/covers/18905.jpg","фото на сайте")</f>
        <v/>
      </c>
    </row>
    <row r="1511" ht="50.1" customHeight="1" s="3">
      <c r="A1511" s="23" t="n"/>
      <c r="B1511" s="24" t="inlineStr">
        <is>
          <t>18123</t>
        </is>
      </c>
      <c r="C1511" s="23" t="inlineStr">
        <is>
          <t>ЛР</t>
        </is>
      </c>
      <c r="D1511" s="23" t="inlineStr">
        <is>
          <t>Ханней Б.</t>
        </is>
      </c>
      <c r="E1511" s="23" t="inlineStr">
        <is>
          <t>Приглашенная невеста</t>
        </is>
      </c>
      <c r="F1511" s="23" t="n">
        <v>806</v>
      </c>
      <c r="G1511" s="23" t="n">
        <v>94</v>
      </c>
      <c r="H1511" s="23" t="n">
        <v>10</v>
      </c>
      <c r="I1511" s="23" t="n">
        <v>30</v>
      </c>
      <c r="J1511" s="23" t="inlineStr">
        <is>
          <t>978-5-227-08125-4</t>
        </is>
      </c>
      <c r="K1511" s="23" t="inlineStr">
        <is>
          <t>70x100 1/32</t>
        </is>
      </c>
      <c r="L1511" s="23" t="inlineStr">
        <is>
          <t>мяг</t>
        </is>
      </c>
      <c r="M1511" s="23" t="n">
        <v>160</v>
      </c>
      <c r="N1511" s="23" t="n">
        <v>2018</v>
      </c>
      <c r="O1511" s="23" t="n">
        <v>76</v>
      </c>
      <c r="P1511" s="23" t="n"/>
      <c r="Q1511" s="23" t="n"/>
      <c r="R1511" s="25" t="n"/>
      <c r="S1511" s="26">
        <f>HYPERLINK("http://www.cnpol.ru/covers/18123.jpg","фото на сайте")</f>
        <v/>
      </c>
    </row>
    <row r="1512" ht="50.1" customHeight="1" s="3">
      <c r="A1512" s="23" t="n"/>
      <c r="B1512" s="24" t="inlineStr">
        <is>
          <t>19267</t>
        </is>
      </c>
      <c r="C1512" s="23" t="inlineStr">
        <is>
          <t>ЛР</t>
        </is>
      </c>
      <c r="D1512" s="23" t="inlineStr">
        <is>
          <t>Блейк</t>
        </is>
      </c>
      <c r="E1512" s="23" t="inlineStr">
        <is>
          <t>Придуманный жених</t>
        </is>
      </c>
      <c r="F1512" s="23" t="n">
        <v>986</v>
      </c>
      <c r="G1512" s="23" t="n">
        <v>94</v>
      </c>
      <c r="H1512" s="23" t="n">
        <v>10</v>
      </c>
      <c r="I1512" s="23" t="n">
        <v>30</v>
      </c>
      <c r="J1512" s="23" t="inlineStr">
        <is>
          <t>978-5-227-09049-2</t>
        </is>
      </c>
      <c r="K1512" s="23" t="inlineStr">
        <is>
          <t>70x100 1/32</t>
        </is>
      </c>
      <c r="L1512" s="23" t="inlineStr">
        <is>
          <t>мяг</t>
        </is>
      </c>
      <c r="M1512" s="23" t="n">
        <v>160</v>
      </c>
      <c r="N1512" s="23" t="n">
        <v>2020</v>
      </c>
      <c r="O1512" s="23" t="n">
        <v>76</v>
      </c>
      <c r="P1512" s="23" t="n"/>
      <c r="Q1512" s="23" t="n"/>
      <c r="R1512" s="25" t="n"/>
      <c r="S1512" s="26">
        <f>HYPERLINK("http://www.cnpol.ru/covers/19267.jpg","фото на сайте")</f>
        <v/>
      </c>
    </row>
    <row r="1513" ht="50.1" customHeight="1" s="3">
      <c r="A1513" s="23" t="n"/>
      <c r="B1513" s="24" t="inlineStr">
        <is>
          <t>18584</t>
        </is>
      </c>
      <c r="C1513" s="23" t="inlineStr">
        <is>
          <t>ЛР</t>
        </is>
      </c>
      <c r="D1513" s="23" t="inlineStr">
        <is>
          <t>Андерсон С.</t>
        </is>
      </c>
      <c r="E1513" s="23" t="inlineStr">
        <is>
          <t>Признайся в своем желании</t>
        </is>
      </c>
      <c r="F1513" s="23" t="n">
        <v>883</v>
      </c>
      <c r="G1513" s="23" t="n">
        <v>94</v>
      </c>
      <c r="H1513" s="23" t="n">
        <v>10</v>
      </c>
      <c r="I1513" s="23" t="n">
        <v>30</v>
      </c>
      <c r="J1513" s="23" t="inlineStr">
        <is>
          <t>978-5-227-08507-8</t>
        </is>
      </c>
      <c r="K1513" s="23" t="inlineStr">
        <is>
          <t>70x100 1/32</t>
        </is>
      </c>
      <c r="L1513" s="23" t="inlineStr">
        <is>
          <t>мяг</t>
        </is>
      </c>
      <c r="M1513" s="23" t="n">
        <v>160</v>
      </c>
      <c r="N1513" s="23" t="n">
        <v>2019</v>
      </c>
      <c r="O1513" s="23" t="n">
        <v>76</v>
      </c>
      <c r="P1513" s="23" t="n"/>
      <c r="Q1513" s="23" t="n"/>
      <c r="R1513" s="25" t="n"/>
      <c r="S1513" s="26">
        <f>HYPERLINK("http://www.cnpol.ru/covers/18584.jpg","фото на сайте")</f>
        <v/>
      </c>
    </row>
    <row r="1514" ht="50.1" customHeight="1" s="3">
      <c r="A1514" s="23" t="n"/>
      <c r="B1514" s="24" t="inlineStr">
        <is>
          <t>20664</t>
        </is>
      </c>
      <c r="C1514" s="23" t="inlineStr">
        <is>
          <t>ЛР</t>
        </is>
      </c>
      <c r="D1514" s="23" t="inlineStr">
        <is>
          <t>Маккена Ш.</t>
        </is>
      </c>
      <c r="E1514" s="23" t="inlineStr">
        <is>
          <t>Приказано выйти замуж</t>
        </is>
      </c>
      <c r="F1514" s="23" t="n">
        <v>1142</v>
      </c>
      <c r="G1514" s="23" t="n">
        <v>94</v>
      </c>
      <c r="H1514" s="23" t="n">
        <v>10</v>
      </c>
      <c r="I1514" s="23" t="n">
        <v>30</v>
      </c>
      <c r="J1514" s="23" t="inlineStr">
        <is>
          <t>978-5-227-10341-3</t>
        </is>
      </c>
      <c r="K1514" s="23" t="inlineStr">
        <is>
          <t>70x100 1/32</t>
        </is>
      </c>
      <c r="L1514" s="23" t="inlineStr">
        <is>
          <t>мяг</t>
        </is>
      </c>
      <c r="M1514" s="23" t="n">
        <v>159</v>
      </c>
      <c r="N1514" s="23" t="n">
        <v>2023</v>
      </c>
      <c r="O1514" s="23" t="n">
        <v>76</v>
      </c>
      <c r="P1514" s="23" t="n"/>
      <c r="Q1514" s="23" t="n"/>
      <c r="R1514" s="25" t="inlineStr">
        <is>
          <t>Мэдди Мосс обязана выйти замуж до того, как ей стукнет тридцать, иначе семья потеряет компанию «ТехМосс». Она сходится с врагом своей семьи, Джеком Дейли, который девять лет назад предал ее брата. Джек просит ее доказать его невиновность. Проводя финансовое расследование, она убеждается в его порядочности и сильнее влюбляется в него.</t>
        </is>
      </c>
      <c r="S1514" s="26">
        <f>HYPERLINK("http://www.cnpol.ru/covers/20664.jpg","фото на сайте")</f>
        <v/>
      </c>
    </row>
    <row r="1515" ht="50.1" customHeight="1" s="3">
      <c r="A1515" s="23" t="n"/>
      <c r="B1515" s="24" t="inlineStr">
        <is>
          <t>18530</t>
        </is>
      </c>
      <c r="C1515" s="23" t="inlineStr">
        <is>
          <t>ЛР</t>
        </is>
      </c>
      <c r="D1515" s="23" t="inlineStr">
        <is>
          <t>Коллинз Д.</t>
        </is>
      </c>
      <c r="E1515" s="23" t="inlineStr">
        <is>
          <t>Приказано соблазнить</t>
        </is>
      </c>
      <c r="F1515" s="23" t="n">
        <v>873</v>
      </c>
      <c r="G1515" s="23" t="n">
        <v>94</v>
      </c>
      <c r="H1515" s="23" t="n">
        <v>10</v>
      </c>
      <c r="I1515" s="23" t="n">
        <v>30</v>
      </c>
      <c r="J1515" s="23" t="inlineStr">
        <is>
          <t>978-5-227-08416-3</t>
        </is>
      </c>
      <c r="K1515" s="23" t="inlineStr">
        <is>
          <t>70x100 1/32</t>
        </is>
      </c>
      <c r="L1515" s="23" t="inlineStr">
        <is>
          <t>мяг</t>
        </is>
      </c>
      <c r="M1515" s="23" t="n">
        <v>160</v>
      </c>
      <c r="N1515" s="23" t="n">
        <v>2019</v>
      </c>
      <c r="O1515" s="23" t="n">
        <v>76</v>
      </c>
      <c r="P1515" s="23" t="n"/>
      <c r="Q1515" s="23" t="n"/>
      <c r="R1515" s="25" t="n"/>
      <c r="S1515" s="26">
        <f>HYPERLINK("http://www.cnpol.ru/covers/18530.jpg","фото на сайте")</f>
        <v/>
      </c>
    </row>
    <row r="1516" ht="50.1" customHeight="1" s="3">
      <c r="A1516" s="23" t="n"/>
      <c r="B1516" s="24" t="inlineStr">
        <is>
          <t>15874</t>
        </is>
      </c>
      <c r="C1516" s="23" t="inlineStr">
        <is>
          <t>ЛР</t>
        </is>
      </c>
      <c r="D1516" s="23" t="inlineStr">
        <is>
          <t>Уилсон В</t>
        </is>
      </c>
      <c r="E1516" s="23" t="inlineStr">
        <is>
          <t>Приключение англичанки в Нью-Йорке</t>
        </is>
      </c>
      <c r="F1516" s="23" t="n">
        <v>499</v>
      </c>
      <c r="G1516" s="23" t="n">
        <v>94</v>
      </c>
      <c r="H1516" s="23" t="n">
        <v>10</v>
      </c>
      <c r="I1516" s="23" t="n">
        <v>30</v>
      </c>
      <c r="J1516" s="23" t="inlineStr">
        <is>
          <t>978-5-227-05831-7</t>
        </is>
      </c>
      <c r="K1516" s="23" t="inlineStr">
        <is>
          <t>70x100 1/32</t>
        </is>
      </c>
      <c r="L1516" s="23" t="inlineStr">
        <is>
          <t>мяг</t>
        </is>
      </c>
      <c r="M1516" s="23" t="n">
        <v>158</v>
      </c>
      <c r="N1516" s="23" t="n">
        <v>2015</v>
      </c>
      <c r="O1516" s="23" t="n">
        <v>76</v>
      </c>
      <c r="P1516" s="23" t="n"/>
      <c r="Q1516" s="23" t="n"/>
      <c r="R1516" s="25" t="n"/>
      <c r="S1516" s="26">
        <f>HYPERLINK("http://www.cnpol.ru/covers/15874.jpg","фото на сайте")</f>
        <v/>
      </c>
    </row>
    <row r="1517" ht="50.1" customHeight="1" s="3">
      <c r="A1517" s="23" t="n"/>
      <c r="B1517" s="24" t="inlineStr">
        <is>
          <t>15986</t>
        </is>
      </c>
      <c r="C1517" s="23" t="inlineStr">
        <is>
          <t>ЛР</t>
        </is>
      </c>
      <c r="D1517" s="23" t="inlineStr">
        <is>
          <t>Логан Н.</t>
        </is>
      </c>
      <c r="E1517" s="23" t="inlineStr">
        <is>
          <t>Прикосновение любви</t>
        </is>
      </c>
      <c r="F1517" s="23" t="n">
        <v>515</v>
      </c>
      <c r="G1517" s="23" t="n">
        <v>94</v>
      </c>
      <c r="H1517" s="23" t="n">
        <v>10</v>
      </c>
      <c r="I1517" s="23" t="n">
        <v>30</v>
      </c>
      <c r="J1517" s="23" t="inlineStr">
        <is>
          <t>978-5-227-05944-4</t>
        </is>
      </c>
      <c r="K1517" s="23" t="inlineStr">
        <is>
          <t>70x100 1/32</t>
        </is>
      </c>
      <c r="L1517" s="23" t="inlineStr">
        <is>
          <t>мяг</t>
        </is>
      </c>
      <c r="M1517" s="23" t="n">
        <v>158</v>
      </c>
      <c r="N1517" s="23" t="n">
        <v>2015</v>
      </c>
      <c r="O1517" s="23" t="n">
        <v>76</v>
      </c>
      <c r="P1517" s="23" t="n"/>
      <c r="Q1517" s="23" t="n"/>
      <c r="R1517" s="25" t="n"/>
      <c r="S1517" s="26">
        <f>HYPERLINK("http://www.cnpol.ru/covers/15986.jpg","фото на сайте")</f>
        <v/>
      </c>
    </row>
    <row r="1518" ht="50.1" customHeight="1" s="3">
      <c r="A1518" s="23" t="n"/>
      <c r="B1518" s="24" t="inlineStr">
        <is>
          <t>16419</t>
        </is>
      </c>
      <c r="C1518" s="23" t="inlineStr">
        <is>
          <t>ЛР</t>
        </is>
      </c>
      <c r="D1518" s="23" t="inlineStr">
        <is>
          <t>Дуглас М.</t>
        </is>
      </c>
      <c r="E1518" s="23" t="inlineStr">
        <is>
          <t>Принцесса и плохой парень</t>
        </is>
      </c>
      <c r="F1518" s="23" t="n">
        <v>574</v>
      </c>
      <c r="G1518" s="23" t="n">
        <v>94</v>
      </c>
      <c r="H1518" s="23" t="n">
        <v>10</v>
      </c>
      <c r="I1518" s="23" t="n">
        <v>30</v>
      </c>
      <c r="J1518" s="23" t="inlineStr">
        <is>
          <t>978-5-227-06289-5</t>
        </is>
      </c>
      <c r="K1518" s="23" t="inlineStr">
        <is>
          <t>70x100 1/32</t>
        </is>
      </c>
      <c r="L1518" s="23" t="inlineStr">
        <is>
          <t>мяг</t>
        </is>
      </c>
      <c r="M1518" s="23" t="n">
        <v>158</v>
      </c>
      <c r="N1518" s="23" t="n">
        <v>2016</v>
      </c>
      <c r="O1518" s="23" t="n">
        <v>76</v>
      </c>
      <c r="P1518" s="23" t="n"/>
      <c r="Q1518" s="23" t="n"/>
      <c r="R1518" s="25" t="n"/>
      <c r="S1518" s="26">
        <f>HYPERLINK("http://www.cnpol.ru/covers/16419.jpg","фото на сайте")</f>
        <v/>
      </c>
    </row>
    <row r="1519" ht="50.1" customHeight="1" s="3">
      <c r="A1519" s="23" t="n"/>
      <c r="B1519" s="24" t="inlineStr">
        <is>
          <t>16051</t>
        </is>
      </c>
      <c r="C1519" s="23" t="inlineStr">
        <is>
          <t>ЛР</t>
        </is>
      </c>
      <c r="D1519" s="23" t="inlineStr">
        <is>
          <t>Уэст Э.</t>
        </is>
      </c>
      <c r="E1519" s="23" t="inlineStr">
        <is>
          <t>Принцесса с плохой репутацией</t>
        </is>
      </c>
      <c r="F1519" s="23" t="n">
        <v>525</v>
      </c>
      <c r="G1519" s="23" t="n">
        <v>94</v>
      </c>
      <c r="H1519" s="23" t="n">
        <v>10</v>
      </c>
      <c r="I1519" s="23" t="n">
        <v>30</v>
      </c>
      <c r="J1519" s="23" t="inlineStr">
        <is>
          <t>978-5-227-05978-9</t>
        </is>
      </c>
      <c r="K1519" s="23" t="inlineStr">
        <is>
          <t>70x100 1/32</t>
        </is>
      </c>
      <c r="L1519" s="23" t="inlineStr">
        <is>
          <t>мяг</t>
        </is>
      </c>
      <c r="M1519" s="23" t="n">
        <v>158</v>
      </c>
      <c r="N1519" s="23" t="n">
        <v>2015</v>
      </c>
      <c r="O1519" s="23" t="n">
        <v>76</v>
      </c>
      <c r="P1519" s="23" t="n"/>
      <c r="Q1519" s="23" t="n"/>
      <c r="R1519" s="25" t="n"/>
      <c r="S1519" s="26">
        <f>HYPERLINK("http://www.cnpol.ru/covers/16051.jpg","фото на сайте")</f>
        <v/>
      </c>
    </row>
    <row r="1520" ht="50.1" customHeight="1" s="3">
      <c r="A1520" s="23" t="n"/>
      <c r="B1520" s="24" t="inlineStr">
        <is>
          <t>18382</t>
        </is>
      </c>
      <c r="C1520" s="23" t="inlineStr">
        <is>
          <t>ЛР</t>
        </is>
      </c>
      <c r="D1520" s="23" t="inlineStr">
        <is>
          <t>Томас Р.</t>
        </is>
      </c>
      <c r="E1520" s="23" t="inlineStr">
        <is>
          <t>Притворись моей женой</t>
        </is>
      </c>
      <c r="F1520" s="23" t="n">
        <v>849</v>
      </c>
      <c r="G1520" s="23" t="n">
        <v>94</v>
      </c>
      <c r="H1520" s="23" t="n">
        <v>10</v>
      </c>
      <c r="I1520" s="23" t="n">
        <v>30</v>
      </c>
      <c r="J1520" s="23" t="inlineStr">
        <is>
          <t>978-5-227-08354-8</t>
        </is>
      </c>
      <c r="K1520" s="23" t="inlineStr">
        <is>
          <t>70x100 1/32</t>
        </is>
      </c>
      <c r="L1520" s="23" t="inlineStr">
        <is>
          <t>мяг</t>
        </is>
      </c>
      <c r="M1520" s="23" t="n">
        <v>160</v>
      </c>
      <c r="N1520" s="23" t="n">
        <v>2018</v>
      </c>
      <c r="O1520" s="23" t="n">
        <v>76</v>
      </c>
      <c r="P1520" s="23" t="n"/>
      <c r="Q1520" s="23" t="n"/>
      <c r="R1520" s="25" t="n"/>
      <c r="S1520" s="26">
        <f>HYPERLINK("http://www.cnpol.ru/covers/18382.jpg","фото на сайте")</f>
        <v/>
      </c>
    </row>
    <row r="1521" ht="50.1" customHeight="1" s="3">
      <c r="A1521" s="23" t="n"/>
      <c r="B1521" s="24" t="inlineStr">
        <is>
          <t>17577</t>
        </is>
      </c>
      <c r="C1521" s="23" t="inlineStr">
        <is>
          <t>ЛР</t>
        </is>
      </c>
      <c r="D1521" s="23" t="inlineStr">
        <is>
          <t>Коллинз Д.</t>
        </is>
      </c>
      <c r="E1521" s="23" t="inlineStr">
        <is>
          <t>Притворись моей на одну ночь</t>
        </is>
      </c>
      <c r="F1521" s="23" t="n">
        <v>732</v>
      </c>
      <c r="G1521" s="23" t="n">
        <v>94</v>
      </c>
      <c r="H1521" s="23" t="n">
        <v>10</v>
      </c>
      <c r="I1521" s="23" t="n">
        <v>30</v>
      </c>
      <c r="J1521" s="23" t="inlineStr">
        <is>
          <t>978-5-227-07611-3</t>
        </is>
      </c>
      <c r="K1521" s="23" t="inlineStr">
        <is>
          <t>70x100 1/32</t>
        </is>
      </c>
      <c r="L1521" s="23" t="inlineStr">
        <is>
          <t>мяг</t>
        </is>
      </c>
      <c r="M1521" s="23" t="n">
        <v>160</v>
      </c>
      <c r="N1521" s="23" t="n">
        <v>2017</v>
      </c>
      <c r="O1521" s="23" t="n">
        <v>76</v>
      </c>
      <c r="P1521" s="23" t="n"/>
      <c r="Q1521" s="23" t="n"/>
      <c r="R1521" s="25" t="n"/>
      <c r="S1521" s="26">
        <f>HYPERLINK("http://www.cnpol.ru/covers/17577.jpg","фото на сайте")</f>
        <v/>
      </c>
    </row>
    <row r="1522" ht="50.1" customHeight="1" s="3">
      <c r="A1522" s="23" t="n"/>
      <c r="B1522" s="24" t="inlineStr">
        <is>
          <t>18845</t>
        </is>
      </c>
      <c r="C1522" s="23" t="inlineStr">
        <is>
          <t>ЛР</t>
        </is>
      </c>
      <c r="D1522" s="23" t="inlineStr">
        <is>
          <t>Милберн М.</t>
        </is>
      </c>
      <c r="E1522" s="23" t="inlineStr">
        <is>
          <t>Притворись моей невестой</t>
        </is>
      </c>
      <c r="F1522" s="23" t="n">
        <v>922</v>
      </c>
      <c r="G1522" s="23" t="n">
        <v>94</v>
      </c>
      <c r="H1522" s="23" t="n">
        <v>10</v>
      </c>
      <c r="I1522" s="23" t="n">
        <v>30</v>
      </c>
      <c r="J1522" s="23" t="inlineStr">
        <is>
          <t>978-5-227-08724-9</t>
        </is>
      </c>
      <c r="K1522" s="23" t="inlineStr">
        <is>
          <t>70x100 1/32</t>
        </is>
      </c>
      <c r="L1522" s="23" t="inlineStr">
        <is>
          <t>мяг</t>
        </is>
      </c>
      <c r="M1522" s="23" t="n">
        <v>160</v>
      </c>
      <c r="N1522" s="23" t="n">
        <v>2019</v>
      </c>
      <c r="O1522" s="23" t="n">
        <v>76</v>
      </c>
      <c r="P1522" s="23" t="n"/>
      <c r="Q1522" s="23" t="n"/>
      <c r="R1522" s="25" t="n"/>
      <c r="S1522" s="26">
        <f>HYPERLINK("http://www.cnpol.ru/covers/18845.jpg","фото на сайте")</f>
        <v/>
      </c>
    </row>
    <row r="1523" ht="50.1" customHeight="1" s="3">
      <c r="A1523" s="23" t="n"/>
      <c r="B1523" s="24" t="inlineStr">
        <is>
          <t>19102</t>
        </is>
      </c>
      <c r="C1523" s="23" t="inlineStr">
        <is>
          <t>ЛР</t>
        </is>
      </c>
      <c r="D1523" s="23" t="inlineStr">
        <is>
          <t>Лоренс А.</t>
        </is>
      </c>
      <c r="E1523" s="23" t="inlineStr">
        <is>
          <t>Притворись моим парнем</t>
        </is>
      </c>
      <c r="F1523" s="23" t="n">
        <v>967</v>
      </c>
      <c r="G1523" s="23" t="n">
        <v>94</v>
      </c>
      <c r="H1523" s="23" t="n">
        <v>10</v>
      </c>
      <c r="I1523" s="23" t="n">
        <v>30</v>
      </c>
      <c r="J1523" s="23" t="inlineStr">
        <is>
          <t>978-5-227-08939-7</t>
        </is>
      </c>
      <c r="K1523" s="23" t="inlineStr">
        <is>
          <t>70x100 1/32</t>
        </is>
      </c>
      <c r="L1523" s="23" t="inlineStr">
        <is>
          <t>мяг</t>
        </is>
      </c>
      <c r="M1523" s="23" t="n">
        <v>160</v>
      </c>
      <c r="N1523" s="23" t="n">
        <v>2020</v>
      </c>
      <c r="O1523" s="23" t="n">
        <v>76</v>
      </c>
      <c r="P1523" s="23" t="n"/>
      <c r="Q1523" s="23" t="n"/>
      <c r="R1523" s="25" t="n"/>
      <c r="S1523" s="26">
        <f>HYPERLINK("http://www.cnpol.ru/covers/19102.jpg","фото на сайте")</f>
        <v/>
      </c>
    </row>
    <row r="1524" ht="50.1" customHeight="1" s="3">
      <c r="A1524" s="23" t="n"/>
      <c r="B1524" s="24" t="inlineStr">
        <is>
          <t>20786</t>
        </is>
      </c>
      <c r="C1524" s="23" t="inlineStr">
        <is>
          <t>ЛР</t>
        </is>
      </c>
      <c r="D1524" s="23" t="inlineStr">
        <is>
          <t>Кендрик Ш.</t>
        </is>
      </c>
      <c r="E1524" s="23" t="inlineStr">
        <is>
          <t>Пробужденная страстью</t>
        </is>
      </c>
      <c r="F1524" s="23" t="n">
        <v>1151</v>
      </c>
      <c r="G1524" s="23" t="n">
        <v>94</v>
      </c>
      <c r="H1524" s="23" t="n">
        <v>10</v>
      </c>
      <c r="I1524" s="23" t="n">
        <v>30</v>
      </c>
      <c r="J1524" s="23" t="inlineStr">
        <is>
          <t>978-5-227-10364-2</t>
        </is>
      </c>
      <c r="K1524" s="23" t="inlineStr">
        <is>
          <t>70x100 1/32</t>
        </is>
      </c>
      <c r="L1524" s="23" t="inlineStr">
        <is>
          <t>мяг</t>
        </is>
      </c>
      <c r="M1524" s="23" t="n">
        <v>159</v>
      </c>
      <c r="N1524" s="23" t="n">
        <v>2023</v>
      </c>
      <c r="O1524" s="23" t="n">
        <v>76</v>
      </c>
      <c r="P1524" s="23" t="n"/>
      <c r="Q1524" s="23" t="n"/>
      <c r="R1524" s="25" t="inlineStr">
        <is>
          <t>Простая парикмахерша из Лондона, дерзкая и острая на язык Лекси Паркер приезжает на престижный греческий курорт, чтобы заработать крупную сумму и помочь сестре. Однажды, в свободное от работы время, она отправляется на дикий пляж, желая побыть наедине со своими мыслями и отвлечься от суеты пафосного отеля, в котором она временно остановилась. Лекси очень удивилась, поняв, что на пляже есть кто-то еще, а именно невероятно красивый, высокий и мускулистый грек. В воде она случайно наступает на морского ежа, и угрюмый и надменный грек почему-то приходит ей на помощь. С первой минуты знакомства стало ясно: они из совершенно разных миров, но обоих сильно влечет друг к другу. После шикарной ночи на пляже Лекси узнает, что ее первый любовник – известный на весь мир миллиардер. Ее смущает разница в их социальном положении, но позже, в Лондоне, они продолжили встречи. Лекси начинает влюбляться, вот только не знает, как рассказать Леону всю правду о своей личности?</t>
        </is>
      </c>
      <c r="S1524" s="26">
        <f>HYPERLINK("http://www.cnpol.ru/covers/20786.jpg","фото на сайте")</f>
        <v/>
      </c>
    </row>
    <row r="1525" ht="50.1" customHeight="1" s="3">
      <c r="A1525" s="23" t="n"/>
      <c r="B1525" s="24" t="inlineStr">
        <is>
          <t>15502</t>
        </is>
      </c>
      <c r="C1525" s="23" t="inlineStr">
        <is>
          <t>ЛР</t>
        </is>
      </c>
      <c r="D1525" s="23" t="inlineStr">
        <is>
          <t>Монро Л.</t>
        </is>
      </c>
      <c r="E1525" s="23" t="inlineStr">
        <is>
          <t>Прогулка в темноте</t>
        </is>
      </c>
      <c r="F1525" s="23" t="n">
        <v>455</v>
      </c>
      <c r="G1525" s="23" t="n">
        <v>94</v>
      </c>
      <c r="H1525" s="23" t="n">
        <v>10</v>
      </c>
      <c r="I1525" s="23" t="n">
        <v>30</v>
      </c>
      <c r="J1525" s="23" t="inlineStr">
        <is>
          <t>978-5-227-05484-5</t>
        </is>
      </c>
      <c r="K1525" s="23" t="inlineStr">
        <is>
          <t>70x100 1/32</t>
        </is>
      </c>
      <c r="L1525" s="23" t="inlineStr">
        <is>
          <t>мяг</t>
        </is>
      </c>
      <c r="M1525" s="23" t="n">
        <v>158</v>
      </c>
      <c r="N1525" s="23" t="n">
        <v>2014</v>
      </c>
      <c r="O1525" s="23" t="n">
        <v>78</v>
      </c>
      <c r="P1525" s="23" t="n"/>
      <c r="Q1525" s="23" t="n"/>
      <c r="R1525" s="25" t="n"/>
      <c r="S1525" s="26">
        <f>HYPERLINK("http://www.cnpol.ru/covers/15502.jpg","фото на сайте")</f>
        <v/>
      </c>
    </row>
    <row r="1526" ht="50.1" customHeight="1" s="3">
      <c r="A1526" s="23" t="n"/>
      <c r="B1526" s="24" t="inlineStr">
        <is>
          <t>16400</t>
        </is>
      </c>
      <c r="C1526" s="23" t="inlineStr">
        <is>
          <t>ЛР</t>
        </is>
      </c>
      <c r="D1526" s="23" t="inlineStr">
        <is>
          <t>Милберн М.</t>
        </is>
      </c>
      <c r="E1526" s="23" t="inlineStr">
        <is>
          <t>Продлить наше счастье</t>
        </is>
      </c>
      <c r="F1526" s="23" t="n">
        <v>573</v>
      </c>
      <c r="G1526" s="23" t="n">
        <v>94</v>
      </c>
      <c r="H1526" s="23" t="n">
        <v>10</v>
      </c>
      <c r="I1526" s="23" t="n">
        <v>30</v>
      </c>
      <c r="J1526" s="23" t="inlineStr">
        <is>
          <t>978-5-227-06288-8</t>
        </is>
      </c>
      <c r="K1526" s="23" t="inlineStr">
        <is>
          <t>70x100 1/32</t>
        </is>
      </c>
      <c r="L1526" s="23" t="inlineStr">
        <is>
          <t>мяг</t>
        </is>
      </c>
      <c r="M1526" s="23" t="n">
        <v>158</v>
      </c>
      <c r="N1526" s="23" t="n">
        <v>2016</v>
      </c>
      <c r="O1526" s="23" t="n">
        <v>75</v>
      </c>
      <c r="P1526" s="23" t="n"/>
      <c r="Q1526" s="23" t="n"/>
      <c r="R1526" s="25" t="n"/>
      <c r="S1526" s="26">
        <f>HYPERLINK("http://www.cnpol.ru/covers/16400.jpg","фото на сайте")</f>
        <v/>
      </c>
    </row>
    <row r="1527" ht="50.1" customHeight="1" s="3">
      <c r="A1527" s="23" t="n"/>
      <c r="B1527" s="24" t="inlineStr">
        <is>
          <t>17476</t>
        </is>
      </c>
      <c r="C1527" s="23" t="inlineStr">
        <is>
          <t>ЛР</t>
        </is>
      </c>
      <c r="D1527" s="23" t="inlineStr">
        <is>
          <t>Мэтер Э.</t>
        </is>
      </c>
      <c r="E1527" s="23" t="inlineStr">
        <is>
          <t>Просто будь моей</t>
        </is>
      </c>
      <c r="F1527" s="23" t="n">
        <v>719</v>
      </c>
      <c r="G1527" s="23" t="n">
        <v>94</v>
      </c>
      <c r="H1527" s="23" t="n">
        <v>10</v>
      </c>
      <c r="I1527" s="23" t="n">
        <v>30</v>
      </c>
      <c r="J1527" s="23" t="inlineStr">
        <is>
          <t>978-5-227-07475-1</t>
        </is>
      </c>
      <c r="K1527" s="23" t="inlineStr">
        <is>
          <t>70x100 1/32</t>
        </is>
      </c>
      <c r="L1527" s="23" t="inlineStr">
        <is>
          <t>мяг</t>
        </is>
      </c>
      <c r="M1527" s="23" t="n">
        <v>160</v>
      </c>
      <c r="N1527" s="23" t="n">
        <v>2017</v>
      </c>
      <c r="O1527" s="23" t="n">
        <v>76</v>
      </c>
      <c r="P1527" s="23" t="n"/>
      <c r="Q1527" s="23" t="n"/>
      <c r="R1527" s="25" t="n"/>
      <c r="S1527" s="26">
        <f>HYPERLINK("http://www.cnpol.ru/covers/17476.jpg","фото на сайте")</f>
        <v/>
      </c>
    </row>
    <row r="1528" ht="50.1" customHeight="1" s="3">
      <c r="A1528" s="23" t="n"/>
      <c r="B1528" s="24" t="inlineStr">
        <is>
          <t>18693</t>
        </is>
      </c>
      <c r="C1528" s="23" t="inlineStr">
        <is>
          <t>ЛР</t>
        </is>
      </c>
      <c r="D1528" s="23" t="inlineStr">
        <is>
          <t>Кокс М.</t>
        </is>
      </c>
      <c r="E1528" s="23" t="inlineStr">
        <is>
          <t>Просто будь со мной</t>
        </is>
      </c>
      <c r="F1528" s="23" t="n">
        <v>898</v>
      </c>
      <c r="G1528" s="23" t="n">
        <v>94</v>
      </c>
      <c r="H1528" s="23" t="n">
        <v>10</v>
      </c>
      <c r="I1528" s="23" t="n">
        <v>30</v>
      </c>
      <c r="J1528" s="23" t="inlineStr">
        <is>
          <t>978-5-227-08573-3</t>
        </is>
      </c>
      <c r="K1528" s="23" t="inlineStr">
        <is>
          <t>70x100 1/32</t>
        </is>
      </c>
      <c r="L1528" s="23" t="inlineStr">
        <is>
          <t>мяг</t>
        </is>
      </c>
      <c r="M1528" s="23" t="n">
        <v>160</v>
      </c>
      <c r="N1528" s="23" t="n">
        <v>2019</v>
      </c>
      <c r="O1528" s="23" t="n">
        <v>78</v>
      </c>
      <c r="P1528" s="23" t="n"/>
      <c r="Q1528" s="23" t="n"/>
      <c r="R1528" s="25" t="n"/>
      <c r="S1528" s="26">
        <f>HYPERLINK("http://www.cnpol.ru/covers/18693.jpg","фото на сайте")</f>
        <v/>
      </c>
    </row>
    <row r="1529" ht="50.1" customHeight="1" s="3">
      <c r="A1529" s="23" t="n"/>
      <c r="B1529" s="24" t="inlineStr">
        <is>
          <t>18194</t>
        </is>
      </c>
      <c r="C1529" s="23" t="inlineStr">
        <is>
          <t>ЛР</t>
        </is>
      </c>
      <c r="D1529" s="23" t="inlineStr">
        <is>
          <t>Хейворд Дженнифер</t>
        </is>
      </c>
      <c r="E1529" s="23" t="inlineStr">
        <is>
          <t>Просто знать, что ты есть</t>
        </is>
      </c>
      <c r="F1529" s="23" t="n">
        <v>816</v>
      </c>
      <c r="G1529" s="23" t="n">
        <v>94</v>
      </c>
      <c r="H1529" s="23" t="n">
        <v>10</v>
      </c>
      <c r="I1529" s="23" t="n">
        <v>30</v>
      </c>
      <c r="J1529" s="23" t="inlineStr">
        <is>
          <t>978-5-227-08152-0</t>
        </is>
      </c>
      <c r="K1529" s="23" t="inlineStr">
        <is>
          <t>70x100 1/32</t>
        </is>
      </c>
      <c r="L1529" s="23" t="inlineStr">
        <is>
          <t>мяг</t>
        </is>
      </c>
      <c r="M1529" s="23" t="n">
        <v>160</v>
      </c>
      <c r="N1529" s="23" t="n">
        <v>2018</v>
      </c>
      <c r="O1529" s="23" t="n">
        <v>76</v>
      </c>
      <c r="P1529" s="23" t="n"/>
      <c r="Q1529" s="23" t="n"/>
      <c r="R1529" s="25" t="n"/>
      <c r="S1529" s="26">
        <f>HYPERLINK("http://www.cnpol.ru/covers/18194.jpg","фото на сайте")</f>
        <v/>
      </c>
    </row>
    <row r="1530" ht="50.1" customHeight="1" s="3">
      <c r="A1530" s="23" t="n"/>
      <c r="B1530" s="24" t="inlineStr">
        <is>
          <t>19695</t>
        </is>
      </c>
      <c r="C1530" s="23" t="inlineStr">
        <is>
          <t>ЛР</t>
        </is>
      </c>
      <c r="D1530" s="23" t="inlineStr">
        <is>
          <t>Эйтс М.</t>
        </is>
      </c>
      <c r="E1530" s="23" t="inlineStr">
        <is>
          <t>Просто поверь в любовь</t>
        </is>
      </c>
      <c r="F1530" s="23" t="n">
        <v>1039</v>
      </c>
      <c r="G1530" s="23" t="n">
        <v>94</v>
      </c>
      <c r="H1530" s="23" t="n">
        <v>10</v>
      </c>
      <c r="I1530" s="23" t="n">
        <v>30</v>
      </c>
      <c r="J1530" s="23" t="inlineStr">
        <is>
          <t>978-5-227-09351-6</t>
        </is>
      </c>
      <c r="K1530" s="23" t="inlineStr">
        <is>
          <t>70x100 1/32</t>
        </is>
      </c>
      <c r="L1530" s="23" t="inlineStr">
        <is>
          <t>мяг</t>
        </is>
      </c>
      <c r="M1530" s="23" t="n">
        <v>160</v>
      </c>
      <c r="N1530" s="23" t="n">
        <v>2021</v>
      </c>
      <c r="O1530" s="23" t="n">
        <v>76</v>
      </c>
      <c r="P1530" s="23" t="n"/>
      <c r="Q1530" s="23" t="n"/>
      <c r="R1530" s="25" t="n"/>
      <c r="S1530" s="26">
        <f>HYPERLINK("http://www.cnpol.ru/covers/19695.jpg","фото на сайте")</f>
        <v/>
      </c>
    </row>
    <row r="1531" ht="50.1" customHeight="1" s="3">
      <c r="A1531" s="23" t="n"/>
      <c r="B1531" s="24" t="inlineStr">
        <is>
          <t>17640</t>
        </is>
      </c>
      <c r="C1531" s="23" t="inlineStr">
        <is>
          <t>ЛР</t>
        </is>
      </c>
      <c r="D1531" s="23" t="inlineStr">
        <is>
          <t>Пэмми Т.</t>
        </is>
      </c>
      <c r="E1531" s="23" t="inlineStr">
        <is>
          <t>Просто скажи "ДА"</t>
        </is>
      </c>
      <c r="F1531" s="23" t="n">
        <v>742</v>
      </c>
      <c r="G1531" s="23" t="n">
        <v>94</v>
      </c>
      <c r="H1531" s="23" t="n">
        <v>10</v>
      </c>
      <c r="I1531" s="23" t="n">
        <v>30</v>
      </c>
      <c r="J1531" s="23" t="inlineStr">
        <is>
          <t>978-5-227-07638-0</t>
        </is>
      </c>
      <c r="K1531" s="23" t="inlineStr">
        <is>
          <t>70x100 1/32</t>
        </is>
      </c>
      <c r="L1531" s="23" t="inlineStr">
        <is>
          <t>мяг</t>
        </is>
      </c>
      <c r="M1531" s="23" t="n">
        <v>160</v>
      </c>
      <c r="N1531" s="23" t="n">
        <v>2017</v>
      </c>
      <c r="O1531" s="23" t="n">
        <v>76</v>
      </c>
      <c r="P1531" s="23" t="n"/>
      <c r="Q1531" s="23" t="n"/>
      <c r="R1531" s="25" t="n"/>
      <c r="S1531" s="26">
        <f>HYPERLINK("http://www.cnpol.ru/covers/17640.jpg","фото на сайте")</f>
        <v/>
      </c>
    </row>
    <row r="1532" ht="50.1" customHeight="1" s="3">
      <c r="A1532" s="23" t="n"/>
      <c r="B1532" s="24" t="inlineStr">
        <is>
          <t>19120</t>
        </is>
      </c>
      <c r="C1532" s="23" t="inlineStr">
        <is>
          <t>ЛР</t>
        </is>
      </c>
      <c r="D1532" s="23" t="inlineStr">
        <is>
          <t>Олвард Д.</t>
        </is>
      </c>
      <c r="E1532" s="23" t="inlineStr">
        <is>
          <t>Простые удовольствия</t>
        </is>
      </c>
      <c r="F1532" s="23" t="n">
        <v>971</v>
      </c>
      <c r="G1532" s="23" t="n">
        <v>94</v>
      </c>
      <c r="H1532" s="23" t="n">
        <v>10</v>
      </c>
      <c r="I1532" s="23" t="n">
        <v>30</v>
      </c>
      <c r="J1532" s="23" t="inlineStr">
        <is>
          <t>978-5-227-08960-1</t>
        </is>
      </c>
      <c r="K1532" s="23" t="inlineStr">
        <is>
          <t>70x100 1/32</t>
        </is>
      </c>
      <c r="L1532" s="23" t="inlineStr">
        <is>
          <t>мяг</t>
        </is>
      </c>
      <c r="M1532" s="23" t="n">
        <v>160</v>
      </c>
      <c r="N1532" s="23" t="n">
        <v>2020</v>
      </c>
      <c r="O1532" s="23" t="n">
        <v>76</v>
      </c>
      <c r="P1532" s="23" t="n"/>
      <c r="Q1532" s="23" t="n"/>
      <c r="R1532" s="25" t="n"/>
      <c r="S1532" s="26">
        <f>HYPERLINK("http://www.cnpol.ru/covers/19120.jpg","фото на сайте")</f>
        <v/>
      </c>
    </row>
    <row r="1533" ht="50.1" customHeight="1" s="3">
      <c r="A1533" s="23" t="n"/>
      <c r="B1533" s="24" t="inlineStr">
        <is>
          <t>17332</t>
        </is>
      </c>
      <c r="C1533" s="23" t="inlineStr">
        <is>
          <t>ЛР</t>
        </is>
      </c>
      <c r="D1533" s="23" t="inlineStr">
        <is>
          <t>Маринелли К.</t>
        </is>
      </c>
      <c r="E1533" s="23" t="inlineStr">
        <is>
          <t>Процент счастья</t>
        </is>
      </c>
      <c r="F1533" s="23" t="n">
        <v>697</v>
      </c>
      <c r="G1533" s="23" t="n">
        <v>94</v>
      </c>
      <c r="H1533" s="23" t="n">
        <v>10</v>
      </c>
      <c r="I1533" s="23" t="n">
        <v>30</v>
      </c>
      <c r="J1533" s="23" t="inlineStr">
        <is>
          <t>978-5-227-07313-6</t>
        </is>
      </c>
      <c r="K1533" s="23" t="inlineStr">
        <is>
          <t>70x100 1/32</t>
        </is>
      </c>
      <c r="L1533" s="23" t="inlineStr">
        <is>
          <t>мяг</t>
        </is>
      </c>
      <c r="M1533" s="23" t="n">
        <v>160</v>
      </c>
      <c r="N1533" s="23" t="n">
        <v>2017</v>
      </c>
      <c r="O1533" s="23" t="n">
        <v>76</v>
      </c>
      <c r="P1533" s="23" t="n"/>
      <c r="Q1533" s="23" t="n"/>
      <c r="R1533" s="25" t="n"/>
      <c r="S1533" s="26">
        <f>HYPERLINK("http://www.cnpol.ru/covers/17332.jpg","фото на сайте")</f>
        <v/>
      </c>
    </row>
    <row r="1534" ht="50.1" customHeight="1" s="3">
      <c r="A1534" s="23" t="n"/>
      <c r="B1534" s="24" t="inlineStr">
        <is>
          <t>18332</t>
        </is>
      </c>
      <c r="C1534" s="23" t="inlineStr">
        <is>
          <t>ЛР</t>
        </is>
      </c>
      <c r="D1534" s="23" t="inlineStr">
        <is>
          <t>Смарт М.</t>
        </is>
      </c>
      <c r="E1534" s="23" t="inlineStr">
        <is>
          <t>Прочь от одиночества</t>
        </is>
      </c>
      <c r="F1534" s="23" t="n">
        <v>840</v>
      </c>
      <c r="G1534" s="23" t="n">
        <v>94</v>
      </c>
      <c r="H1534" s="23" t="n">
        <v>10</v>
      </c>
      <c r="I1534" s="23" t="n">
        <v>30</v>
      </c>
      <c r="J1534" s="23" t="inlineStr">
        <is>
          <t>978-5-227-08325-8</t>
        </is>
      </c>
      <c r="K1534" s="23" t="inlineStr">
        <is>
          <t>70x100 1/32</t>
        </is>
      </c>
      <c r="L1534" s="23" t="inlineStr">
        <is>
          <t>мяг</t>
        </is>
      </c>
      <c r="M1534" s="23" t="n">
        <v>160</v>
      </c>
      <c r="N1534" s="23" t="n">
        <v>2018</v>
      </c>
      <c r="O1534" s="23" t="n">
        <v>76</v>
      </c>
      <c r="P1534" s="23" t="n"/>
      <c r="Q1534" s="23" t="n"/>
      <c r="R1534" s="25" t="n"/>
      <c r="S1534" s="26">
        <f>HYPERLINK("http://www.cnpol.ru/covers/18332.jpg","фото на сайте")</f>
        <v/>
      </c>
    </row>
    <row r="1535" ht="50.1" customHeight="1" s="3">
      <c r="A1535" s="23" t="n"/>
      <c r="B1535" s="24" t="inlineStr">
        <is>
          <t>14829</t>
        </is>
      </c>
      <c r="C1535" s="23" t="inlineStr">
        <is>
          <t>ЛР</t>
        </is>
      </c>
      <c r="D1535" s="23" t="inlineStr">
        <is>
          <t>Морган Р.</t>
        </is>
      </c>
      <c r="E1535" s="23" t="inlineStr">
        <is>
          <t>Прощай мечта</t>
        </is>
      </c>
      <c r="F1535" s="23" t="n">
        <v>379</v>
      </c>
      <c r="G1535" s="23" t="n">
        <v>94</v>
      </c>
      <c r="H1535" s="23" t="n">
        <v>10</v>
      </c>
      <c r="I1535" s="23" t="n">
        <v>30</v>
      </c>
      <c r="J1535" s="23" t="inlineStr">
        <is>
          <t>978-5-227-04844-4</t>
        </is>
      </c>
      <c r="K1535" s="23" t="inlineStr">
        <is>
          <t>70x100 1/32</t>
        </is>
      </c>
      <c r="L1535" s="23" t="inlineStr">
        <is>
          <t>мяг</t>
        </is>
      </c>
      <c r="M1535" s="23" t="n">
        <v>158</v>
      </c>
      <c r="N1535" s="23" t="n">
        <v>2014</v>
      </c>
      <c r="O1535" s="23" t="n">
        <v>78</v>
      </c>
      <c r="P1535" s="23" t="n"/>
      <c r="Q1535" s="23" t="n"/>
      <c r="R1535" s="25" t="n"/>
      <c r="S1535" s="26">
        <f>HYPERLINK("http://www.cnpol.ru/covers/14829.jpg","фото на сайте")</f>
        <v/>
      </c>
    </row>
    <row r="1536" ht="50.1" customHeight="1" s="3">
      <c r="A1536" s="23" t="n"/>
      <c r="B1536" s="24" t="inlineStr">
        <is>
          <t>17331</t>
        </is>
      </c>
      <c r="C1536" s="23" t="inlineStr">
        <is>
          <t>ЛР</t>
        </is>
      </c>
      <c r="D1536" s="23" t="inlineStr">
        <is>
          <t>Адамс Д.</t>
        </is>
      </c>
      <c r="E1536" s="23" t="inlineStr">
        <is>
          <t>Пусть расцветают чувства</t>
        </is>
      </c>
      <c r="F1536" s="23" t="n">
        <v>696</v>
      </c>
      <c r="G1536" s="23" t="n">
        <v>94</v>
      </c>
      <c r="H1536" s="23" t="n">
        <v>10</v>
      </c>
      <c r="I1536" s="23" t="n">
        <v>30</v>
      </c>
      <c r="J1536" s="23" t="inlineStr">
        <is>
          <t>978-5-227-07316-7</t>
        </is>
      </c>
      <c r="K1536" s="23" t="inlineStr">
        <is>
          <t>70x100 1/32</t>
        </is>
      </c>
      <c r="L1536" s="23" t="inlineStr">
        <is>
          <t>мяг</t>
        </is>
      </c>
      <c r="M1536" s="23" t="n">
        <v>160</v>
      </c>
      <c r="N1536" s="23" t="n">
        <v>2017</v>
      </c>
      <c r="O1536" s="23" t="n">
        <v>76</v>
      </c>
      <c r="P1536" s="23" t="n"/>
      <c r="Q1536" s="23" t="n"/>
      <c r="R1536" s="25" t="n"/>
      <c r="S1536" s="26">
        <f>HYPERLINK("http://www.cnpol.ru/covers/17331.jpg","фото на сайте")</f>
        <v/>
      </c>
    </row>
    <row r="1537" ht="50.1" customHeight="1" s="3">
      <c r="A1537" s="23" t="n"/>
      <c r="B1537" s="24" t="inlineStr">
        <is>
          <t>16008</t>
        </is>
      </c>
      <c r="C1537" s="23" t="inlineStr">
        <is>
          <t>ЛР</t>
        </is>
      </c>
      <c r="D1537" s="23" t="inlineStr">
        <is>
          <t>Дуглас М.</t>
        </is>
      </c>
      <c r="E1537" s="23" t="inlineStr">
        <is>
          <t>Путешествие с холостяком</t>
        </is>
      </c>
      <c r="F1537" s="23" t="n">
        <v>518</v>
      </c>
      <c r="G1537" s="23" t="n">
        <v>94</v>
      </c>
      <c r="H1537" s="23" t="n">
        <v>10</v>
      </c>
      <c r="I1537" s="23" t="n">
        <v>30</v>
      </c>
      <c r="J1537" s="23" t="inlineStr">
        <is>
          <t>978-5-227-05947-5</t>
        </is>
      </c>
      <c r="K1537" s="23" t="inlineStr">
        <is>
          <t>70x100 1/32</t>
        </is>
      </c>
      <c r="L1537" s="23" t="inlineStr">
        <is>
          <t>мяг</t>
        </is>
      </c>
      <c r="M1537" s="23" t="n">
        <v>158</v>
      </c>
      <c r="N1537" s="23" t="n">
        <v>2015</v>
      </c>
      <c r="O1537" s="23" t="n">
        <v>76</v>
      </c>
      <c r="P1537" s="23" t="n"/>
      <c r="Q1537" s="23" t="n"/>
      <c r="R1537" s="25" t="n"/>
      <c r="S1537" s="26">
        <f>HYPERLINK("http://www.cnpol.ru/covers/16008.jpg","фото на сайте")</f>
        <v/>
      </c>
    </row>
    <row r="1538" ht="50.1" customHeight="1" s="3">
      <c r="A1538" s="23" t="n"/>
      <c r="B1538" s="24" t="inlineStr">
        <is>
          <t>18888</t>
        </is>
      </c>
      <c r="C1538" s="23" t="inlineStr">
        <is>
          <t>ЛР</t>
        </is>
      </c>
      <c r="D1538" s="23" t="inlineStr">
        <is>
          <t>Хейворд Дженнифер</t>
        </is>
      </c>
      <c r="E1538" s="23" t="inlineStr">
        <is>
          <t>Пылкая вечеринка на Багамах</t>
        </is>
      </c>
      <c r="F1538" s="23" t="n">
        <v>930</v>
      </c>
      <c r="G1538" s="23" t="n">
        <v>94</v>
      </c>
      <c r="H1538" s="23" t="n">
        <v>10</v>
      </c>
      <c r="I1538" s="23" t="n">
        <v>30</v>
      </c>
      <c r="J1538" s="23" t="inlineStr">
        <is>
          <t>978-5-227-08768-3</t>
        </is>
      </c>
      <c r="K1538" s="23" t="inlineStr">
        <is>
          <t>70x100 1/32</t>
        </is>
      </c>
      <c r="L1538" s="23" t="inlineStr">
        <is>
          <t>мяг</t>
        </is>
      </c>
      <c r="M1538" s="23" t="n">
        <v>159</v>
      </c>
      <c r="N1538" s="23" t="n">
        <v>2019</v>
      </c>
      <c r="O1538" s="23" t="n">
        <v>76</v>
      </c>
      <c r="P1538" s="23" t="n"/>
      <c r="Q1538" s="23" t="n"/>
      <c r="R1538" s="25" t="n"/>
      <c r="S1538" s="26">
        <f>HYPERLINK("http://www.cnpol.ru/covers/18888.jpg","фото на сайте")</f>
        <v/>
      </c>
    </row>
    <row r="1539" ht="50.1" customHeight="1" s="3">
      <c r="A1539" s="23" t="n"/>
      <c r="B1539" s="24" t="inlineStr">
        <is>
          <t>19736</t>
        </is>
      </c>
      <c r="C1539" s="23" t="inlineStr">
        <is>
          <t>ЛР</t>
        </is>
      </c>
      <c r="D1539" s="23" t="inlineStr">
        <is>
          <t>Шеперд К.</t>
        </is>
      </c>
      <c r="E1539" s="23" t="inlineStr">
        <is>
          <t>Разбуди огонь в сердце</t>
        </is>
      </c>
      <c r="F1539" s="23" t="n">
        <v>1045</v>
      </c>
      <c r="G1539" s="23" t="n">
        <v>94</v>
      </c>
      <c r="H1539" s="23" t="n">
        <v>10</v>
      </c>
      <c r="I1539" s="23" t="n">
        <v>30</v>
      </c>
      <c r="J1539" s="23" t="inlineStr">
        <is>
          <t>978-5-227-09400-1</t>
        </is>
      </c>
      <c r="K1539" s="23" t="inlineStr">
        <is>
          <t>70x100 1/32</t>
        </is>
      </c>
      <c r="L1539" s="23" t="inlineStr">
        <is>
          <t>мяг</t>
        </is>
      </c>
      <c r="M1539" s="23" t="n">
        <v>160</v>
      </c>
      <c r="N1539" s="23" t="n">
        <v>2021</v>
      </c>
      <c r="O1539" s="23" t="n">
        <v>76</v>
      </c>
      <c r="P1539" s="23" t="n"/>
      <c r="Q1539" s="23" t="n"/>
      <c r="R1539" s="25" t="n"/>
      <c r="S1539" s="26">
        <f>HYPERLINK("http://www.cnpol.ru/covers/19736.jpg","фото на сайте")</f>
        <v/>
      </c>
    </row>
    <row r="1540" ht="50.1" customHeight="1" s="3">
      <c r="A1540" s="23" t="n"/>
      <c r="B1540" s="24" t="inlineStr">
        <is>
          <t>17880</t>
        </is>
      </c>
      <c r="C1540" s="23" t="inlineStr">
        <is>
          <t>ЛР</t>
        </is>
      </c>
      <c r="D1540" s="23" t="inlineStr">
        <is>
          <t>Райс Х.</t>
        </is>
      </c>
      <c r="E1540" s="23" t="inlineStr">
        <is>
          <t>Развод отменяеться</t>
        </is>
      </c>
      <c r="F1540" s="23" t="n">
        <v>778</v>
      </c>
      <c r="G1540" s="23" t="n">
        <v>94</v>
      </c>
      <c r="H1540" s="23" t="n">
        <v>10</v>
      </c>
      <c r="I1540" s="23" t="n">
        <v>30</v>
      </c>
      <c r="J1540" s="23" t="inlineStr">
        <is>
          <t>978-5-227-07784-4</t>
        </is>
      </c>
      <c r="K1540" s="23" t="inlineStr">
        <is>
          <t>70x100 1/32</t>
        </is>
      </c>
      <c r="L1540" s="23" t="inlineStr">
        <is>
          <t>мяг</t>
        </is>
      </c>
      <c r="M1540" s="23" t="n">
        <v>160</v>
      </c>
      <c r="N1540" s="23" t="n">
        <v>2017</v>
      </c>
      <c r="O1540" s="23" t="n">
        <v>76</v>
      </c>
      <c r="P1540" s="23" t="n"/>
      <c r="Q1540" s="23" t="n"/>
      <c r="R1540" s="25" t="n"/>
      <c r="S1540" s="26">
        <f>HYPERLINK("http://www.cnpol.ru/covers/17880.jpg","фото на сайте")</f>
        <v/>
      </c>
    </row>
    <row r="1541" ht="50.1" customHeight="1" s="3">
      <c r="A1541" s="23" t="n"/>
      <c r="B1541" s="24" t="inlineStr">
        <is>
          <t>17457</t>
        </is>
      </c>
      <c r="C1541" s="23" t="inlineStr">
        <is>
          <t>ЛР</t>
        </is>
      </c>
      <c r="D1541" s="23" t="inlineStr">
        <is>
          <t>Пемброк С.</t>
        </is>
      </c>
      <c r="E1541" s="23" t="inlineStr">
        <is>
          <t>Разгадай мой секрет</t>
        </is>
      </c>
      <c r="F1541" s="23" t="n">
        <v>713</v>
      </c>
      <c r="G1541" s="23" t="n">
        <v>94</v>
      </c>
      <c r="H1541" s="23" t="n">
        <v>10</v>
      </c>
      <c r="I1541" s="23" t="n">
        <v>30</v>
      </c>
      <c r="J1541" s="23" t="inlineStr">
        <is>
          <t>978-5-227-07456-0</t>
        </is>
      </c>
      <c r="K1541" s="23" t="inlineStr">
        <is>
          <t>70x100 1/32</t>
        </is>
      </c>
      <c r="L1541" s="23" t="inlineStr">
        <is>
          <t>мяг</t>
        </is>
      </c>
      <c r="M1541" s="23" t="n">
        <v>160</v>
      </c>
      <c r="N1541" s="23" t="n">
        <v>2017</v>
      </c>
      <c r="O1541" s="23" t="n">
        <v>76</v>
      </c>
      <c r="P1541" s="23" t="n"/>
      <c r="Q1541" s="23" t="n"/>
      <c r="R1541" s="25" t="n"/>
      <c r="S1541" s="26">
        <f>HYPERLINK("http://www.cnpol.ru/covers/17457.jpg","фото на сайте")</f>
        <v/>
      </c>
    </row>
    <row r="1542" ht="50.1" customHeight="1" s="3">
      <c r="A1542" s="23" t="n"/>
      <c r="B1542" s="24" t="inlineStr">
        <is>
          <t>17765</t>
        </is>
      </c>
      <c r="C1542" s="23" t="inlineStr">
        <is>
          <t>ЛР</t>
        </is>
      </c>
      <c r="D1542" s="23" t="inlineStr">
        <is>
          <t>Хьюит К.</t>
        </is>
      </c>
      <c r="E1542" s="23" t="inlineStr">
        <is>
          <t>Разжечь огонь желания</t>
        </is>
      </c>
      <c r="F1542" s="23" t="n">
        <v>763</v>
      </c>
      <c r="G1542" s="23" t="n">
        <v>94</v>
      </c>
      <c r="H1542" s="23" t="n">
        <v>10</v>
      </c>
      <c r="I1542" s="23" t="n">
        <v>30</v>
      </c>
      <c r="J1542" s="23" t="inlineStr">
        <is>
          <t>978-5-227-07725-7</t>
        </is>
      </c>
      <c r="K1542" s="23" t="inlineStr">
        <is>
          <t>70x100 1/32</t>
        </is>
      </c>
      <c r="L1542" s="23" t="inlineStr">
        <is>
          <t>мяг</t>
        </is>
      </c>
      <c r="M1542" s="23" t="n">
        <v>160</v>
      </c>
      <c r="N1542" s="23" t="n">
        <v>2017</v>
      </c>
      <c r="O1542" s="23" t="n">
        <v>76</v>
      </c>
      <c r="P1542" s="23" t="n"/>
      <c r="Q1542" s="23" t="n"/>
      <c r="R1542" s="25" t="n"/>
      <c r="S1542" s="26">
        <f>HYPERLINK("http://www.cnpol.ru/covers/17765.jpg","фото на сайте")</f>
        <v/>
      </c>
    </row>
    <row r="1543" ht="50.1" customHeight="1" s="3">
      <c r="A1543" s="23" t="n"/>
      <c r="B1543" s="24" t="inlineStr">
        <is>
          <t>20296</t>
        </is>
      </c>
      <c r="C1543" s="23" t="inlineStr">
        <is>
          <t>ЛР</t>
        </is>
      </c>
      <c r="D1543" s="23" t="inlineStr">
        <is>
          <t>Райан Р.</t>
        </is>
      </c>
      <c r="E1543" s="23" t="inlineStr">
        <is>
          <t>Разреши мечтать о тебе</t>
        </is>
      </c>
      <c r="F1543" s="23" t="n">
        <v>1097</v>
      </c>
      <c r="G1543" s="23" t="n">
        <v>94</v>
      </c>
      <c r="H1543" s="23" t="n">
        <v>10</v>
      </c>
      <c r="I1543" s="23" t="n">
        <v>30</v>
      </c>
      <c r="J1543" s="23" t="inlineStr">
        <is>
          <t>978-5-227-09828-3</t>
        </is>
      </c>
      <c r="K1543" s="23" t="inlineStr">
        <is>
          <t>70x100 1/32</t>
        </is>
      </c>
      <c r="L1543" s="23" t="inlineStr">
        <is>
          <t>мяг</t>
        </is>
      </c>
      <c r="M1543" s="23" t="n">
        <v>159</v>
      </c>
      <c r="N1543" s="23" t="n">
        <v>2022</v>
      </c>
      <c r="O1543" s="23" t="n">
        <v>76</v>
      </c>
      <c r="P1543" s="23" t="n"/>
      <c r="Q1543" s="23" t="n"/>
      <c r="R1543" s="25" t="n"/>
      <c r="S1543" s="26">
        <f>HYPERLINK("http://www.cnpol.ru/covers/20296.jpg","фото на сайте")</f>
        <v/>
      </c>
    </row>
    <row r="1544" ht="50.1" customHeight="1" s="3">
      <c r="A1544" s="23" t="inlineStr">
        <is>
          <t>Н</t>
        </is>
      </c>
      <c r="B1544" s="24" t="inlineStr">
        <is>
          <t>20987</t>
        </is>
      </c>
      <c r="C1544" s="23" t="inlineStr">
        <is>
          <t>ЛР</t>
        </is>
      </c>
      <c r="D1544" s="23" t="inlineStr">
        <is>
          <t>ЛаКетт</t>
        </is>
      </c>
      <c r="E1544" s="23" t="inlineStr">
        <is>
          <t>Раскрыться в его объятиях</t>
        </is>
      </c>
      <c r="F1544" s="23" t="n">
        <v>1164</v>
      </c>
      <c r="G1544" s="23" t="n">
        <v>94</v>
      </c>
      <c r="H1544" s="23" t="n">
        <v>10</v>
      </c>
      <c r="I1544" s="23" t="n">
        <v>30</v>
      </c>
      <c r="J1544" s="23" t="inlineStr">
        <is>
          <t>978-5-227-10460-1</t>
        </is>
      </c>
      <c r="K1544" s="23" t="inlineStr">
        <is>
          <t>70x100 1/32</t>
        </is>
      </c>
      <c r="L1544" s="23" t="inlineStr">
        <is>
          <t>мяг</t>
        </is>
      </c>
      <c r="M1544" s="23" t="n">
        <v>159</v>
      </c>
      <c r="N1544" s="23" t="n">
        <v>2024</v>
      </c>
      <c r="O1544" s="23" t="n">
        <v>76</v>
      </c>
      <c r="P1544" s="23" t="n"/>
      <c r="Q1544" s="23" t="n"/>
      <c r="R1544" s="25" t="inlineStr">
        <is>
          <t>Джейден Латтимор — беззаботный парень из богатой семьи, завидный холостяк, который совсем не ищет серьезных отношений. Занай Джеймс — детский психиатр с ученой степенью, которая посвящает свою жизнь науке и работе и считает себя лишней в светском обществе. Но одна встреча на бале-маскараде перевернула жизнь обоих...</t>
        </is>
      </c>
      <c r="S1544" s="26">
        <f>HYPERLINK("http://www.cnpol.ru/covers/20987.jpg","фото на сайте")</f>
        <v/>
      </c>
    </row>
    <row r="1545" ht="50.1" customHeight="1" s="3">
      <c r="A1545" s="23" t="inlineStr">
        <is>
          <t>Н</t>
        </is>
      </c>
      <c r="B1545" s="24" t="inlineStr">
        <is>
          <t>21129</t>
        </is>
      </c>
      <c r="C1545" s="23" t="inlineStr">
        <is>
          <t>ЛР</t>
        </is>
      </c>
      <c r="D1545" s="23" t="inlineStr">
        <is>
          <t>Сен­Джон Я.</t>
        </is>
      </c>
      <c r="E1545" s="23" t="inlineStr">
        <is>
          <t>Расплата за любовь</t>
        </is>
      </c>
      <c r="F1545" s="23" t="n">
        <v>1175</v>
      </c>
      <c r="G1545" s="23" t="n">
        <v>94</v>
      </c>
      <c r="H1545" s="23" t="n">
        <v>10</v>
      </c>
      <c r="I1545" s="23" t="n">
        <v>30</v>
      </c>
      <c r="J1545" s="23" t="inlineStr">
        <is>
          <t>978-5-227-10507-3</t>
        </is>
      </c>
      <c r="K1545" s="23" t="inlineStr">
        <is>
          <t>70x100 1/32</t>
        </is>
      </c>
      <c r="L1545" s="23" t="inlineStr">
        <is>
          <t>мяг</t>
        </is>
      </c>
      <c r="M1545" s="23" t="n">
        <v>159</v>
      </c>
      <c r="N1545" s="23" t="n">
        <v>2024</v>
      </c>
      <c r="O1545" s="23" t="n">
        <v>76</v>
      </c>
      <c r="P1545" s="23" t="n"/>
      <c r="Q1545" s="23" t="n"/>
      <c r="R1545" s="25" t="inlineStr">
        <is>
          <t>Уинтер, красивая и умная девушка, ведет свой блог в Интернете. Внезапно она становится наследницей крупного состояния. Но ей приходится бороться с матерью, которая сама хочет получить эти деньги и оспаривает завещание. В это тяжелое время Уинтер встречает свою подростковую любовь, Райли Дэвиса, успешного адвоката. Райли избегает длительных отношений с женщинами. Так негативно на него повлиял развод его родителей. Но Уинтер видит под ледяным фасадом ранимого и эмоционального человека. Сможет ли она доказать Райли, что ради настоящей любви иногда стоит рискнуть?</t>
        </is>
      </c>
      <c r="S1545" s="26">
        <f>HYPERLINK("http://www.cnpol.ru/covers/21129.jpg","фото на сайте")</f>
        <v/>
      </c>
    </row>
    <row r="1546" ht="50.1" customHeight="1" s="3">
      <c r="A1546" s="23" t="n"/>
      <c r="B1546" s="24" t="inlineStr">
        <is>
          <t>18519</t>
        </is>
      </c>
      <c r="C1546" s="23" t="inlineStr">
        <is>
          <t>ЛР</t>
        </is>
      </c>
      <c r="D1546" s="23" t="inlineStr">
        <is>
          <t>Орвиг С.</t>
        </is>
      </c>
      <c r="E1546" s="23" t="inlineStr">
        <is>
          <t>Расставание со счастливым финалом</t>
        </is>
      </c>
      <c r="F1546" s="23" t="n">
        <v>869</v>
      </c>
      <c r="G1546" s="23" t="n">
        <v>94</v>
      </c>
      <c r="H1546" s="23" t="n">
        <v>10</v>
      </c>
      <c r="I1546" s="23" t="n">
        <v>30</v>
      </c>
      <c r="J1546" s="23" t="inlineStr">
        <is>
          <t>978-5-227-08412-5</t>
        </is>
      </c>
      <c r="K1546" s="23" t="inlineStr">
        <is>
          <t>70x100 1/32</t>
        </is>
      </c>
      <c r="L1546" s="23" t="inlineStr">
        <is>
          <t>мяг</t>
        </is>
      </c>
      <c r="M1546" s="23" t="n">
        <v>160</v>
      </c>
      <c r="N1546" s="23" t="n">
        <v>2019</v>
      </c>
      <c r="O1546" s="23" t="n">
        <v>76</v>
      </c>
      <c r="P1546" s="23" t="n"/>
      <c r="Q1546" s="23" t="n"/>
      <c r="R1546" s="25" t="n"/>
      <c r="S1546" s="26">
        <f>HYPERLINK("http://www.cnpol.ru/covers/18519.jpg","фото на сайте")</f>
        <v/>
      </c>
    </row>
    <row r="1547" ht="50.1" customHeight="1" s="3">
      <c r="A1547" s="23" t="n"/>
      <c r="B1547" s="24" t="inlineStr">
        <is>
          <t>17915</t>
        </is>
      </c>
      <c r="C1547" s="23" t="inlineStr">
        <is>
          <t>ЛР</t>
        </is>
      </c>
      <c r="D1547" s="23" t="inlineStr">
        <is>
          <t>Милберн М.</t>
        </is>
      </c>
      <c r="E1547" s="23" t="inlineStr">
        <is>
          <t>Раствориться в его объятиях</t>
        </is>
      </c>
      <c r="F1547" s="23" t="n">
        <v>785</v>
      </c>
      <c r="G1547" s="23" t="n">
        <v>94</v>
      </c>
      <c r="H1547" s="23" t="n">
        <v>10</v>
      </c>
      <c r="I1547" s="23" t="n">
        <v>30</v>
      </c>
      <c r="J1547" s="23" t="inlineStr">
        <is>
          <t>978-5-227-07991-6</t>
        </is>
      </c>
      <c r="K1547" s="23" t="inlineStr">
        <is>
          <t>70x100 1/32</t>
        </is>
      </c>
      <c r="L1547" s="23" t="inlineStr">
        <is>
          <t>мяг</t>
        </is>
      </c>
      <c r="M1547" s="23" t="n">
        <v>160</v>
      </c>
      <c r="N1547" s="23" t="n">
        <v>2018</v>
      </c>
      <c r="O1547" s="23" t="n">
        <v>76</v>
      </c>
      <c r="P1547" s="23" t="n"/>
      <c r="Q1547" s="23" t="n"/>
      <c r="R1547" s="25" t="n"/>
      <c r="S1547" s="26">
        <f>HYPERLINK("http://www.cnpol.ru/covers/17915.jpg","фото на сайте")</f>
        <v/>
      </c>
    </row>
    <row r="1548" ht="50.1" customHeight="1" s="3">
      <c r="A1548" s="23" t="n"/>
      <c r="B1548" s="24" t="inlineStr">
        <is>
          <t>16705</t>
        </is>
      </c>
      <c r="C1548" s="23" t="inlineStr">
        <is>
          <t>ЛР</t>
        </is>
      </c>
      <c r="D1548" s="23" t="inlineStr">
        <is>
          <t>Кендрик Ш.</t>
        </is>
      </c>
      <c r="E1548" s="23" t="inlineStr">
        <is>
          <t>Растопить ледяное сердце</t>
        </is>
      </c>
      <c r="F1548" s="23" t="n">
        <v>615</v>
      </c>
      <c r="G1548" s="23" t="n">
        <v>94</v>
      </c>
      <c r="H1548" s="23" t="n">
        <v>10</v>
      </c>
      <c r="I1548" s="23" t="n">
        <v>30</v>
      </c>
      <c r="J1548" s="23" t="inlineStr">
        <is>
          <t>978-5-227-06736-4</t>
        </is>
      </c>
      <c r="K1548" s="23" t="inlineStr">
        <is>
          <t>70x100 1/32</t>
        </is>
      </c>
      <c r="L1548" s="23" t="inlineStr">
        <is>
          <t>мяг</t>
        </is>
      </c>
      <c r="M1548" s="23" t="n">
        <v>160</v>
      </c>
      <c r="N1548" s="23" t="n">
        <v>2016</v>
      </c>
      <c r="O1548" s="23" t="n">
        <v>76</v>
      </c>
      <c r="P1548" s="23" t="n"/>
      <c r="Q1548" s="23" t="n"/>
      <c r="R1548" s="25" t="n"/>
      <c r="S1548" s="26">
        <f>HYPERLINK("http://www.cnpol.ru/covers/16705.jpg","фото на сайте")</f>
        <v/>
      </c>
    </row>
    <row r="1549" ht="50.1" customHeight="1" s="3">
      <c r="A1549" s="23" t="n"/>
      <c r="B1549" s="24" t="inlineStr">
        <is>
          <t>17668</t>
        </is>
      </c>
      <c r="C1549" s="23" t="inlineStr">
        <is>
          <t>ЛР</t>
        </is>
      </c>
      <c r="D1549" s="23" t="inlineStr">
        <is>
          <t>Харрис Л.Р.</t>
        </is>
      </c>
      <c r="E1549" s="23" t="inlineStr">
        <is>
          <t>Рецепт идеального брака</t>
        </is>
      </c>
      <c r="F1549" s="23" t="n">
        <v>748</v>
      </c>
      <c r="G1549" s="23" t="n">
        <v>94</v>
      </c>
      <c r="H1549" s="23" t="n">
        <v>10</v>
      </c>
      <c r="I1549" s="23" t="n">
        <v>30</v>
      </c>
      <c r="J1549" s="23" t="inlineStr">
        <is>
          <t>978-5-227-07700-4</t>
        </is>
      </c>
      <c r="K1549" s="23" t="inlineStr">
        <is>
          <t>70x100 1/32</t>
        </is>
      </c>
      <c r="L1549" s="23" t="inlineStr">
        <is>
          <t>мяг</t>
        </is>
      </c>
      <c r="M1549" s="23" t="n">
        <v>160</v>
      </c>
      <c r="N1549" s="23" t="n">
        <v>2017</v>
      </c>
      <c r="O1549" s="23" t="n">
        <v>76</v>
      </c>
      <c r="P1549" s="23" t="n"/>
      <c r="Q1549" s="23" t="n"/>
      <c r="R1549" s="25" t="n"/>
      <c r="S1549" s="26">
        <f>HYPERLINK("http://www.cnpol.ru/covers/17668.jpg","фото на сайте")</f>
        <v/>
      </c>
    </row>
    <row r="1550" ht="50.1" customHeight="1" s="3">
      <c r="A1550" s="23" t="n"/>
      <c r="B1550" s="24" t="inlineStr">
        <is>
          <t>17543</t>
        </is>
      </c>
      <c r="C1550" s="23" t="inlineStr">
        <is>
          <t>ЛР</t>
        </is>
      </c>
      <c r="D1550" s="23" t="inlineStr">
        <is>
          <t>Уильямс А.</t>
        </is>
      </c>
      <c r="E1550" s="23" t="inlineStr">
        <is>
          <t>Решил, что я твоя?</t>
        </is>
      </c>
      <c r="F1550" s="23" t="n">
        <v>727</v>
      </c>
      <c r="G1550" s="23" t="n">
        <v>94</v>
      </c>
      <c r="H1550" s="23" t="n">
        <v>10</v>
      </c>
      <c r="I1550" s="23" t="n">
        <v>30</v>
      </c>
      <c r="J1550" s="23" t="inlineStr">
        <is>
          <t>978-5-227-07581-9</t>
        </is>
      </c>
      <c r="K1550" s="23" t="inlineStr">
        <is>
          <t>70x100 1/32</t>
        </is>
      </c>
      <c r="L1550" s="23" t="inlineStr">
        <is>
          <t>мяг</t>
        </is>
      </c>
      <c r="M1550" s="23" t="n">
        <v>160</v>
      </c>
      <c r="N1550" s="23" t="n">
        <v>2017</v>
      </c>
      <c r="O1550" s="23" t="n">
        <v>76</v>
      </c>
      <c r="P1550" s="23" t="n"/>
      <c r="Q1550" s="23" t="n"/>
      <c r="R1550" s="25" t="n"/>
      <c r="S1550" s="26">
        <f>HYPERLINK("http://www.cnpol.ru/covers/17543.jpg","фото на сайте")</f>
        <v/>
      </c>
    </row>
    <row r="1551" ht="50.1" customHeight="1" s="3">
      <c r="A1551" s="23" t="n"/>
      <c r="B1551" s="24" t="inlineStr">
        <is>
          <t>16845</t>
        </is>
      </c>
      <c r="C1551" s="23" t="inlineStr">
        <is>
          <t>ЛР</t>
        </is>
      </c>
      <c r="D1551" s="23" t="inlineStr">
        <is>
          <t>Эйтс М.</t>
        </is>
      </c>
      <c r="E1551" s="23" t="inlineStr">
        <is>
          <t>Рискнуть всем ради тебя</t>
        </is>
      </c>
      <c r="F1551" s="23" t="n">
        <v>628</v>
      </c>
      <c r="G1551" s="23" t="n">
        <v>94</v>
      </c>
      <c r="H1551" s="23" t="n">
        <v>10</v>
      </c>
      <c r="I1551" s="23" t="n">
        <v>30</v>
      </c>
      <c r="J1551" s="23" t="inlineStr">
        <is>
          <t>978-5-227-06789-0</t>
        </is>
      </c>
      <c r="K1551" s="23" t="inlineStr">
        <is>
          <t>70x100 1/32</t>
        </is>
      </c>
      <c r="L1551" s="23" t="inlineStr">
        <is>
          <t>мяг</t>
        </is>
      </c>
      <c r="M1551" s="23" t="n">
        <v>160</v>
      </c>
      <c r="N1551" s="23" t="n">
        <v>2016</v>
      </c>
      <c r="O1551" s="23" t="n">
        <v>76</v>
      </c>
      <c r="P1551" s="23" t="n"/>
      <c r="Q1551" s="23" t="n"/>
      <c r="R1551" s="25" t="n"/>
      <c r="S1551" s="26">
        <f>HYPERLINK("http://www.cnpol.ru/covers/16845.jpg","фото на сайте")</f>
        <v/>
      </c>
    </row>
    <row r="1552" ht="50.1" customHeight="1" s="3">
      <c r="A1552" s="23" t="n"/>
      <c r="B1552" s="24" t="inlineStr">
        <is>
          <t>20049</t>
        </is>
      </c>
      <c r="C1552" s="23" t="inlineStr">
        <is>
          <t>ЛР</t>
        </is>
      </c>
      <c r="D1552" s="23" t="inlineStr">
        <is>
          <t>Биссел А.</t>
        </is>
      </c>
      <c r="E1552" s="23" t="inlineStr">
        <is>
          <t>Рискованное счастье</t>
        </is>
      </c>
      <c r="F1552" s="23" t="n">
        <v>1077</v>
      </c>
      <c r="G1552" s="23" t="n">
        <v>94</v>
      </c>
      <c r="H1552" s="23" t="n">
        <v>10</v>
      </c>
      <c r="I1552" s="23" t="n">
        <v>30</v>
      </c>
      <c r="J1552" s="23" t="inlineStr">
        <is>
          <t>978-5-227-09616-6</t>
        </is>
      </c>
      <c r="K1552" s="23" t="inlineStr">
        <is>
          <t>70x100 1/32</t>
        </is>
      </c>
      <c r="L1552" s="23" t="inlineStr">
        <is>
          <t>мяг</t>
        </is>
      </c>
      <c r="M1552" s="23" t="n">
        <v>159</v>
      </c>
      <c r="N1552" s="23" t="n">
        <v>2022</v>
      </c>
      <c r="O1552" s="23" t="n">
        <v>76</v>
      </c>
      <c r="P1552" s="23" t="n"/>
      <c r="Q1552" s="23" t="n"/>
      <c r="R1552" s="25" t="n"/>
      <c r="S1552" s="26">
        <f>HYPERLINK("http://www.cnpol.ru/covers/20049.jpg","фото на сайте")</f>
        <v/>
      </c>
    </row>
    <row r="1553" ht="50.1" customHeight="1" s="3">
      <c r="A1553" s="23" t="n"/>
      <c r="B1553" s="24" t="inlineStr">
        <is>
          <t>19905</t>
        </is>
      </c>
      <c r="C1553" s="23" t="inlineStr">
        <is>
          <t>ЛР</t>
        </is>
      </c>
      <c r="D1553" s="23" t="inlineStr">
        <is>
          <t>Даркинс Э.</t>
        </is>
      </c>
      <c r="E1553" s="23" t="inlineStr">
        <is>
          <t>Рискованные поцелуи</t>
        </is>
      </c>
      <c r="F1553" s="23" t="n">
        <v>1063</v>
      </c>
      <c r="G1553" s="23" t="n">
        <v>94</v>
      </c>
      <c r="H1553" s="23" t="n">
        <v>10</v>
      </c>
      <c r="I1553" s="23" t="n">
        <v>30</v>
      </c>
      <c r="J1553" s="23" t="inlineStr">
        <is>
          <t>978-5-227-09503-9</t>
        </is>
      </c>
      <c r="K1553" s="23" t="inlineStr">
        <is>
          <t>70x100 1/32</t>
        </is>
      </c>
      <c r="L1553" s="23" t="inlineStr">
        <is>
          <t>мяг</t>
        </is>
      </c>
      <c r="M1553" s="23" t="n">
        <v>159</v>
      </c>
      <c r="N1553" s="23" t="n">
        <v>2021</v>
      </c>
      <c r="O1553" s="23" t="n">
        <v>76</v>
      </c>
      <c r="P1553" s="23" t="n"/>
      <c r="Q1553" s="23" t="n"/>
      <c r="R1553" s="25" t="n"/>
      <c r="S1553" s="26">
        <f>HYPERLINK("http://www.cnpol.ru/covers/19905.jpg","фото на сайте")</f>
        <v/>
      </c>
    </row>
    <row r="1554" ht="50.1" customHeight="1" s="3">
      <c r="A1554" s="23" t="n"/>
      <c r="B1554" s="24" t="inlineStr">
        <is>
          <t>19864</t>
        </is>
      </c>
      <c r="C1554" s="23" t="inlineStr">
        <is>
          <t>ЛР</t>
        </is>
      </c>
      <c r="D1554" s="23" t="inlineStr">
        <is>
          <t>Джеймс Д.</t>
        </is>
      </c>
      <c r="E1554" s="23" t="inlineStr">
        <is>
          <t>Рискованный шаг к любви</t>
        </is>
      </c>
      <c r="F1554" s="23" t="n">
        <v>1055</v>
      </c>
      <c r="G1554" s="23" t="n">
        <v>94</v>
      </c>
      <c r="H1554" s="23" t="n">
        <v>10</v>
      </c>
      <c r="I1554" s="23" t="n">
        <v>30</v>
      </c>
      <c r="J1554" s="23" t="inlineStr">
        <is>
          <t>978-5-227-09420-9</t>
        </is>
      </c>
      <c r="K1554" s="23" t="inlineStr">
        <is>
          <t>70x100 1/32</t>
        </is>
      </c>
      <c r="L1554" s="23" t="inlineStr">
        <is>
          <t>мяг</t>
        </is>
      </c>
      <c r="M1554" s="23" t="n">
        <v>159</v>
      </c>
      <c r="N1554" s="23" t="n">
        <v>2021</v>
      </c>
      <c r="O1554" s="23" t="n">
        <v>76</v>
      </c>
      <c r="P1554" s="23" t="n"/>
      <c r="Q1554" s="23" t="n"/>
      <c r="R1554" s="25" t="n"/>
      <c r="S1554" s="26">
        <f>HYPERLINK("http://www.cnpol.ru/covers/19864.jpg","фото на сайте")</f>
        <v/>
      </c>
    </row>
    <row r="1555" ht="50.1" customHeight="1" s="3">
      <c r="A1555" s="23" t="n"/>
      <c r="B1555" s="24" t="inlineStr">
        <is>
          <t>19949</t>
        </is>
      </c>
      <c r="C1555" s="23" t="inlineStr">
        <is>
          <t>ЛР</t>
        </is>
      </c>
      <c r="D1555" s="23" t="inlineStr">
        <is>
          <t>Уинтерз Р.</t>
        </is>
      </c>
      <c r="E1555" s="23" t="inlineStr">
        <is>
          <t>Рискованный шаг страсти</t>
        </is>
      </c>
      <c r="F1555" s="23" t="n">
        <v>1069</v>
      </c>
      <c r="G1555" s="23" t="n">
        <v>94</v>
      </c>
      <c r="H1555" s="23" t="n">
        <v>10</v>
      </c>
      <c r="I1555" s="23" t="n">
        <v>30</v>
      </c>
      <c r="J1555" s="23" t="inlineStr">
        <is>
          <t>978-5-227-09519-0</t>
        </is>
      </c>
      <c r="K1555" s="23" t="inlineStr">
        <is>
          <t>70x100 1/32</t>
        </is>
      </c>
      <c r="L1555" s="23" t="inlineStr">
        <is>
          <t>мяг</t>
        </is>
      </c>
      <c r="M1555" s="23" t="n">
        <v>159</v>
      </c>
      <c r="N1555" s="23" t="n">
        <v>2021</v>
      </c>
      <c r="O1555" s="23" t="n">
        <v>76</v>
      </c>
      <c r="P1555" s="23" t="n"/>
      <c r="Q1555" s="23" t="n"/>
      <c r="R1555" s="25" t="n"/>
      <c r="S1555" s="26">
        <f>HYPERLINK("http://www.cnpol.ru/covers/19949.jpg","фото на сайте")</f>
        <v/>
      </c>
    </row>
    <row r="1556" ht="50.1" customHeight="1" s="3">
      <c r="A1556" s="23" t="n"/>
      <c r="B1556" s="24" t="inlineStr">
        <is>
          <t>20393</t>
        </is>
      </c>
      <c r="C1556" s="23" t="inlineStr">
        <is>
          <t>ЛР</t>
        </is>
      </c>
      <c r="D1556" s="23" t="inlineStr">
        <is>
          <t>Коллинз Д.</t>
        </is>
      </c>
      <c r="E1556" s="23" t="inlineStr">
        <is>
          <t>Роковая встреча на Манхэттене</t>
        </is>
      </c>
      <c r="F1556" s="23" t="n">
        <v>1109</v>
      </c>
      <c r="G1556" s="23" t="n">
        <v>94</v>
      </c>
      <c r="H1556" s="23" t="n">
        <v>10</v>
      </c>
      <c r="I1556" s="23" t="n">
        <v>30</v>
      </c>
      <c r="J1556" s="23" t="inlineStr">
        <is>
          <t>978-5-227-10071-9</t>
        </is>
      </c>
      <c r="K1556" s="23" t="inlineStr">
        <is>
          <t>70x100 1/32</t>
        </is>
      </c>
      <c r="L1556" s="23" t="inlineStr">
        <is>
          <t>мяг</t>
        </is>
      </c>
      <c r="M1556" s="23" t="n">
        <v>159</v>
      </c>
      <c r="N1556" s="23" t="n">
        <v>2022</v>
      </c>
      <c r="O1556" s="23" t="n">
        <v>76</v>
      </c>
      <c r="P1556" s="23" t="n"/>
      <c r="Q1556" s="23" t="n"/>
      <c r="R1556" s="25" t="inlineStr">
        <is>
          <t>Когда папарацци принимают Нину Менендес за супермодель Ориэль Кювье, она решается на отчаянный шаг и прячется в доме своего бывшего парня Рива Уэстона. Ее поступок провоцирует скандал в прессе, которого Рив хочет избежать любой ценой. Поэтому он оставляет Нину у себя, не подозревая, что между ними тут же вспыхнут искры желания.</t>
        </is>
      </c>
      <c r="S1556" s="26">
        <f>HYPERLINK("http://www.cnpol.ru/covers/20393.jpg","фото на сайте")</f>
        <v/>
      </c>
    </row>
    <row r="1557" ht="50.1" customHeight="1" s="3">
      <c r="A1557" s="23" t="n"/>
      <c r="B1557" s="24" t="inlineStr">
        <is>
          <t>18014</t>
        </is>
      </c>
      <c r="C1557" s="23" t="inlineStr">
        <is>
          <t>ЛР</t>
        </is>
      </c>
      <c r="D1557" s="23" t="inlineStr">
        <is>
          <t>Джеймс Д.</t>
        </is>
      </c>
      <c r="E1557" s="23" t="inlineStr">
        <is>
          <t>Роковая недотрога</t>
        </is>
      </c>
      <c r="F1557" s="23" t="n">
        <v>796</v>
      </c>
      <c r="G1557" s="23" t="n">
        <v>94</v>
      </c>
      <c r="H1557" s="23" t="n">
        <v>10</v>
      </c>
      <c r="I1557" s="23" t="n">
        <v>30</v>
      </c>
      <c r="J1557" s="23" t="inlineStr">
        <is>
          <t>978-5-227-08022-6</t>
        </is>
      </c>
      <c r="K1557" s="23" t="inlineStr">
        <is>
          <t>70x100 1/32</t>
        </is>
      </c>
      <c r="L1557" s="23" t="inlineStr">
        <is>
          <t>мяг</t>
        </is>
      </c>
      <c r="M1557" s="23" t="n">
        <v>160</v>
      </c>
      <c r="N1557" s="23" t="n">
        <v>2018</v>
      </c>
      <c r="O1557" s="23" t="n">
        <v>76</v>
      </c>
      <c r="P1557" s="23" t="n"/>
      <c r="Q1557" s="23" t="n"/>
      <c r="R1557" s="25" t="n"/>
      <c r="S1557" s="26">
        <f>HYPERLINK("http://www.cnpol.ru/covers/18014.jpg","фото на сайте")</f>
        <v/>
      </c>
    </row>
    <row r="1558" ht="50.1" customHeight="1" s="3">
      <c r="A1558" s="23" t="n"/>
      <c r="B1558" s="24" t="inlineStr">
        <is>
          <t>19179</t>
        </is>
      </c>
      <c r="C1558" s="23" t="inlineStr">
        <is>
          <t>ЛР</t>
        </is>
      </c>
      <c r="D1558" s="23" t="inlineStr">
        <is>
          <t>Леммон Д.</t>
        </is>
      </c>
      <c r="E1558" s="23" t="inlineStr">
        <is>
          <t>Роковая связь</t>
        </is>
      </c>
      <c r="F1558" s="23" t="n">
        <v>978</v>
      </c>
      <c r="G1558" s="23" t="n">
        <v>94</v>
      </c>
      <c r="H1558" s="23" t="n">
        <v>10</v>
      </c>
      <c r="I1558" s="23" t="n">
        <v>30</v>
      </c>
      <c r="J1558" s="23" t="inlineStr">
        <is>
          <t>978-5-227-09027-0</t>
        </is>
      </c>
      <c r="K1558" s="23" t="inlineStr">
        <is>
          <t>70x100 1/32</t>
        </is>
      </c>
      <c r="L1558" s="23" t="inlineStr">
        <is>
          <t>мяг</t>
        </is>
      </c>
      <c r="M1558" s="23" t="n">
        <v>160</v>
      </c>
      <c r="N1558" s="23" t="n">
        <v>2020</v>
      </c>
      <c r="O1558" s="23" t="n">
        <v>76</v>
      </c>
      <c r="P1558" s="23" t="n"/>
      <c r="Q1558" s="23" t="n"/>
      <c r="R1558" s="25" t="n"/>
      <c r="S1558" s="26">
        <f>HYPERLINK("http://www.cnpol.ru/covers/19179.jpg","фото на сайте")</f>
        <v/>
      </c>
    </row>
    <row r="1559" ht="50.1" customHeight="1" s="3">
      <c r="A1559" s="23" t="n"/>
      <c r="B1559" s="24" t="inlineStr">
        <is>
          <t>15840</t>
        </is>
      </c>
      <c r="C1559" s="23" t="inlineStr">
        <is>
          <t>ЛР</t>
        </is>
      </c>
      <c r="D1559" s="23" t="inlineStr">
        <is>
          <t>Грин Э.</t>
        </is>
      </c>
      <c r="E1559" s="23" t="inlineStr">
        <is>
          <t>Роковое очарование</t>
        </is>
      </c>
      <c r="F1559" s="23" t="n">
        <v>497</v>
      </c>
      <c r="G1559" s="23" t="n">
        <v>94</v>
      </c>
      <c r="H1559" s="23" t="n">
        <v>10</v>
      </c>
      <c r="I1559" s="23" t="n">
        <v>30</v>
      </c>
      <c r="J1559" s="23" t="inlineStr">
        <is>
          <t>978-5-227-05720-4</t>
        </is>
      </c>
      <c r="K1559" s="23" t="inlineStr">
        <is>
          <t>70x100 1/32</t>
        </is>
      </c>
      <c r="L1559" s="23" t="inlineStr">
        <is>
          <t>мяг</t>
        </is>
      </c>
      <c r="M1559" s="23" t="n">
        <v>158</v>
      </c>
      <c r="N1559" s="23" t="n">
        <v>2015</v>
      </c>
      <c r="O1559" s="23" t="n">
        <v>76</v>
      </c>
      <c r="P1559" s="23" t="n"/>
      <c r="Q1559" s="23" t="n"/>
      <c r="R1559" s="25" t="n"/>
      <c r="S1559" s="26">
        <f>HYPERLINK("http://www.cnpol.ru/covers/15840.jpg","фото на сайте")</f>
        <v/>
      </c>
    </row>
    <row r="1560" ht="50.1" customHeight="1" s="3">
      <c r="A1560" s="23" t="n"/>
      <c r="B1560" s="24" t="inlineStr">
        <is>
          <t>19968</t>
        </is>
      </c>
      <c r="C1560" s="23" t="inlineStr">
        <is>
          <t>ЛР</t>
        </is>
      </c>
      <c r="D1560" s="23" t="inlineStr">
        <is>
          <t>Марш Н.</t>
        </is>
      </c>
      <c r="E1560" s="23" t="inlineStr">
        <is>
          <t>Роковое свадебное свидание</t>
        </is>
      </c>
      <c r="F1560" s="23" t="n">
        <v>1071</v>
      </c>
      <c r="G1560" s="23" t="n">
        <v>94</v>
      </c>
      <c r="H1560" s="23" t="n">
        <v>10</v>
      </c>
      <c r="I1560" s="23" t="n">
        <v>30</v>
      </c>
      <c r="J1560" s="23" t="inlineStr">
        <is>
          <t>978-5-227-09521-3</t>
        </is>
      </c>
      <c r="K1560" s="23" t="inlineStr">
        <is>
          <t>70x100 1/32</t>
        </is>
      </c>
      <c r="L1560" s="23" t="inlineStr">
        <is>
          <t>мяг</t>
        </is>
      </c>
      <c r="M1560" s="23" t="n">
        <v>159</v>
      </c>
      <c r="N1560" s="23" t="n">
        <v>2021</v>
      </c>
      <c r="O1560" s="23" t="n">
        <v>76</v>
      </c>
      <c r="P1560" s="23" t="n"/>
      <c r="Q1560" s="23" t="n"/>
      <c r="R1560" s="25" t="n"/>
      <c r="S1560" s="26">
        <f>HYPERLINK("http://www.cnpol.ru/covers/19968.jpg","фото на сайте")</f>
        <v/>
      </c>
    </row>
    <row r="1561" ht="50.1" customHeight="1" s="3">
      <c r="A1561" s="23" t="n"/>
      <c r="B1561" s="24" t="inlineStr">
        <is>
          <t>18238</t>
        </is>
      </c>
      <c r="C1561" s="23" t="inlineStr">
        <is>
          <t>ЛР</t>
        </is>
      </c>
      <c r="D1561" s="23" t="inlineStr">
        <is>
          <t>Крейвен С.</t>
        </is>
      </c>
      <c r="E1561" s="23" t="inlineStr">
        <is>
          <t>Роковое свидание</t>
        </is>
      </c>
      <c r="F1561" s="23" t="n">
        <v>825</v>
      </c>
      <c r="G1561" s="23" t="n">
        <v>94</v>
      </c>
      <c r="H1561" s="23" t="n">
        <v>10</v>
      </c>
      <c r="I1561" s="23" t="n">
        <v>30</v>
      </c>
      <c r="J1561" s="23" t="inlineStr">
        <is>
          <t>978-5-227-08219-0</t>
        </is>
      </c>
      <c r="K1561" s="23" t="inlineStr">
        <is>
          <t>70x100 1/32</t>
        </is>
      </c>
      <c r="L1561" s="23" t="inlineStr">
        <is>
          <t>мяг</t>
        </is>
      </c>
      <c r="M1561" s="23" t="n">
        <v>160</v>
      </c>
      <c r="N1561" s="23" t="n">
        <v>2018</v>
      </c>
      <c r="O1561" s="23" t="n">
        <v>76</v>
      </c>
      <c r="P1561" s="23" t="n"/>
      <c r="Q1561" s="23" t="n"/>
      <c r="R1561" s="25" t="n"/>
      <c r="S1561" s="26">
        <f>HYPERLINK("http://www.cnpol.ru/covers/18238.jpg","фото на сайте")</f>
        <v/>
      </c>
    </row>
    <row r="1562" ht="50.1" customHeight="1" s="3">
      <c r="A1562" s="23" t="n"/>
      <c r="B1562" s="24" t="inlineStr">
        <is>
          <t>18439</t>
        </is>
      </c>
      <c r="C1562" s="23" t="inlineStr">
        <is>
          <t>ЛР</t>
        </is>
      </c>
      <c r="D1562" s="23" t="inlineStr">
        <is>
          <t>Кендрик Ш.</t>
        </is>
      </c>
      <c r="E1562" s="23" t="inlineStr">
        <is>
          <t>Роковой соблазн</t>
        </is>
      </c>
      <c r="F1562" s="23" t="n">
        <v>859</v>
      </c>
      <c r="G1562" s="23" t="n">
        <v>94</v>
      </c>
      <c r="H1562" s="23" t="n">
        <v>10</v>
      </c>
      <c r="I1562" s="23" t="n">
        <v>30</v>
      </c>
      <c r="J1562" s="23" t="inlineStr">
        <is>
          <t>978-5-227-08385-2</t>
        </is>
      </c>
      <c r="K1562" s="23" t="inlineStr">
        <is>
          <t>70x100 1/32</t>
        </is>
      </c>
      <c r="L1562" s="23" t="inlineStr">
        <is>
          <t>мяг</t>
        </is>
      </c>
      <c r="M1562" s="23" t="n">
        <v>160</v>
      </c>
      <c r="N1562" s="23" t="n">
        <v>2018</v>
      </c>
      <c r="O1562" s="23" t="n">
        <v>76</v>
      </c>
      <c r="P1562" s="23" t="n"/>
      <c r="Q1562" s="23" t="n"/>
      <c r="R1562" s="25" t="n"/>
      <c r="S1562" s="26">
        <f>HYPERLINK("http://www.cnpol.ru/covers/18439.jpg","фото на сайте")</f>
        <v/>
      </c>
    </row>
    <row r="1563" ht="50.1" customHeight="1" s="3">
      <c r="A1563" s="23" t="n"/>
      <c r="B1563" s="24" t="inlineStr">
        <is>
          <t>19268</t>
        </is>
      </c>
      <c r="C1563" s="23" t="inlineStr">
        <is>
          <t>ЛР</t>
        </is>
      </c>
      <c r="D1563" s="23" t="inlineStr">
        <is>
          <t>Дуглас</t>
        </is>
      </c>
      <c r="E1563" s="23" t="inlineStr">
        <is>
          <t>Роман на ее условиях</t>
        </is>
      </c>
      <c r="F1563" s="23" t="n">
        <v>987</v>
      </c>
      <c r="G1563" s="23" t="n">
        <v>94</v>
      </c>
      <c r="H1563" s="23" t="n">
        <v>10</v>
      </c>
      <c r="I1563" s="23" t="n">
        <v>30</v>
      </c>
      <c r="J1563" s="23" t="inlineStr">
        <is>
          <t>978-5-227-09050-8</t>
        </is>
      </c>
      <c r="K1563" s="23" t="inlineStr">
        <is>
          <t>70x100 1/32</t>
        </is>
      </c>
      <c r="L1563" s="23" t="inlineStr">
        <is>
          <t>мяг</t>
        </is>
      </c>
      <c r="M1563" s="23" t="n">
        <v>160</v>
      </c>
      <c r="N1563" s="23" t="n">
        <v>2020</v>
      </c>
      <c r="O1563" s="23" t="n">
        <v>76</v>
      </c>
      <c r="P1563" s="23" t="n"/>
      <c r="Q1563" s="23" t="n"/>
      <c r="R1563" s="25" t="n"/>
      <c r="S1563" s="26">
        <f>HYPERLINK("http://www.cnpol.ru/covers/19268.jpg","фото на сайте")</f>
        <v/>
      </c>
    </row>
    <row r="1564" ht="50.1" customHeight="1" s="3">
      <c r="A1564" s="23" t="n"/>
      <c r="B1564" s="24" t="inlineStr">
        <is>
          <t>19859</t>
        </is>
      </c>
      <c r="C1564" s="23" t="inlineStr">
        <is>
          <t>ЛР</t>
        </is>
      </c>
      <c r="D1564" s="23" t="inlineStr">
        <is>
          <t>Леммон Д.</t>
        </is>
      </c>
      <c r="E1564" s="23" t="inlineStr">
        <is>
          <t>Роман на озере Тахо</t>
        </is>
      </c>
      <c r="F1564" s="23" t="n">
        <v>1053</v>
      </c>
      <c r="G1564" s="23" t="n">
        <v>94</v>
      </c>
      <c r="H1564" s="23" t="n">
        <v>10</v>
      </c>
      <c r="I1564" s="23" t="n">
        <v>30</v>
      </c>
      <c r="J1564" s="23" t="inlineStr">
        <is>
          <t>978-5-227-09418-6</t>
        </is>
      </c>
      <c r="K1564" s="23" t="inlineStr">
        <is>
          <t>70x100 1/32</t>
        </is>
      </c>
      <c r="L1564" s="23" t="inlineStr">
        <is>
          <t>мяг</t>
        </is>
      </c>
      <c r="M1564" s="23" t="n">
        <v>159</v>
      </c>
      <c r="N1564" s="23" t="n">
        <v>2021</v>
      </c>
      <c r="O1564" s="23" t="n">
        <v>76</v>
      </c>
      <c r="P1564" s="23" t="n"/>
      <c r="Q1564" s="23" t="n"/>
      <c r="R1564" s="25" t="n"/>
      <c r="S1564" s="26">
        <f>HYPERLINK("http://www.cnpol.ru/covers/19859.jpg","фото на сайте")</f>
        <v/>
      </c>
    </row>
    <row r="1565" ht="50.1" customHeight="1" s="3">
      <c r="A1565" s="23" t="n"/>
      <c r="B1565" s="24" t="inlineStr">
        <is>
          <t>19709</t>
        </is>
      </c>
      <c r="C1565" s="23" t="inlineStr">
        <is>
          <t>ЛР</t>
        </is>
      </c>
      <c r="D1565" s="23" t="inlineStr">
        <is>
          <t>Бехари Т.</t>
        </is>
      </c>
      <c r="E1565" s="23" t="inlineStr">
        <is>
          <t>Роман на солнечном острове</t>
        </is>
      </c>
      <c r="F1565" s="23" t="n">
        <v>1040</v>
      </c>
      <c r="G1565" s="23" t="n">
        <v>94</v>
      </c>
      <c r="H1565" s="23" t="n">
        <v>10</v>
      </c>
      <c r="I1565" s="23" t="n">
        <v>30</v>
      </c>
      <c r="J1565" s="23" t="inlineStr">
        <is>
          <t>978-5-227-09352-3</t>
        </is>
      </c>
      <c r="K1565" s="23" t="inlineStr">
        <is>
          <t>70x100 1/32</t>
        </is>
      </c>
      <c r="L1565" s="23" t="inlineStr">
        <is>
          <t>мяг</t>
        </is>
      </c>
      <c r="M1565" s="23" t="n">
        <v>160</v>
      </c>
      <c r="N1565" s="23" t="n">
        <v>2021</v>
      </c>
      <c r="O1565" s="23" t="n">
        <v>76</v>
      </c>
      <c r="P1565" s="23" t="n"/>
      <c r="Q1565" s="23" t="n"/>
      <c r="R1565" s="25" t="n"/>
      <c r="S1565" s="26">
        <f>HYPERLINK("http://www.cnpol.ru/covers/19709.jpg","фото на сайте")</f>
        <v/>
      </c>
    </row>
    <row r="1566" ht="50.1" customHeight="1" s="3">
      <c r="A1566" s="23" t="n"/>
      <c r="B1566" s="24" t="inlineStr">
        <is>
          <t>18758</t>
        </is>
      </c>
      <c r="C1566" s="23" t="inlineStr">
        <is>
          <t>ЛР</t>
        </is>
      </c>
      <c r="D1566" s="23" t="inlineStr">
        <is>
          <t>Хьюит К.</t>
        </is>
      </c>
      <c r="E1566" s="23" t="inlineStr">
        <is>
          <t>Романтик с ледяным сердцем</t>
        </is>
      </c>
      <c r="F1566" s="23" t="n">
        <v>908</v>
      </c>
      <c r="G1566" s="23" t="n">
        <v>94</v>
      </c>
      <c r="H1566" s="23" t="n">
        <v>10</v>
      </c>
      <c r="I1566" s="23" t="n">
        <v>30</v>
      </c>
      <c r="J1566" s="23" t="inlineStr">
        <is>
          <t>978-5-227-08659-4</t>
        </is>
      </c>
      <c r="K1566" s="23" t="inlineStr">
        <is>
          <t>70x100 1/32</t>
        </is>
      </c>
      <c r="L1566" s="23" t="inlineStr">
        <is>
          <t>мяг</t>
        </is>
      </c>
      <c r="M1566" s="23" t="n">
        <v>160</v>
      </c>
      <c r="N1566" s="23" t="n">
        <v>2019</v>
      </c>
      <c r="O1566" s="23" t="n">
        <v>76</v>
      </c>
      <c r="P1566" s="23" t="n"/>
      <c r="Q1566" s="23" t="n"/>
      <c r="R1566" s="25" t="n"/>
      <c r="S1566" s="26">
        <f>HYPERLINK("http://www.cnpol.ru/covers/18758.jpg","фото на сайте")</f>
        <v/>
      </c>
    </row>
    <row r="1567" ht="50.1" customHeight="1" s="3">
      <c r="A1567" s="23" t="n"/>
      <c r="B1567" s="24" t="inlineStr">
        <is>
          <t>19880</t>
        </is>
      </c>
      <c r="C1567" s="23" t="inlineStr">
        <is>
          <t>ЛР</t>
        </is>
      </c>
      <c r="D1567" s="23" t="inlineStr">
        <is>
          <t>Гилмор Д.</t>
        </is>
      </c>
      <c r="E1567" s="23" t="inlineStr">
        <is>
          <t>Романтика первого лета</t>
        </is>
      </c>
      <c r="F1567" s="23" t="n">
        <v>1056</v>
      </c>
      <c r="G1567" s="23" t="n">
        <v>94</v>
      </c>
      <c r="H1567" s="23" t="n">
        <v>10</v>
      </c>
      <c r="I1567" s="23" t="n">
        <v>30</v>
      </c>
      <c r="J1567" s="23" t="inlineStr">
        <is>
          <t>978-5-227-09440-7</t>
        </is>
      </c>
      <c r="K1567" s="23" t="inlineStr">
        <is>
          <t>70x100 1/32</t>
        </is>
      </c>
      <c r="L1567" s="23" t="inlineStr">
        <is>
          <t>мяг</t>
        </is>
      </c>
      <c r="M1567" s="23" t="n">
        <v>159</v>
      </c>
      <c r="N1567" s="23" t="n">
        <v>2021</v>
      </c>
      <c r="O1567" s="23" t="n">
        <v>76</v>
      </c>
      <c r="P1567" s="23" t="n"/>
      <c r="Q1567" s="23" t="n"/>
      <c r="R1567" s="25" t="n"/>
      <c r="S1567" s="26">
        <f>HYPERLINK("http://www.cnpol.ru/covers/19880.jpg","фото на сайте")</f>
        <v/>
      </c>
    </row>
    <row r="1568" ht="50.1" customHeight="1" s="3">
      <c r="A1568" s="23" t="n"/>
      <c r="B1568" s="24" t="inlineStr">
        <is>
          <t>20108</t>
        </is>
      </c>
      <c r="C1568" s="23" t="inlineStr">
        <is>
          <t>ЛР</t>
        </is>
      </c>
      <c r="D1568" s="23" t="inlineStr">
        <is>
          <t>Кадмор К.</t>
        </is>
      </c>
      <c r="E1568" s="23" t="inlineStr">
        <is>
          <t>Романтика по­итальянски</t>
        </is>
      </c>
      <c r="F1568" s="23" t="n">
        <v>1080</v>
      </c>
      <c r="G1568" s="23" t="n">
        <v>94</v>
      </c>
      <c r="H1568" s="23" t="n">
        <v>10</v>
      </c>
      <c r="I1568" s="23" t="n">
        <v>30</v>
      </c>
      <c r="J1568" s="23" t="inlineStr">
        <is>
          <t>978-5-227-09611-1</t>
        </is>
      </c>
      <c r="K1568" s="23" t="inlineStr">
        <is>
          <t>70x100 1/32</t>
        </is>
      </c>
      <c r="L1568" s="23" t="inlineStr">
        <is>
          <t>мяг</t>
        </is>
      </c>
      <c r="M1568" s="23" t="n">
        <v>159</v>
      </c>
      <c r="N1568" s="23" t="n">
        <v>2022</v>
      </c>
      <c r="O1568" s="23" t="n">
        <v>76</v>
      </c>
      <c r="P1568" s="23" t="n"/>
      <c r="Q1568" s="23" t="n"/>
      <c r="R1568" s="25" t="n"/>
      <c r="S1568" s="26">
        <f>HYPERLINK("http://www.cnpol.ru/covers/20108.jpg","фото на сайте")</f>
        <v/>
      </c>
    </row>
    <row r="1569" ht="50.1" customHeight="1" s="3">
      <c r="A1569" s="23" t="n"/>
      <c r="B1569" s="24" t="inlineStr">
        <is>
          <t>18928</t>
        </is>
      </c>
      <c r="C1569" s="23" t="inlineStr">
        <is>
          <t>ЛР</t>
        </is>
      </c>
      <c r="D1569" s="23" t="inlineStr">
        <is>
          <t>Мейер С.</t>
        </is>
      </c>
      <c r="E1569" s="23" t="inlineStr">
        <is>
          <t>Романтическая авантюра</t>
        </is>
      </c>
      <c r="F1569" s="23" t="n">
        <v>938</v>
      </c>
      <c r="G1569" s="23" t="n">
        <v>94</v>
      </c>
      <c r="H1569" s="23" t="n">
        <v>10</v>
      </c>
      <c r="I1569" s="23" t="n">
        <v>30</v>
      </c>
      <c r="J1569" s="23" t="inlineStr">
        <is>
          <t>978-5-227-08788-1</t>
        </is>
      </c>
      <c r="K1569" s="23" t="inlineStr">
        <is>
          <t>70x100 1/32</t>
        </is>
      </c>
      <c r="L1569" s="23" t="inlineStr">
        <is>
          <t>мяг</t>
        </is>
      </c>
      <c r="M1569" s="23" t="n">
        <v>160</v>
      </c>
      <c r="N1569" s="23" t="n">
        <v>2019</v>
      </c>
      <c r="O1569" s="23" t="n">
        <v>76</v>
      </c>
      <c r="P1569" s="23" t="n"/>
      <c r="Q1569" s="23" t="n"/>
      <c r="R1569" s="25" t="n"/>
      <c r="S1569" s="26">
        <f>HYPERLINK("http://www.cnpol.ru/covers/18928.jpg","фото на сайте")</f>
        <v/>
      </c>
    </row>
    <row r="1570" ht="50.1" customHeight="1" s="3">
      <c r="A1570" s="23" t="n"/>
      <c r="B1570" s="24" t="inlineStr">
        <is>
          <t>19192</t>
        </is>
      </c>
      <c r="C1570" s="23" t="inlineStr">
        <is>
          <t>ЛР</t>
        </is>
      </c>
      <c r="D1570" s="23" t="inlineStr">
        <is>
          <t>Блейк Э.</t>
        </is>
      </c>
      <c r="E1570" s="23" t="inlineStr">
        <is>
          <t>Романтическая неделя с шафером</t>
        </is>
      </c>
      <c r="F1570" s="23" t="n">
        <v>982</v>
      </c>
      <c r="G1570" s="23" t="n">
        <v>94</v>
      </c>
      <c r="H1570" s="23" t="n">
        <v>10</v>
      </c>
      <c r="I1570" s="23" t="n">
        <v>30</v>
      </c>
      <c r="J1570" s="23" t="inlineStr">
        <is>
          <t>978-5-227-09031-7</t>
        </is>
      </c>
      <c r="K1570" s="23" t="inlineStr">
        <is>
          <t>70x100 1/32</t>
        </is>
      </c>
      <c r="L1570" s="23" t="inlineStr">
        <is>
          <t>мяг</t>
        </is>
      </c>
      <c r="M1570" s="23" t="n">
        <v>160</v>
      </c>
      <c r="N1570" s="23" t="n">
        <v>2020</v>
      </c>
      <c r="O1570" s="23" t="n">
        <v>76</v>
      </c>
      <c r="P1570" s="23" t="n"/>
      <c r="Q1570" s="23" t="n"/>
      <c r="R1570" s="25" t="n"/>
      <c r="S1570" s="26">
        <f>HYPERLINK("http://www.cnpol.ru/covers/19192.jpg","фото на сайте")</f>
        <v/>
      </c>
    </row>
    <row r="1571" ht="50.1" customHeight="1" s="3">
      <c r="A1571" s="23" t="n"/>
      <c r="B1571" s="24" t="inlineStr">
        <is>
          <t>19152</t>
        </is>
      </c>
      <c r="C1571" s="23" t="inlineStr">
        <is>
          <t>ЛР</t>
        </is>
      </c>
      <c r="D1571" s="23" t="inlineStr">
        <is>
          <t>Коллинз Д.</t>
        </is>
      </c>
      <c r="E1571" s="23" t="inlineStr">
        <is>
          <t>Романтический поединок</t>
        </is>
      </c>
      <c r="F1571" s="23" t="n">
        <v>976</v>
      </c>
      <c r="G1571" s="23" t="n">
        <v>94</v>
      </c>
      <c r="H1571" s="23" t="n">
        <v>10</v>
      </c>
      <c r="I1571" s="23" t="n">
        <v>30</v>
      </c>
      <c r="J1571" s="23" t="inlineStr">
        <is>
          <t>978-5-227-08965-6</t>
        </is>
      </c>
      <c r="K1571" s="23" t="inlineStr">
        <is>
          <t>70x100 1/32</t>
        </is>
      </c>
      <c r="L1571" s="23" t="inlineStr">
        <is>
          <t>мяг</t>
        </is>
      </c>
      <c r="M1571" s="23" t="n">
        <v>160</v>
      </c>
      <c r="N1571" s="23" t="n">
        <v>2020</v>
      </c>
      <c r="O1571" s="23" t="n">
        <v>76</v>
      </c>
      <c r="P1571" s="23" t="n"/>
      <c r="Q1571" s="23" t="n"/>
      <c r="R1571" s="25" t="n"/>
      <c r="S1571" s="26">
        <f>HYPERLINK("http://www.cnpol.ru/covers/19152.jpg","фото на сайте")</f>
        <v/>
      </c>
    </row>
    <row r="1572" ht="50.1" customHeight="1" s="3">
      <c r="A1572" s="23" t="n"/>
      <c r="B1572" s="24" t="inlineStr">
        <is>
          <t>19035</t>
        </is>
      </c>
      <c r="C1572" s="23" t="inlineStr">
        <is>
          <t>ЛР</t>
        </is>
      </c>
      <c r="D1572" s="23" t="inlineStr">
        <is>
          <t>Шеперд К.</t>
        </is>
      </c>
      <c r="E1572" s="23" t="inlineStr">
        <is>
          <t>Романтическое испытание</t>
        </is>
      </c>
      <c r="F1572" s="23" t="n">
        <v>958</v>
      </c>
      <c r="G1572" s="23" t="n">
        <v>94</v>
      </c>
      <c r="H1572" s="23" t="n">
        <v>10</v>
      </c>
      <c r="I1572" s="23" t="n">
        <v>30</v>
      </c>
      <c r="J1572" s="23" t="inlineStr">
        <is>
          <t>978-5-227-08911-3</t>
        </is>
      </c>
      <c r="K1572" s="23" t="inlineStr">
        <is>
          <t>70x100 1/32</t>
        </is>
      </c>
      <c r="L1572" s="23" t="inlineStr">
        <is>
          <t>мяг</t>
        </is>
      </c>
      <c r="M1572" s="23" t="n">
        <v>160</v>
      </c>
      <c r="N1572" s="23" t="n">
        <v>2020</v>
      </c>
      <c r="O1572" s="23" t="n">
        <v>76</v>
      </c>
      <c r="P1572" s="23" t="n"/>
      <c r="Q1572" s="23" t="n"/>
      <c r="R1572" s="25" t="n"/>
      <c r="S1572" s="26">
        <f>HYPERLINK("http://www.cnpol.ru/covers/19035.jpg","фото на сайте")</f>
        <v/>
      </c>
    </row>
    <row r="1573" ht="50.1" customHeight="1" s="3">
      <c r="A1573" s="23" t="n"/>
      <c r="B1573" s="24" t="inlineStr">
        <is>
          <t>17680</t>
        </is>
      </c>
      <c r="C1573" s="23" t="inlineStr">
        <is>
          <t>ЛР</t>
        </is>
      </c>
      <c r="D1573" s="23" t="inlineStr">
        <is>
          <t>Кендрик Ш.</t>
        </is>
      </c>
      <c r="E1573" s="23" t="inlineStr">
        <is>
          <t>Рыжеволосая чаровница</t>
        </is>
      </c>
      <c r="F1573" s="23" t="n">
        <v>751</v>
      </c>
      <c r="G1573" s="23" t="n">
        <v>94</v>
      </c>
      <c r="H1573" s="23" t="n">
        <v>10</v>
      </c>
      <c r="I1573" s="23" t="n">
        <v>30</v>
      </c>
      <c r="J1573" s="23" t="inlineStr">
        <is>
          <t>978-5-227-07703-5</t>
        </is>
      </c>
      <c r="K1573" s="23" t="inlineStr">
        <is>
          <t>70x100 1/32</t>
        </is>
      </c>
      <c r="L1573" s="23" t="inlineStr">
        <is>
          <t>мяг</t>
        </is>
      </c>
      <c r="M1573" s="23" t="n">
        <v>160</v>
      </c>
      <c r="N1573" s="23" t="n">
        <v>2017</v>
      </c>
      <c r="O1573" s="23" t="n">
        <v>76</v>
      </c>
      <c r="P1573" s="23" t="n"/>
      <c r="Q1573" s="23" t="n"/>
      <c r="R1573" s="25" t="n"/>
      <c r="S1573" s="26">
        <f>HYPERLINK("http://www.cnpol.ru/covers/17680.jpg","фото на сайте")</f>
        <v/>
      </c>
    </row>
    <row r="1574" ht="50.1" customHeight="1" s="3">
      <c r="A1574" s="23" t="n"/>
      <c r="B1574" s="24" t="inlineStr">
        <is>
          <t>18736</t>
        </is>
      </c>
      <c r="C1574" s="23" t="inlineStr">
        <is>
          <t>ЛР</t>
        </is>
      </c>
      <c r="D1574" s="23" t="inlineStr">
        <is>
          <t>Кендрик Ш.</t>
        </is>
      </c>
      <c r="E1574" s="23" t="inlineStr">
        <is>
          <t>С тобой готова на все</t>
        </is>
      </c>
      <c r="F1574" s="23" t="n">
        <v>904</v>
      </c>
      <c r="G1574" s="23" t="n">
        <v>94</v>
      </c>
      <c r="H1574" s="23" t="n">
        <v>10</v>
      </c>
      <c r="I1574" s="23" t="n">
        <v>30</v>
      </c>
      <c r="J1574" s="23" t="inlineStr">
        <is>
          <t>978-5-227-08579-5</t>
        </is>
      </c>
      <c r="K1574" s="23" t="inlineStr">
        <is>
          <t>70x100 1/32</t>
        </is>
      </c>
      <c r="L1574" s="23" t="inlineStr">
        <is>
          <t>мяг</t>
        </is>
      </c>
      <c r="M1574" s="23" t="n">
        <v>160</v>
      </c>
      <c r="N1574" s="23" t="n">
        <v>2019</v>
      </c>
      <c r="O1574" s="23" t="n">
        <v>76</v>
      </c>
      <c r="P1574" s="23" t="n"/>
      <c r="Q1574" s="23" t="n"/>
      <c r="R1574" s="25" t="n"/>
      <c r="S1574" s="26">
        <f>HYPERLINK("http://www.cnpol.ru/covers/18736.jpg","фото на сайте")</f>
        <v/>
      </c>
    </row>
    <row r="1575" ht="50.1" customHeight="1" s="3">
      <c r="A1575" s="23" t="n"/>
      <c r="B1575" s="24" t="inlineStr">
        <is>
          <t>18225</t>
        </is>
      </c>
      <c r="C1575" s="23" t="inlineStr">
        <is>
          <t>ЛР</t>
        </is>
      </c>
      <c r="D1575" s="23" t="inlineStr">
        <is>
          <t>Маккелен Кристи</t>
        </is>
      </c>
      <c r="E1575" s="23" t="inlineStr">
        <is>
          <t>С тобой, словно в раю</t>
        </is>
      </c>
      <c r="F1575" s="23" t="n">
        <v>822</v>
      </c>
      <c r="G1575" s="23" t="n">
        <v>94</v>
      </c>
      <c r="H1575" s="23" t="n">
        <v>10</v>
      </c>
      <c r="I1575" s="23" t="n">
        <v>30</v>
      </c>
      <c r="J1575" s="23" t="inlineStr">
        <is>
          <t>978-5-227-08216-9</t>
        </is>
      </c>
      <c r="K1575" s="23" t="inlineStr">
        <is>
          <t>70x100 1/32</t>
        </is>
      </c>
      <c r="L1575" s="23" t="inlineStr">
        <is>
          <t>мяг</t>
        </is>
      </c>
      <c r="M1575" s="23" t="n">
        <v>160</v>
      </c>
      <c r="N1575" s="23" t="n">
        <v>2018</v>
      </c>
      <c r="O1575" s="23" t="n">
        <v>76</v>
      </c>
      <c r="P1575" s="23" t="n"/>
      <c r="Q1575" s="23" t="n"/>
      <c r="R1575" s="25" t="n"/>
      <c r="S1575" s="26">
        <f>HYPERLINK("http://www.cnpol.ru/covers/18225.jpg","фото на сайте")</f>
        <v/>
      </c>
    </row>
    <row r="1576" ht="50.1" customHeight="1" s="3">
      <c r="A1576" s="23" t="n"/>
      <c r="B1576" s="24" t="inlineStr">
        <is>
          <t>16629</t>
        </is>
      </c>
      <c r="C1576" s="23" t="inlineStr">
        <is>
          <t>ЛР</t>
        </is>
      </c>
      <c r="D1576" s="23" t="inlineStr">
        <is>
          <t>Грэхем Л.</t>
        </is>
      </c>
      <c r="E1576" s="23" t="inlineStr">
        <is>
          <t>Самая лучшая свадьба</t>
        </is>
      </c>
      <c r="F1576" s="23" t="n">
        <v>601</v>
      </c>
      <c r="G1576" s="23" t="n">
        <v>94</v>
      </c>
      <c r="H1576" s="23" t="n">
        <v>10</v>
      </c>
      <c r="I1576" s="23" t="n">
        <v>30</v>
      </c>
      <c r="J1576" s="23" t="inlineStr">
        <is>
          <t>978-5-227-06531-5</t>
        </is>
      </c>
      <c r="K1576" s="23" t="inlineStr">
        <is>
          <t>70x100 1/32</t>
        </is>
      </c>
      <c r="L1576" s="23" t="inlineStr">
        <is>
          <t>мяг</t>
        </is>
      </c>
      <c r="M1576" s="23" t="n">
        <v>160</v>
      </c>
      <c r="N1576" s="23" t="n">
        <v>2016</v>
      </c>
      <c r="O1576" s="23" t="n">
        <v>76</v>
      </c>
      <c r="P1576" s="23" t="n"/>
      <c r="Q1576" s="23" t="n"/>
      <c r="R1576" s="25" t="n"/>
      <c r="S1576" s="26">
        <f>HYPERLINK("http://www.cnpol.ru/covers/16629.jpg","фото на сайте")</f>
        <v/>
      </c>
    </row>
    <row r="1577" ht="50.1" customHeight="1" s="3">
      <c r="A1577" s="23" t="n"/>
      <c r="B1577" s="24" t="inlineStr">
        <is>
          <t>17883</t>
        </is>
      </c>
      <c r="C1577" s="23" t="inlineStr">
        <is>
          <t>ЛР</t>
        </is>
      </c>
      <c r="D1577" s="23" t="inlineStr">
        <is>
          <t>Коллинз Д.</t>
        </is>
      </c>
      <c r="E1577" s="23" t="inlineStr">
        <is>
          <t>Самая неслучайная встреча</t>
        </is>
      </c>
      <c r="F1577" s="23" t="n">
        <v>781</v>
      </c>
      <c r="G1577" s="23" t="n">
        <v>94</v>
      </c>
      <c r="H1577" s="23" t="n">
        <v>10</v>
      </c>
      <c r="I1577" s="23" t="n">
        <v>30</v>
      </c>
      <c r="J1577" s="23" t="inlineStr">
        <is>
          <t>978-5-227-07787-5</t>
        </is>
      </c>
      <c r="K1577" s="23" t="inlineStr">
        <is>
          <t>70x100 1/32</t>
        </is>
      </c>
      <c r="L1577" s="23" t="inlineStr">
        <is>
          <t>мяг</t>
        </is>
      </c>
      <c r="M1577" s="23" t="n">
        <v>160</v>
      </c>
      <c r="N1577" s="23" t="n">
        <v>2017</v>
      </c>
      <c r="O1577" s="23" t="n">
        <v>76</v>
      </c>
      <c r="P1577" s="23" t="n"/>
      <c r="Q1577" s="23" t="n"/>
      <c r="R1577" s="25" t="n"/>
      <c r="S1577" s="26">
        <f>HYPERLINK("http://www.cnpol.ru/covers/17883.jpg","фото на сайте")</f>
        <v/>
      </c>
    </row>
    <row r="1578" ht="50.1" customHeight="1" s="3">
      <c r="A1578" s="23" t="n"/>
      <c r="B1578" s="24" t="inlineStr">
        <is>
          <t>20001</t>
        </is>
      </c>
      <c r="C1578" s="23" t="inlineStr">
        <is>
          <t>ЛР</t>
        </is>
      </c>
      <c r="D1578" s="23" t="inlineStr">
        <is>
          <t>Синелли А.</t>
        </is>
      </c>
      <c r="E1578" s="23" t="inlineStr">
        <is>
          <t>Самая секретная свадьба</t>
        </is>
      </c>
      <c r="F1578" s="23" t="n">
        <v>1073</v>
      </c>
      <c r="G1578" s="23" t="n">
        <v>94</v>
      </c>
      <c r="H1578" s="23" t="n">
        <v>10</v>
      </c>
      <c r="I1578" s="23" t="n">
        <v>30</v>
      </c>
      <c r="J1578" s="23" t="inlineStr">
        <is>
          <t>978-5-227-09563-3</t>
        </is>
      </c>
      <c r="K1578" s="23" t="inlineStr">
        <is>
          <t>70x100 1/32</t>
        </is>
      </c>
      <c r="L1578" s="23" t="inlineStr">
        <is>
          <t>мяг</t>
        </is>
      </c>
      <c r="M1578" s="23" t="n">
        <v>159</v>
      </c>
      <c r="N1578" s="23" t="n">
        <v>2021</v>
      </c>
      <c r="O1578" s="23" t="n">
        <v>76</v>
      </c>
      <c r="P1578" s="23" t="n"/>
      <c r="Q1578" s="23" t="n"/>
      <c r="R1578" s="25" t="n"/>
      <c r="S1578" s="26">
        <f>HYPERLINK("http://www.cnpol.ru/covers/20001.jpg","фото на сайте")</f>
        <v/>
      </c>
    </row>
    <row r="1579" ht="50.1" customHeight="1" s="3">
      <c r="A1579" s="23" t="n"/>
      <c r="B1579" s="24" t="inlineStr">
        <is>
          <t>20762</t>
        </is>
      </c>
      <c r="C1579" s="23" t="inlineStr">
        <is>
          <t>ЛР</t>
        </is>
      </c>
      <c r="D1579" s="23" t="inlineStr">
        <is>
          <t>Хьюит К.</t>
        </is>
      </c>
      <c r="E1579" s="23" t="inlineStr">
        <is>
          <t>Самая страстная Золушка</t>
        </is>
      </c>
      <c r="F1579" s="23" t="n">
        <v>1149</v>
      </c>
      <c r="G1579" s="23" t="n">
        <v>94</v>
      </c>
      <c r="H1579" s="23" t="n">
        <v>10</v>
      </c>
      <c r="I1579" s="23" t="n">
        <v>30</v>
      </c>
      <c r="J1579" s="23" t="inlineStr">
        <is>
          <t>978-5-227-10362-8</t>
        </is>
      </c>
      <c r="K1579" s="23" t="inlineStr">
        <is>
          <t>70x100 1/32</t>
        </is>
      </c>
      <c r="L1579" s="23" t="inlineStr">
        <is>
          <t>мяг</t>
        </is>
      </c>
      <c r="M1579" s="23" t="n">
        <v>159</v>
      </c>
      <c r="N1579" s="23" t="n">
        <v>2023</v>
      </c>
      <c r="O1579" s="23" t="n">
        <v>76</v>
      </c>
      <c r="P1579" s="23" t="n"/>
      <c r="Q1579" s="23" t="n"/>
      <c r="R1579" s="25" t="inlineStr">
        <is>
          <t>На балу, устроенном в одном из отелей семейной компании, Алессандро Росси знакомится с Эллой Эш. Они приятно проводят время, однако в полночь девушка убегает, не объяснив причины. Алессандро спешит за ней и на крыльце отеля встречает Лиан Бланшар, сводную сестру Эллы. Лиан не обладает яркой красотой сестры, однако ее интеллект, изящество и безупречные манеры покоряют убежденного холостяка Алессандро…</t>
        </is>
      </c>
      <c r="S1579" s="26">
        <f>HYPERLINK("http://www.cnpol.ru/covers/20762.jpg","фото на сайте")</f>
        <v/>
      </c>
    </row>
    <row r="1580" ht="50.1" customHeight="1" s="3">
      <c r="A1580" s="23" t="n"/>
      <c r="B1580" s="24" t="inlineStr">
        <is>
          <t>20013</t>
        </is>
      </c>
      <c r="C1580" s="23" t="inlineStr">
        <is>
          <t>ЛР</t>
        </is>
      </c>
      <c r="D1580" s="23" t="inlineStr">
        <is>
          <t>Брок Э.</t>
        </is>
      </c>
      <c r="E1580" s="23" t="inlineStr">
        <is>
          <t>Самое страстное перемирие</t>
        </is>
      </c>
      <c r="F1580" s="23" t="n">
        <v>1075</v>
      </c>
      <c r="G1580" s="23" t="n">
        <v>94</v>
      </c>
      <c r="H1580" s="23" t="n">
        <v>10</v>
      </c>
      <c r="I1580" s="23" t="n">
        <v>30</v>
      </c>
      <c r="J1580" s="23" t="inlineStr">
        <is>
          <t>978-5-227-09614-2</t>
        </is>
      </c>
      <c r="K1580" s="23" t="inlineStr">
        <is>
          <t>70x100 1/32</t>
        </is>
      </c>
      <c r="L1580" s="23" t="inlineStr">
        <is>
          <t>мяг</t>
        </is>
      </c>
      <c r="M1580" s="23" t="n">
        <v>159</v>
      </c>
      <c r="N1580" s="23" t="n">
        <v>2022</v>
      </c>
      <c r="O1580" s="23" t="n">
        <v>76</v>
      </c>
      <c r="P1580" s="23" t="n"/>
      <c r="Q1580" s="23" t="n"/>
      <c r="R1580" s="25" t="n"/>
      <c r="S1580" s="26">
        <f>HYPERLINK("http://www.cnpol.ru/covers/20013.jpg","фото на сайте")</f>
        <v/>
      </c>
    </row>
    <row r="1581" ht="50.1" customHeight="1" s="3">
      <c r="A1581" s="23" t="n"/>
      <c r="B1581" s="24" t="inlineStr">
        <is>
          <t>17784</t>
        </is>
      </c>
      <c r="C1581" s="23" t="inlineStr">
        <is>
          <t>ЛР</t>
        </is>
      </c>
      <c r="D1581" s="23" t="inlineStr">
        <is>
          <t>Портер Д.</t>
        </is>
      </c>
      <c r="E1581" s="23" t="inlineStr">
        <is>
          <t>Самый желанный мужчина</t>
        </is>
      </c>
      <c r="F1581" s="23" t="n">
        <v>764</v>
      </c>
      <c r="G1581" s="23" t="n">
        <v>94</v>
      </c>
      <c r="H1581" s="23" t="n">
        <v>10</v>
      </c>
      <c r="I1581" s="23" t="n">
        <v>30</v>
      </c>
      <c r="J1581" s="23" t="inlineStr">
        <is>
          <t>978-5-227-07726-4</t>
        </is>
      </c>
      <c r="K1581" s="23" t="inlineStr">
        <is>
          <t>70x100 1/32</t>
        </is>
      </c>
      <c r="L1581" s="23" t="inlineStr">
        <is>
          <t>мяг</t>
        </is>
      </c>
      <c r="M1581" s="23" t="n">
        <v>160</v>
      </c>
      <c r="N1581" s="23" t="n">
        <v>2017</v>
      </c>
      <c r="O1581" s="23" t="n">
        <v>76</v>
      </c>
      <c r="P1581" s="23" t="n"/>
      <c r="Q1581" s="23" t="n"/>
      <c r="R1581" s="25" t="n"/>
      <c r="S1581" s="26">
        <f>HYPERLINK("http://www.cnpol.ru/covers/17784.jpg","фото на сайте")</f>
        <v/>
      </c>
    </row>
    <row r="1582" ht="50.1" customHeight="1" s="3">
      <c r="A1582" s="23" t="n"/>
      <c r="B1582" s="24" t="inlineStr">
        <is>
          <t>19644</t>
        </is>
      </c>
      <c r="C1582" s="23" t="inlineStr">
        <is>
          <t>ЛР</t>
        </is>
      </c>
      <c r="D1582" s="23" t="inlineStr">
        <is>
          <t>Пемброк С.</t>
        </is>
      </c>
      <c r="E1582" s="23" t="inlineStr">
        <is>
          <t>Самый нежный поцелуй</t>
        </is>
      </c>
      <c r="F1582" s="23" t="n">
        <v>1034</v>
      </c>
      <c r="G1582" s="23" t="n">
        <v>94</v>
      </c>
      <c r="H1582" s="23" t="n">
        <v>10</v>
      </c>
      <c r="I1582" s="23" t="n">
        <v>30</v>
      </c>
      <c r="J1582" s="23" t="inlineStr">
        <is>
          <t>978-5-227-09290-8</t>
        </is>
      </c>
      <c r="K1582" s="23" t="inlineStr">
        <is>
          <t>70x100 1/32</t>
        </is>
      </c>
      <c r="L1582" s="23" t="inlineStr">
        <is>
          <t>мяг</t>
        </is>
      </c>
      <c r="M1582" s="23" t="n">
        <v>160</v>
      </c>
      <c r="N1582" s="23" t="n">
        <v>2021</v>
      </c>
      <c r="O1582" s="23" t="n">
        <v>76</v>
      </c>
      <c r="P1582" s="23" t="n"/>
      <c r="Q1582" s="23" t="n"/>
      <c r="R1582" s="25" t="n"/>
      <c r="S1582" s="26">
        <f>HYPERLINK("http://www.cnpol.ru/covers/19644.jpg","фото на сайте")</f>
        <v/>
      </c>
    </row>
    <row r="1583" ht="50.1" customHeight="1" s="3">
      <c r="A1583" s="23" t="n"/>
      <c r="B1583" s="24" t="inlineStr">
        <is>
          <t>18451</t>
        </is>
      </c>
      <c r="C1583" s="23" t="inlineStr">
        <is>
          <t>ЛР</t>
        </is>
      </c>
      <c r="D1583" s="23" t="inlineStr">
        <is>
          <t>Роско П.</t>
        </is>
      </c>
      <c r="E1583" s="23" t="inlineStr">
        <is>
          <t>Самый счастливый развод</t>
        </is>
      </c>
      <c r="F1583" s="23" t="n">
        <v>860</v>
      </c>
      <c r="G1583" s="23" t="n">
        <v>94</v>
      </c>
      <c r="H1583" s="23" t="n">
        <v>10</v>
      </c>
      <c r="I1583" s="23" t="n">
        <v>30</v>
      </c>
      <c r="J1583" s="23" t="inlineStr">
        <is>
          <t>978-5-227-08386-9</t>
        </is>
      </c>
      <c r="K1583" s="23" t="inlineStr">
        <is>
          <t>70x100 1/32</t>
        </is>
      </c>
      <c r="L1583" s="23" t="inlineStr">
        <is>
          <t>мяг</t>
        </is>
      </c>
      <c r="M1583" s="23" t="n">
        <v>160</v>
      </c>
      <c r="N1583" s="23" t="n">
        <v>2019</v>
      </c>
      <c r="O1583" s="23" t="n">
        <v>76</v>
      </c>
      <c r="P1583" s="23" t="n"/>
      <c r="Q1583" s="23" t="n"/>
      <c r="R1583" s="25" t="n"/>
      <c r="S1583" s="26">
        <f>HYPERLINK("http://www.cnpol.ru/covers/18451.jpg","фото на сайте")</f>
        <v/>
      </c>
    </row>
    <row r="1584" ht="50.1" customHeight="1" s="3">
      <c r="A1584" s="23" t="n"/>
      <c r="B1584" s="24" t="inlineStr">
        <is>
          <t>20735</t>
        </is>
      </c>
      <c r="C1584" s="23" t="inlineStr">
        <is>
          <t>ЛР</t>
        </is>
      </c>
      <c r="D1584" s="23" t="inlineStr">
        <is>
          <t>Стюарт Р.</t>
        </is>
      </c>
      <c r="E1584" s="23" t="inlineStr">
        <is>
          <t>Самый чувственный год</t>
        </is>
      </c>
      <c r="F1584" s="23" t="n">
        <v>1146</v>
      </c>
      <c r="G1584" s="23" t="n">
        <v>94</v>
      </c>
      <c r="H1584" s="23" t="n">
        <v>10</v>
      </c>
      <c r="I1584" s="23" t="n">
        <v>30</v>
      </c>
      <c r="J1584" s="23" t="inlineStr">
        <is>
          <t>978-5-227-10345-1</t>
        </is>
      </c>
      <c r="K1584" s="23" t="inlineStr">
        <is>
          <t>70x100 1/32</t>
        </is>
      </c>
      <c r="L1584" s="23" t="inlineStr">
        <is>
          <t>мяг</t>
        </is>
      </c>
      <c r="M1584" s="23" t="n">
        <v>159</v>
      </c>
      <c r="N1584" s="23" t="n">
        <v>2023</v>
      </c>
      <c r="O1584" s="23" t="n">
        <v>76</v>
      </c>
      <c r="P1584" s="23" t="n"/>
      <c r="Q1584" s="23" t="n"/>
      <c r="R1584" s="25" t="inlineStr">
        <is>
          <t>У Саммер Эванс было трудное детство: мать рано бросила ее и девочка успела сменить несколько приемных семей. При этом ее всегда считали «трудным ребенком». Но однажды она попадает в шотландский замок в семью пожилой леди Кэтрин и ее внука Эдварда… Саммер выросла, превратилась в прекрасную женщину, много путешествовала по миру, в то время как Эдвард стал миллионером. Они редко встречались, но помнили, как нравилось обоим когда-то их общение. И вот судьба вновь сводит их: перед смертью Кэтрин оставляет завещание, по которому Саммер вместе с Эдвардом должна владеть замком. Согласится ли Саммер на такие условия и сможет ли наконец обрести свой дом, о котором мечтала всю жизнь?</t>
        </is>
      </c>
      <c r="S1584" s="26">
        <f>HYPERLINK("http://www.cnpol.ru/covers/20735.jpg","фото на сайте")</f>
        <v/>
      </c>
    </row>
    <row r="1585" ht="50.1" customHeight="1" s="3">
      <c r="A1585" s="23" t="n"/>
      <c r="B1585" s="24" t="inlineStr">
        <is>
          <t>20736</t>
        </is>
      </c>
      <c r="C1585" s="23" t="inlineStr">
        <is>
          <t>ЛР</t>
        </is>
      </c>
      <c r="D1585" s="23" t="inlineStr">
        <is>
          <t>Коллинз Д.</t>
        </is>
      </c>
      <c r="E1585" s="23" t="inlineStr">
        <is>
          <t>Свадебная ночь в Париже</t>
        </is>
      </c>
      <c r="F1585" s="23" t="n">
        <v>1147</v>
      </c>
      <c r="G1585" s="23" t="n">
        <v>94</v>
      </c>
      <c r="H1585" s="23" t="n">
        <v>10</v>
      </c>
      <c r="I1585" s="23" t="n">
        <v>30</v>
      </c>
      <c r="J1585" s="23" t="inlineStr">
        <is>
          <t>978-5-227-10360-4</t>
        </is>
      </c>
      <c r="K1585" s="23" t="inlineStr">
        <is>
          <t>70x100 1/32</t>
        </is>
      </c>
      <c r="L1585" s="23" t="inlineStr">
        <is>
          <t>мяг</t>
        </is>
      </c>
      <c r="M1585" s="23" t="n">
        <v>159</v>
      </c>
      <c r="N1585" s="23" t="n">
        <v>2023</v>
      </c>
      <c r="O1585" s="23" t="n">
        <v>76</v>
      </c>
      <c r="P1585" s="23" t="n"/>
      <c r="Q1585" s="23" t="n"/>
      <c r="R1585" s="25" t="inlineStr">
        <is>
          <t>Чтобы сохранить свой бизнес, Иден Беллами должна выйти замуж по расчету. Ее свадьба неожиданно срывается, она убегает подальше от гостей и журналистов с шафером своего жениха, Реми Сильвеном. Наедине с Реми она понимает, что вспыхнувшую между ними страсть не остановить…</t>
        </is>
      </c>
      <c r="S1585" s="26">
        <f>HYPERLINK("http://www.cnpol.ru/covers/20736.jpg","фото на сайте")</f>
        <v/>
      </c>
    </row>
    <row r="1586" ht="50.1" customHeight="1" s="3">
      <c r="A1586" s="23" t="inlineStr">
        <is>
          <t>Н</t>
        </is>
      </c>
      <c r="B1586" s="24" t="inlineStr">
        <is>
          <t>21320</t>
        </is>
      </c>
      <c r="C1586" s="23" t="inlineStr">
        <is>
          <t>ЛР</t>
        </is>
      </c>
      <c r="D1586" s="23" t="inlineStr">
        <is>
          <t>Леммон Д.</t>
        </is>
      </c>
      <c r="E1586" s="23" t="inlineStr">
        <is>
          <t>Свадьба вместо скандала</t>
        </is>
      </c>
      <c r="F1586" s="23" t="n">
        <v>1183</v>
      </c>
      <c r="G1586" s="23" t="n">
        <v>94</v>
      </c>
      <c r="H1586" s="23" t="n">
        <v>10</v>
      </c>
      <c r="I1586" s="23" t="n">
        <v>30</v>
      </c>
      <c r="J1586" s="23" t="inlineStr">
        <is>
          <t>978-5-227-10565-3</t>
        </is>
      </c>
      <c r="K1586" s="23" t="inlineStr">
        <is>
          <t>70x100 1/32</t>
        </is>
      </c>
      <c r="L1586" s="23" t="inlineStr">
        <is>
          <t>мяг</t>
        </is>
      </c>
      <c r="M1586" s="23" t="n">
        <v>159</v>
      </c>
      <c r="N1586" s="23" t="n">
        <v>2024</v>
      </c>
      <c r="O1586" s="23" t="n">
        <v>76</v>
      </c>
      <c r="P1586" s="23" t="n"/>
      <c r="Q1586" s="23" t="n"/>
      <c r="R1586" s="25" t="inlineStr">
        <is>
          <t>Организатор свадеб Райли Медоуз не может позволить Патрику Макартуру, который срывает свадьбы знаменитостей, помешать ей в работе. Чтобы избежать потенциального скандала, она встречается с Патриком и заключает с ним сделку, которая выгодна им обоим.</t>
        </is>
      </c>
      <c r="S1586" s="26">
        <f>HYPERLINK("http://www.cnpol.ru/covers/21320.jpg","фото на сайте")</f>
        <v/>
      </c>
    </row>
    <row r="1587" ht="50.1" customHeight="1" s="3">
      <c r="A1587" s="23" t="n"/>
      <c r="B1587" s="24" t="inlineStr">
        <is>
          <t>20543</t>
        </is>
      </c>
      <c r="C1587" s="23" t="inlineStr">
        <is>
          <t>ЛР</t>
        </is>
      </c>
      <c r="D1587" s="23" t="inlineStr">
        <is>
          <t>Пемброк С.</t>
        </is>
      </c>
      <c r="E1587" s="23" t="inlineStr">
        <is>
          <t>Свадьба до знакомства</t>
        </is>
      </c>
      <c r="F1587" s="23" t="n">
        <v>1131</v>
      </c>
      <c r="G1587" s="23" t="n">
        <v>94</v>
      </c>
      <c r="H1587" s="23" t="n">
        <v>10</v>
      </c>
      <c r="I1587" s="23" t="n">
        <v>30</v>
      </c>
      <c r="J1587" s="23" t="inlineStr">
        <is>
          <t>978-5-227-10242-3</t>
        </is>
      </c>
      <c r="K1587" s="23" t="inlineStr">
        <is>
          <t>70x100 1/32</t>
        </is>
      </c>
      <c r="L1587" s="23" t="inlineStr">
        <is>
          <t>мяг</t>
        </is>
      </c>
      <c r="M1587" s="23" t="n">
        <v>159</v>
      </c>
      <c r="N1587" s="23" t="n">
        <v>2023</v>
      </c>
      <c r="O1587" s="23" t="n">
        <v>76</v>
      </c>
      <c r="P1587" s="23" t="n"/>
      <c r="Q1587" s="23" t="n"/>
      <c r="R1587" s="25" t="inlineStr">
        <is>
          <t>Проснувшись после бурной вечеринки, Тоби обнаружил, что женат на незнакомке. К тому же он странным образом унаследовал огромное состояние. Теперь ему предстоит узнать свою супругу и понять, что делать дальше со своей жизнью…</t>
        </is>
      </c>
      <c r="S1587" s="26">
        <f>HYPERLINK("http://www.cnpol.ru/covers/20543.jpg","фото на сайте")</f>
        <v/>
      </c>
    </row>
    <row r="1588" ht="50.1" customHeight="1" s="3">
      <c r="A1588" s="23" t="n"/>
      <c r="B1588" s="24" t="inlineStr">
        <is>
          <t>19422</t>
        </is>
      </c>
      <c r="C1588" s="23" t="inlineStr">
        <is>
          <t>ЛР</t>
        </is>
      </c>
      <c r="D1588" s="23" t="inlineStr">
        <is>
          <t>Тру К.</t>
        </is>
      </c>
      <c r="E1588" s="23" t="inlineStr">
        <is>
          <t>Свадьба или скандал?</t>
        </is>
      </c>
      <c r="F1588" s="23" t="n">
        <v>1006</v>
      </c>
      <c r="G1588" s="23" t="n">
        <v>94</v>
      </c>
      <c r="H1588" s="23" t="n">
        <v>10</v>
      </c>
      <c r="I1588" s="23" t="n">
        <v>30</v>
      </c>
      <c r="J1588" s="23" t="inlineStr">
        <is>
          <t>978-5-227-09110-9</t>
        </is>
      </c>
      <c r="K1588" s="23" t="inlineStr">
        <is>
          <t>70x100 1/32</t>
        </is>
      </c>
      <c r="L1588" s="23" t="inlineStr">
        <is>
          <t>мяг</t>
        </is>
      </c>
      <c r="M1588" s="23" t="n">
        <v>160</v>
      </c>
      <c r="N1588" s="23" t="n">
        <v>2020</v>
      </c>
      <c r="O1588" s="23" t="n">
        <v>76</v>
      </c>
      <c r="P1588" s="23" t="n"/>
      <c r="Q1588" s="23" t="n"/>
      <c r="R1588" s="25" t="n"/>
      <c r="S1588" s="26">
        <f>HYPERLINK("http://www.cnpol.ru/covers/19422.jpg","фото на сайте")</f>
        <v/>
      </c>
    </row>
    <row r="1589" ht="50.1" customHeight="1" s="3">
      <c r="A1589" s="23" t="n"/>
      <c r="B1589" s="24" t="inlineStr">
        <is>
          <t>17116</t>
        </is>
      </c>
      <c r="C1589" s="23" t="inlineStr">
        <is>
          <t>ЛР</t>
        </is>
      </c>
      <c r="D1589" s="23" t="inlineStr">
        <is>
          <t>Уильямс А.</t>
        </is>
      </c>
      <c r="E1589" s="23" t="inlineStr">
        <is>
          <t>Свадьба напоказ</t>
        </is>
      </c>
      <c r="F1589" s="23" t="n">
        <v>666</v>
      </c>
      <c r="G1589" s="23" t="n">
        <v>94</v>
      </c>
      <c r="H1589" s="23" t="n">
        <v>10</v>
      </c>
      <c r="I1589" s="23" t="n">
        <v>30</v>
      </c>
      <c r="J1589" s="23" t="inlineStr">
        <is>
          <t>978-5-227-07116-3</t>
        </is>
      </c>
      <c r="K1589" s="23" t="inlineStr">
        <is>
          <t>70x100 1/32</t>
        </is>
      </c>
      <c r="L1589" s="23" t="inlineStr">
        <is>
          <t>мяг</t>
        </is>
      </c>
      <c r="M1589" s="23" t="n">
        <v>160</v>
      </c>
      <c r="N1589" s="23" t="n">
        <v>2016</v>
      </c>
      <c r="O1589" s="23" t="n">
        <v>76</v>
      </c>
      <c r="P1589" s="23" t="n"/>
      <c r="Q1589" s="23" t="n"/>
      <c r="R1589" s="25" t="n"/>
      <c r="S1589" s="26">
        <f>HYPERLINK("http://www.cnpol.ru/covers/17116.jpg","фото на сайте")</f>
        <v/>
      </c>
    </row>
    <row r="1590" ht="50.1" customHeight="1" s="3">
      <c r="A1590" s="23" t="n"/>
      <c r="B1590" s="24" t="inlineStr">
        <is>
          <t>19336</t>
        </is>
      </c>
      <c r="C1590" s="23" t="inlineStr">
        <is>
          <t>ЛР</t>
        </is>
      </c>
      <c r="D1590" s="23" t="inlineStr">
        <is>
          <t>Смарт М.</t>
        </is>
      </c>
      <c r="E1590" s="23" t="inlineStr">
        <is>
          <t>Свадьба по ее правилам</t>
        </is>
      </c>
      <c r="F1590" s="23" t="n">
        <v>997</v>
      </c>
      <c r="G1590" s="23" t="n">
        <v>94</v>
      </c>
      <c r="H1590" s="23" t="n">
        <v>10</v>
      </c>
      <c r="I1590" s="23" t="n">
        <v>30</v>
      </c>
      <c r="J1590" s="23" t="inlineStr">
        <is>
          <t>978-5-227-09077-5</t>
        </is>
      </c>
      <c r="K1590" s="23" t="inlineStr">
        <is>
          <t>70x100 1/32</t>
        </is>
      </c>
      <c r="L1590" s="23" t="inlineStr">
        <is>
          <t>мяг</t>
        </is>
      </c>
      <c r="M1590" s="23" t="n">
        <v>160</v>
      </c>
      <c r="N1590" s="23" t="n">
        <v>2020</v>
      </c>
      <c r="O1590" s="23" t="n">
        <v>76</v>
      </c>
      <c r="P1590" s="23" t="n"/>
      <c r="Q1590" s="23" t="n"/>
      <c r="R1590" s="25" t="n"/>
      <c r="S1590" s="26">
        <f>HYPERLINK("http://www.cnpol.ru/covers/19336.jpg","фото на сайте")</f>
        <v/>
      </c>
    </row>
    <row r="1591" ht="50.1" customHeight="1" s="3">
      <c r="A1591" s="23" t="n"/>
      <c r="B1591" s="24" t="inlineStr">
        <is>
          <t>19445</t>
        </is>
      </c>
      <c r="C1591" s="23" t="inlineStr">
        <is>
          <t>ЛР</t>
        </is>
      </c>
      <c r="D1591" s="23" t="inlineStr">
        <is>
          <t>Пемброк С.</t>
        </is>
      </c>
      <c r="E1591" s="23" t="inlineStr">
        <is>
          <t>Свадьба с гарантией</t>
        </is>
      </c>
      <c r="F1591" s="23" t="n">
        <v>1011</v>
      </c>
      <c r="G1591" s="23" t="n">
        <v>94</v>
      </c>
      <c r="H1591" s="23" t="n">
        <v>10</v>
      </c>
      <c r="I1591" s="23" t="n">
        <v>30</v>
      </c>
      <c r="J1591" s="23" t="inlineStr">
        <is>
          <t>978-5-227-09149-9</t>
        </is>
      </c>
      <c r="K1591" s="23" t="inlineStr">
        <is>
          <t>70x100 1/32</t>
        </is>
      </c>
      <c r="L1591" s="23" t="inlineStr">
        <is>
          <t>мяг</t>
        </is>
      </c>
      <c r="M1591" s="23" t="n">
        <v>160</v>
      </c>
      <c r="N1591" s="23" t="n">
        <v>2020</v>
      </c>
      <c r="O1591" s="23" t="n">
        <v>76</v>
      </c>
      <c r="P1591" s="23" t="n"/>
      <c r="Q1591" s="23" t="n"/>
      <c r="R1591" s="25" t="n"/>
      <c r="S1591" s="26">
        <f>HYPERLINK("http://www.cnpol.ru/covers/19445.jpg","фото на сайте")</f>
        <v/>
      </c>
    </row>
    <row r="1592" ht="50.1" customHeight="1" s="3">
      <c r="A1592" s="23" t="n"/>
      <c r="B1592" s="24" t="inlineStr">
        <is>
          <t>16628</t>
        </is>
      </c>
      <c r="C1592" s="23" t="inlineStr">
        <is>
          <t>ЛР</t>
        </is>
      </c>
      <c r="D1592" s="23" t="inlineStr">
        <is>
          <t>Пэмми Т.</t>
        </is>
      </c>
      <c r="E1592" s="23" t="inlineStr">
        <is>
          <t>Свет твоей любви</t>
        </is>
      </c>
      <c r="F1592" s="23" t="n">
        <v>600</v>
      </c>
      <c r="G1592" s="23" t="n">
        <v>94</v>
      </c>
      <c r="H1592" s="23" t="n">
        <v>10</v>
      </c>
      <c r="I1592" s="23" t="n">
        <v>30</v>
      </c>
      <c r="J1592" s="23" t="inlineStr">
        <is>
          <t>978-5-227-06530-8</t>
        </is>
      </c>
      <c r="K1592" s="23" t="inlineStr">
        <is>
          <t>70x100 1/32</t>
        </is>
      </c>
      <c r="L1592" s="23" t="inlineStr">
        <is>
          <t>мяг</t>
        </is>
      </c>
      <c r="M1592" s="23" t="n">
        <v>160</v>
      </c>
      <c r="N1592" s="23" t="n">
        <v>2016</v>
      </c>
      <c r="O1592" s="23" t="n">
        <v>76</v>
      </c>
      <c r="P1592" s="23" t="n"/>
      <c r="Q1592" s="23" t="n"/>
      <c r="R1592" s="25" t="n"/>
      <c r="S1592" s="26">
        <f>HYPERLINK("http://www.cnpol.ru/covers/16628.jpg","фото на сайте")</f>
        <v/>
      </c>
    </row>
    <row r="1593" ht="50.1" customHeight="1" s="3">
      <c r="A1593" s="23" t="n"/>
      <c r="B1593" s="24" t="inlineStr">
        <is>
          <t>20109</t>
        </is>
      </c>
      <c r="C1593" s="23" t="inlineStr">
        <is>
          <t>ЛР</t>
        </is>
      </c>
      <c r="D1593" s="23" t="inlineStr">
        <is>
          <t>Дуглас М.</t>
        </is>
      </c>
      <c r="E1593" s="23" t="inlineStr">
        <is>
          <t>Свидание в Сингапуре</t>
        </is>
      </c>
      <c r="F1593" s="23" t="n">
        <v>1081</v>
      </c>
      <c r="G1593" s="23" t="n">
        <v>94</v>
      </c>
      <c r="H1593" s="23" t="n">
        <v>10</v>
      </c>
      <c r="I1593" s="23" t="n">
        <v>30</v>
      </c>
      <c r="J1593" s="23" t="inlineStr">
        <is>
          <t>978-5-227-09612-8</t>
        </is>
      </c>
      <c r="K1593" s="23" t="inlineStr">
        <is>
          <t>70x100 1/32</t>
        </is>
      </c>
      <c r="L1593" s="23" t="inlineStr">
        <is>
          <t>мяг</t>
        </is>
      </c>
      <c r="M1593" s="23" t="n">
        <v>159</v>
      </c>
      <c r="N1593" s="23" t="n">
        <v>2022</v>
      </c>
      <c r="O1593" s="23" t="n">
        <v>76</v>
      </c>
      <c r="P1593" s="23" t="n"/>
      <c r="Q1593" s="23" t="n"/>
      <c r="R1593" s="25" t="n"/>
      <c r="S1593" s="26">
        <f>HYPERLINK("http://www.cnpol.ru/covers/20109.jpg","фото на сайте")</f>
        <v/>
      </c>
    </row>
    <row r="1594" ht="50.1" customHeight="1" s="3">
      <c r="A1594" s="23" t="n"/>
      <c r="B1594" s="24" t="inlineStr">
        <is>
          <t>20575</t>
        </is>
      </c>
      <c r="C1594" s="23" t="inlineStr">
        <is>
          <t>ЛР</t>
        </is>
      </c>
      <c r="D1594" s="23" t="inlineStr">
        <is>
          <t>Рок Джоанна</t>
        </is>
      </c>
      <c r="E1594" s="23" t="inlineStr">
        <is>
          <t>Свидание в Скалистых горах</t>
        </is>
      </c>
      <c r="F1594" s="23" t="n">
        <v>1132</v>
      </c>
      <c r="G1594" s="23" t="n">
        <v>94</v>
      </c>
      <c r="H1594" s="23" t="n">
        <v>10</v>
      </c>
      <c r="I1594" s="23" t="n">
        <v>30</v>
      </c>
      <c r="J1594" s="23" t="inlineStr">
        <is>
          <t>978-5-227-10283-6</t>
        </is>
      </c>
      <c r="K1594" s="23" t="inlineStr">
        <is>
          <t>70x100 1/32</t>
        </is>
      </c>
      <c r="L1594" s="23" t="inlineStr">
        <is>
          <t>мяг</t>
        </is>
      </c>
      <c r="M1594" s="23" t="n">
        <v>159</v>
      </c>
      <c r="N1594" s="23" t="n">
        <v>2023</v>
      </c>
      <c r="O1594" s="23" t="n">
        <v>76</v>
      </c>
      <c r="P1594" s="23" t="n"/>
      <c r="Q1594" s="23" t="n"/>
      <c r="R1594" s="25" t="inlineStr">
        <is>
          <t>Пять лет назад Дрейк заставил Флер разорвать помолвку с его братом. И вот теперь она снова появилась в их городе. Прежняя взаимная вражда вспыхнула с новой силой и привела их… в постель. Если от любви до ненависти один шаг, справедливо ли обратное утверждение?</t>
        </is>
      </c>
      <c r="S1594" s="26">
        <f>HYPERLINK("http://www.cnpol.ru/covers/20575.jpg","фото на сайте")</f>
        <v/>
      </c>
    </row>
    <row r="1595" ht="50.1" customHeight="1" s="3">
      <c r="A1595" s="23" t="n"/>
      <c r="B1595" s="24" t="inlineStr">
        <is>
          <t>17656</t>
        </is>
      </c>
      <c r="C1595" s="23" t="inlineStr">
        <is>
          <t>ЛР</t>
        </is>
      </c>
      <c r="D1595" s="23" t="inlineStr">
        <is>
          <t>Уоллис Бадж</t>
        </is>
      </c>
      <c r="E1595" s="23" t="inlineStr">
        <is>
          <t>Свидание напоказ</t>
        </is>
      </c>
      <c r="F1595" s="23" t="n">
        <v>747</v>
      </c>
      <c r="G1595" s="23" t="n">
        <v>94</v>
      </c>
      <c r="H1595" s="23" t="n">
        <v>10</v>
      </c>
      <c r="I1595" s="23" t="n">
        <v>30</v>
      </c>
      <c r="J1595" s="23" t="inlineStr">
        <is>
          <t>978-5-227-07683-0</t>
        </is>
      </c>
      <c r="K1595" s="23" t="inlineStr">
        <is>
          <t>70x100 1/32</t>
        </is>
      </c>
      <c r="L1595" s="23" t="inlineStr">
        <is>
          <t>мяг</t>
        </is>
      </c>
      <c r="M1595" s="23" t="n">
        <v>160</v>
      </c>
      <c r="N1595" s="23" t="n">
        <v>2017</v>
      </c>
      <c r="O1595" s="23" t="n">
        <v>76</v>
      </c>
      <c r="P1595" s="23" t="n"/>
      <c r="Q1595" s="23" t="n"/>
      <c r="R1595" s="25" t="n"/>
      <c r="S1595" s="26">
        <f>HYPERLINK("http://www.cnpol.ru/covers/17656.jpg","фото на сайте")</f>
        <v/>
      </c>
    </row>
    <row r="1596" ht="50.1" customHeight="1" s="3">
      <c r="A1596" s="23" t="n"/>
      <c r="B1596" s="24" t="inlineStr">
        <is>
          <t>15968</t>
        </is>
      </c>
      <c r="C1596" s="23" t="inlineStr">
        <is>
          <t>ЛР</t>
        </is>
      </c>
      <c r="D1596" s="23" t="inlineStr">
        <is>
          <t>Мортимер К.</t>
        </is>
      </c>
      <c r="E1596" s="23" t="inlineStr">
        <is>
          <t>Свидание с ангелом</t>
        </is>
      </c>
      <c r="F1596" s="23" t="n">
        <v>513</v>
      </c>
      <c r="G1596" s="23" t="n">
        <v>94</v>
      </c>
      <c r="H1596" s="23" t="n">
        <v>10</v>
      </c>
      <c r="I1596" s="23" t="n">
        <v>30</v>
      </c>
      <c r="J1596" s="23" t="inlineStr">
        <is>
          <t>978-5-227-05922-2</t>
        </is>
      </c>
      <c r="K1596" s="23" t="inlineStr">
        <is>
          <t>70x100 1/32</t>
        </is>
      </c>
      <c r="L1596" s="23" t="inlineStr">
        <is>
          <t>мяг</t>
        </is>
      </c>
      <c r="M1596" s="23" t="n">
        <v>158</v>
      </c>
      <c r="N1596" s="23" t="n">
        <v>2015</v>
      </c>
      <c r="O1596" s="23" t="n">
        <v>78</v>
      </c>
      <c r="P1596" s="23" t="n"/>
      <c r="Q1596" s="23" t="n"/>
      <c r="R1596" s="25" t="n"/>
      <c r="S1596" s="26">
        <f>HYPERLINK("http://www.cnpol.ru/covers/15968.jpg","фото на сайте")</f>
        <v/>
      </c>
    </row>
    <row r="1597" ht="50.1" customHeight="1" s="3">
      <c r="A1597" s="23" t="n"/>
      <c r="B1597" s="24" t="inlineStr">
        <is>
          <t>15914</t>
        </is>
      </c>
      <c r="C1597" s="23" t="inlineStr">
        <is>
          <t>ЛР</t>
        </is>
      </c>
      <c r="D1597" s="23" t="inlineStr">
        <is>
          <t>Карпентер Т.</t>
        </is>
      </c>
      <c r="E1597" s="23" t="inlineStr">
        <is>
          <t>Свидание с боссом</t>
        </is>
      </c>
      <c r="F1597" s="23" t="n">
        <v>505</v>
      </c>
      <c r="G1597" s="23" t="n">
        <v>94</v>
      </c>
      <c r="H1597" s="23" t="n">
        <v>10</v>
      </c>
      <c r="I1597" s="23" t="n">
        <v>30</v>
      </c>
      <c r="J1597" s="23" t="inlineStr">
        <is>
          <t>978-5-227-05837-9</t>
        </is>
      </c>
      <c r="K1597" s="23" t="inlineStr">
        <is>
          <t>70x100 1/32</t>
        </is>
      </c>
      <c r="L1597" s="23" t="inlineStr">
        <is>
          <t>мяг</t>
        </is>
      </c>
      <c r="M1597" s="23" t="n">
        <v>158</v>
      </c>
      <c r="N1597" s="23" t="n">
        <v>2015</v>
      </c>
      <c r="O1597" s="23" t="n">
        <v>78</v>
      </c>
      <c r="P1597" s="23" t="n"/>
      <c r="Q1597" s="23" t="n"/>
      <c r="R1597" s="25" t="n"/>
      <c r="S1597" s="26">
        <f>HYPERLINK("http://www.cnpol.ru/covers/15914.jpg","фото на сайте")</f>
        <v/>
      </c>
    </row>
    <row r="1598" ht="50.1" customHeight="1" s="3">
      <c r="A1598" s="23" t="n"/>
      <c r="B1598" s="24" t="inlineStr">
        <is>
          <t>15364</t>
        </is>
      </c>
      <c r="C1598" s="23" t="inlineStr">
        <is>
          <t>ЛР</t>
        </is>
      </c>
      <c r="D1598" s="23" t="inlineStr">
        <is>
          <t>Ханней Б.</t>
        </is>
      </c>
      <c r="E1598" s="23" t="inlineStr">
        <is>
          <t>Свидание с мечтой</t>
        </is>
      </c>
      <c r="F1598" s="23" t="n">
        <v>432</v>
      </c>
      <c r="G1598" s="23" t="n">
        <v>94</v>
      </c>
      <c r="H1598" s="23" t="n">
        <v>10</v>
      </c>
      <c r="I1598" s="23" t="n">
        <v>30</v>
      </c>
      <c r="J1598" s="23" t="inlineStr">
        <is>
          <t>978-5-227-05309-1</t>
        </is>
      </c>
      <c r="K1598" s="23" t="inlineStr">
        <is>
          <t>70x100 1/32</t>
        </is>
      </c>
      <c r="L1598" s="23" t="inlineStr">
        <is>
          <t>мяг</t>
        </is>
      </c>
      <c r="M1598" s="23" t="n">
        <v>158</v>
      </c>
      <c r="N1598" s="23" t="n">
        <v>2014</v>
      </c>
      <c r="O1598" s="23" t="n">
        <v>76</v>
      </c>
      <c r="P1598" s="23" t="n"/>
      <c r="Q1598" s="23" t="n"/>
      <c r="R1598" s="25" t="n"/>
      <c r="S1598" s="26">
        <f>HYPERLINK("http://www.cnpol.ru/covers/15364.jpg","фото на сайте")</f>
        <v/>
      </c>
    </row>
    <row r="1599" ht="50.1" customHeight="1" s="3">
      <c r="A1599" s="23" t="n"/>
      <c r="B1599" s="24" t="inlineStr">
        <is>
          <t>17201</t>
        </is>
      </c>
      <c r="C1599" s="23" t="inlineStr">
        <is>
          <t>ЛР</t>
        </is>
      </c>
      <c r="D1599" s="23" t="inlineStr">
        <is>
          <t>Армстронг Л.</t>
        </is>
      </c>
      <c r="E1599" s="23" t="inlineStr">
        <is>
          <t>Свидание с прошлым</t>
        </is>
      </c>
      <c r="F1599" s="23" t="n">
        <v>677</v>
      </c>
      <c r="G1599" s="23" t="n">
        <v>94</v>
      </c>
      <c r="H1599" s="23" t="n">
        <v>10</v>
      </c>
      <c r="I1599" s="23" t="n">
        <v>30</v>
      </c>
      <c r="J1599" s="23" t="inlineStr">
        <is>
          <t>978-5-227-07205-4</t>
        </is>
      </c>
      <c r="K1599" s="23" t="inlineStr">
        <is>
          <t>70x100 1/32</t>
        </is>
      </c>
      <c r="L1599" s="23" t="inlineStr">
        <is>
          <t>мяг</t>
        </is>
      </c>
      <c r="M1599" s="23" t="n">
        <v>160</v>
      </c>
      <c r="N1599" s="23" t="n">
        <v>2016</v>
      </c>
      <c r="O1599" s="23" t="n">
        <v>76</v>
      </c>
      <c r="P1599" s="23" t="n"/>
      <c r="Q1599" s="23" t="n"/>
      <c r="R1599" s="25" t="n"/>
      <c r="S1599" s="26">
        <f>HYPERLINK("http://www.cnpol.ru/covers/17201.jpg","фото на сайте")</f>
        <v/>
      </c>
    </row>
    <row r="1600" ht="50.1" customHeight="1" s="3">
      <c r="A1600" s="23" t="n"/>
      <c r="B1600" s="24" t="inlineStr">
        <is>
          <t>15430</t>
        </is>
      </c>
      <c r="C1600" s="23" t="inlineStr">
        <is>
          <t>ЛР</t>
        </is>
      </c>
      <c r="D1600" s="23" t="inlineStr">
        <is>
          <t>Морган С.</t>
        </is>
      </c>
      <c r="E1600" s="23" t="inlineStr">
        <is>
          <t>Свободная и счастливая</t>
        </is>
      </c>
      <c r="F1600" s="23" t="n">
        <v>440</v>
      </c>
      <c r="G1600" s="23" t="n">
        <v>94</v>
      </c>
      <c r="H1600" s="23" t="n">
        <v>10</v>
      </c>
      <c r="I1600" s="23" t="n">
        <v>30</v>
      </c>
      <c r="J1600" s="23" t="inlineStr">
        <is>
          <t>978-5-227-05427-2</t>
        </is>
      </c>
      <c r="K1600" s="23" t="inlineStr">
        <is>
          <t>70x100 1/32</t>
        </is>
      </c>
      <c r="L1600" s="23" t="inlineStr">
        <is>
          <t>мяг</t>
        </is>
      </c>
      <c r="M1600" s="23" t="n">
        <v>158</v>
      </c>
      <c r="N1600" s="23" t="n">
        <v>2014</v>
      </c>
      <c r="O1600" s="23" t="n">
        <v>78</v>
      </c>
      <c r="P1600" s="23" t="n"/>
      <c r="Q1600" s="23" t="n"/>
      <c r="R1600" s="25" t="n"/>
      <c r="S1600" s="26">
        <f>HYPERLINK("http://www.cnpol.ru/covers/15430.jpg","фото на сайте")</f>
        <v/>
      </c>
    </row>
    <row r="1601" ht="50.1" customHeight="1" s="3">
      <c r="A1601" s="23" t="n"/>
      <c r="B1601" s="24" t="inlineStr">
        <is>
          <t>16933</t>
        </is>
      </c>
      <c r="C1601" s="23" t="inlineStr">
        <is>
          <t>ЛР</t>
        </is>
      </c>
      <c r="D1601" s="23" t="inlineStr">
        <is>
          <t>Смарт М.</t>
        </is>
      </c>
      <c r="E1601" s="23" t="inlineStr">
        <is>
          <t>Своенравная невеста</t>
        </is>
      </c>
      <c r="F1601" s="23" t="n">
        <v>640</v>
      </c>
      <c r="G1601" s="23" t="n">
        <v>94</v>
      </c>
      <c r="H1601" s="23" t="n">
        <v>10</v>
      </c>
      <c r="I1601" s="23" t="n">
        <v>30</v>
      </c>
      <c r="J1601" s="23" t="inlineStr">
        <is>
          <t>978-5-227-06854-5</t>
        </is>
      </c>
      <c r="K1601" s="23" t="inlineStr">
        <is>
          <t>70x100 1/32</t>
        </is>
      </c>
      <c r="L1601" s="23" t="inlineStr">
        <is>
          <t>мяг</t>
        </is>
      </c>
      <c r="M1601" s="23" t="n">
        <v>160</v>
      </c>
      <c r="N1601" s="23" t="n">
        <v>2016</v>
      </c>
      <c r="O1601" s="23" t="n">
        <v>76</v>
      </c>
      <c r="P1601" s="23" t="n"/>
      <c r="Q1601" s="23" t="n"/>
      <c r="R1601" s="25" t="n"/>
      <c r="S1601" s="26">
        <f>HYPERLINK("http://www.cnpol.ru/covers/16933.jpg","фото на сайте")</f>
        <v/>
      </c>
    </row>
    <row r="1602" ht="50.1" customHeight="1" s="3">
      <c r="A1602" s="23" t="n"/>
      <c r="B1602" s="24" t="inlineStr">
        <is>
          <t>19049</t>
        </is>
      </c>
      <c r="C1602" s="23" t="inlineStr">
        <is>
          <t>ЛР</t>
        </is>
      </c>
      <c r="D1602" s="23" t="inlineStr">
        <is>
          <t>Милберн М.</t>
        </is>
      </c>
      <c r="E1602" s="23" t="inlineStr">
        <is>
          <t>Связанные ночной клятвой</t>
        </is>
      </c>
      <c r="F1602" s="23" t="n">
        <v>960</v>
      </c>
      <c r="G1602" s="23" t="n">
        <v>94</v>
      </c>
      <c r="H1602" s="23" t="n">
        <v>10</v>
      </c>
      <c r="I1602" s="23" t="n">
        <v>30</v>
      </c>
      <c r="J1602" s="23" t="inlineStr">
        <is>
          <t>978-5-227-08913-7</t>
        </is>
      </c>
      <c r="K1602" s="23" t="inlineStr">
        <is>
          <t>70x100 1/32</t>
        </is>
      </c>
      <c r="L1602" s="23" t="inlineStr">
        <is>
          <t>мяг</t>
        </is>
      </c>
      <c r="M1602" s="23" t="n">
        <v>160</v>
      </c>
      <c r="N1602" s="23" t="n">
        <v>2020</v>
      </c>
      <c r="O1602" s="23" t="n">
        <v>76</v>
      </c>
      <c r="P1602" s="23" t="n"/>
      <c r="Q1602" s="23" t="n"/>
      <c r="R1602" s="25" t="n"/>
      <c r="S1602" s="26">
        <f>HYPERLINK("http://www.cnpol.ru/covers/19049.jpg","фото на сайте")</f>
        <v/>
      </c>
    </row>
    <row r="1603" ht="50.1" customHeight="1" s="3">
      <c r="A1603" s="23" t="n"/>
      <c r="B1603" s="24" t="inlineStr">
        <is>
          <t>19427</t>
        </is>
      </c>
      <c r="C1603" s="23" t="inlineStr">
        <is>
          <t>ЛР</t>
        </is>
      </c>
      <c r="D1603" s="23" t="inlineStr">
        <is>
          <t>Крюс К.</t>
        </is>
      </c>
      <c r="E1603" s="23" t="inlineStr">
        <is>
          <t>Сделай первый шаг</t>
        </is>
      </c>
      <c r="F1603" s="23" t="n">
        <v>1009</v>
      </c>
      <c r="G1603" s="23" t="n">
        <v>94</v>
      </c>
      <c r="H1603" s="23" t="n">
        <v>10</v>
      </c>
      <c r="I1603" s="23" t="n">
        <v>30</v>
      </c>
      <c r="J1603" s="23" t="inlineStr">
        <is>
          <t>978-5-227-09113-0</t>
        </is>
      </c>
      <c r="K1603" s="23" t="inlineStr">
        <is>
          <t>70x100 1/32</t>
        </is>
      </c>
      <c r="L1603" s="23" t="inlineStr">
        <is>
          <t>мяг</t>
        </is>
      </c>
      <c r="M1603" s="23" t="n">
        <v>160</v>
      </c>
      <c r="N1603" s="23" t="n">
        <v>2020</v>
      </c>
      <c r="O1603" s="23" t="n">
        <v>76</v>
      </c>
      <c r="P1603" s="23" t="n"/>
      <c r="Q1603" s="23" t="n"/>
      <c r="R1603" s="25" t="n"/>
      <c r="S1603" s="26">
        <f>HYPERLINK("http://www.cnpol.ru/covers/19427.jpg","фото на сайте")</f>
        <v/>
      </c>
    </row>
    <row r="1604" ht="50.1" customHeight="1" s="3">
      <c r="A1604" s="23" t="n"/>
      <c r="B1604" s="24" t="inlineStr">
        <is>
          <t>15953</t>
        </is>
      </c>
      <c r="C1604" s="23" t="inlineStr">
        <is>
          <t>ЛР</t>
        </is>
      </c>
      <c r="D1604" s="23" t="inlineStr">
        <is>
          <t>Томас Р.</t>
        </is>
      </c>
      <c r="E1604" s="23" t="inlineStr">
        <is>
          <t>Сделка перед алтарем</t>
        </is>
      </c>
      <c r="F1604" s="23" t="n">
        <v>509</v>
      </c>
      <c r="G1604" s="23" t="n">
        <v>94</v>
      </c>
      <c r="H1604" s="23" t="n">
        <v>10</v>
      </c>
      <c r="I1604" s="23" t="n">
        <v>30</v>
      </c>
      <c r="J1604" s="23" t="inlineStr">
        <is>
          <t>978-5-227-05858-4</t>
        </is>
      </c>
      <c r="K1604" s="23" t="inlineStr">
        <is>
          <t>70x100 1/32</t>
        </is>
      </c>
      <c r="L1604" s="23" t="inlineStr">
        <is>
          <t>мяг</t>
        </is>
      </c>
      <c r="M1604" s="23" t="n">
        <v>158</v>
      </c>
      <c r="N1604" s="23" t="n">
        <v>2015</v>
      </c>
      <c r="O1604" s="23" t="n">
        <v>78</v>
      </c>
      <c r="P1604" s="23" t="n"/>
      <c r="Q1604" s="23" t="n"/>
      <c r="R1604" s="25" t="n"/>
      <c r="S1604" s="26">
        <f>HYPERLINK("http://www.cnpol.ru/covers/15953.jpg","фото на сайте")</f>
        <v/>
      </c>
    </row>
    <row r="1605" ht="50.1" customHeight="1" s="3">
      <c r="A1605" s="23" t="n"/>
      <c r="B1605" s="24" t="inlineStr">
        <is>
          <t>15913</t>
        </is>
      </c>
      <c r="C1605" s="23" t="inlineStr">
        <is>
          <t>ЛР</t>
        </is>
      </c>
      <c r="D1605" s="23" t="inlineStr">
        <is>
          <t>Мортимер К.</t>
        </is>
      </c>
      <c r="E1605" s="23" t="inlineStr">
        <is>
          <t>Сделка с врагом</t>
        </is>
      </c>
      <c r="F1605" s="23" t="n">
        <v>504</v>
      </c>
      <c r="G1605" s="23" t="n">
        <v>94</v>
      </c>
      <c r="H1605" s="23" t="n">
        <v>10</v>
      </c>
      <c r="I1605" s="23" t="n">
        <v>30</v>
      </c>
      <c r="J1605" s="23" t="inlineStr">
        <is>
          <t>978-5-227-05836-2</t>
        </is>
      </c>
      <c r="K1605" s="23" t="inlineStr">
        <is>
          <t>70x100 1/32</t>
        </is>
      </c>
      <c r="L1605" s="23" t="inlineStr">
        <is>
          <t>мяг</t>
        </is>
      </c>
      <c r="M1605" s="23" t="n">
        <v>158</v>
      </c>
      <c r="N1605" s="23" t="n">
        <v>2015</v>
      </c>
      <c r="O1605" s="23" t="n">
        <v>78</v>
      </c>
      <c r="P1605" s="23" t="n"/>
      <c r="Q1605" s="23" t="n"/>
      <c r="R1605" s="25" t="n"/>
      <c r="S1605" s="26">
        <f>HYPERLINK("http://www.cnpol.ru/covers/15913.jpg","фото на сайте")</f>
        <v/>
      </c>
    </row>
    <row r="1606" ht="50.1" customHeight="1" s="3">
      <c r="A1606" s="23" t="n"/>
      <c r="B1606" s="24" t="inlineStr">
        <is>
          <t>16807</t>
        </is>
      </c>
      <c r="C1606" s="23" t="inlineStr">
        <is>
          <t>ЛР</t>
        </is>
      </c>
      <c r="D1606" s="23" t="inlineStr">
        <is>
          <t>Колтер К.</t>
        </is>
      </c>
      <c r="E1606" s="23" t="inlineStr">
        <is>
          <t>Сейчас и навсегда</t>
        </is>
      </c>
      <c r="F1606" s="23" t="n">
        <v>624</v>
      </c>
      <c r="G1606" s="23" t="n">
        <v>94</v>
      </c>
      <c r="H1606" s="23" t="n">
        <v>10</v>
      </c>
      <c r="I1606" s="23" t="n">
        <v>30</v>
      </c>
      <c r="J1606" s="23" t="inlineStr">
        <is>
          <t>978-5-227-06785-2</t>
        </is>
      </c>
      <c r="K1606" s="23" t="inlineStr">
        <is>
          <t>70x100 1/32</t>
        </is>
      </c>
      <c r="L1606" s="23" t="inlineStr">
        <is>
          <t>мяг</t>
        </is>
      </c>
      <c r="M1606" s="23" t="n">
        <v>160</v>
      </c>
      <c r="N1606" s="23" t="n">
        <v>2016</v>
      </c>
      <c r="O1606" s="23" t="n">
        <v>76</v>
      </c>
      <c r="P1606" s="23" t="n"/>
      <c r="Q1606" s="23" t="n"/>
      <c r="R1606" s="25" t="n"/>
      <c r="S1606" s="26">
        <f>HYPERLINK("http://www.cnpol.ru/covers/16807.jpg","фото на сайте")</f>
        <v/>
      </c>
    </row>
    <row r="1607" ht="50.1" customHeight="1" s="3">
      <c r="A1607" s="23" t="n"/>
      <c r="B1607" s="24" t="inlineStr">
        <is>
          <t>16572</t>
        </is>
      </c>
      <c r="C1607" s="23" t="inlineStr">
        <is>
          <t>ЛР</t>
        </is>
      </c>
      <c r="D1607" s="23" t="inlineStr">
        <is>
          <t>Уильямс А.</t>
        </is>
      </c>
      <c r="E1607" s="23" t="inlineStr">
        <is>
          <t>Секрет для двоих</t>
        </is>
      </c>
      <c r="F1607" s="23" t="n">
        <v>592</v>
      </c>
      <c r="G1607" s="23" t="n">
        <v>94</v>
      </c>
      <c r="H1607" s="23" t="n">
        <v>10</v>
      </c>
      <c r="I1607" s="23" t="n">
        <v>30</v>
      </c>
      <c r="J1607" s="23" t="inlineStr">
        <is>
          <t>978-5-227-06488-2</t>
        </is>
      </c>
      <c r="K1607" s="23" t="inlineStr">
        <is>
          <t>70x100 1/32</t>
        </is>
      </c>
      <c r="L1607" s="23" t="inlineStr">
        <is>
          <t>мяг</t>
        </is>
      </c>
      <c r="M1607" s="23" t="n">
        <v>160</v>
      </c>
      <c r="N1607" s="23" t="n">
        <v>2016</v>
      </c>
      <c r="O1607" s="23" t="n">
        <v>76</v>
      </c>
      <c r="P1607" s="23" t="n"/>
      <c r="Q1607" s="23" t="n"/>
      <c r="R1607" s="25" t="n"/>
      <c r="S1607" s="26">
        <f>HYPERLINK("http://www.cnpol.ru/covers/16572.jpg","фото на сайте")</f>
        <v/>
      </c>
    </row>
    <row r="1608" ht="50.1" customHeight="1" s="3">
      <c r="A1608" s="23" t="n"/>
      <c r="B1608" s="24" t="inlineStr">
        <is>
          <t>16222</t>
        </is>
      </c>
      <c r="C1608" s="23" t="inlineStr">
        <is>
          <t>ЛР</t>
        </is>
      </c>
      <c r="D1608" s="23" t="inlineStr">
        <is>
          <t>Харди К.</t>
        </is>
      </c>
      <c r="E1608" s="23" t="inlineStr">
        <is>
          <t>Секрет его улыбки</t>
        </is>
      </c>
      <c r="F1608" s="23" t="n">
        <v>548</v>
      </c>
      <c r="G1608" s="23" t="n">
        <v>94</v>
      </c>
      <c r="H1608" s="23" t="n">
        <v>10</v>
      </c>
      <c r="I1608" s="23" t="n">
        <v>30</v>
      </c>
      <c r="J1608" s="23" t="inlineStr">
        <is>
          <t>978-5-227-06238-3</t>
        </is>
      </c>
      <c r="K1608" s="23" t="inlineStr">
        <is>
          <t>70x100 1/32</t>
        </is>
      </c>
      <c r="L1608" s="23" t="inlineStr">
        <is>
          <t>мяг</t>
        </is>
      </c>
      <c r="M1608" s="23" t="n">
        <v>158</v>
      </c>
      <c r="N1608" s="23" t="n">
        <v>2015</v>
      </c>
      <c r="O1608" s="23" t="n">
        <v>76</v>
      </c>
      <c r="P1608" s="23" t="n"/>
      <c r="Q1608" s="23" t="n"/>
      <c r="R1608" s="25" t="n"/>
      <c r="S1608" s="26">
        <f>HYPERLINK("http://www.cnpol.ru/covers/16222.jpg","фото на сайте")</f>
        <v/>
      </c>
    </row>
    <row r="1609" ht="50.1" customHeight="1" s="3">
      <c r="A1609" s="23" t="n"/>
      <c r="B1609" s="24" t="inlineStr">
        <is>
          <t>19710</t>
        </is>
      </c>
      <c r="C1609" s="23" t="inlineStr">
        <is>
          <t>ЛР</t>
        </is>
      </c>
      <c r="D1609" s="23" t="inlineStr">
        <is>
          <t>Шоу Ш.</t>
        </is>
      </c>
      <c r="E1609" s="23" t="inlineStr">
        <is>
          <t>Секрет запретных ночей</t>
        </is>
      </c>
      <c r="F1609" s="23" t="n">
        <v>1041</v>
      </c>
      <c r="G1609" s="23" t="n">
        <v>94</v>
      </c>
      <c r="H1609" s="23" t="n">
        <v>10</v>
      </c>
      <c r="I1609" s="23" t="n">
        <v>30</v>
      </c>
      <c r="J1609" s="23" t="inlineStr">
        <is>
          <t>978-5-227-09353-0</t>
        </is>
      </c>
      <c r="K1609" s="23" t="inlineStr">
        <is>
          <t>70x100 1/32</t>
        </is>
      </c>
      <c r="L1609" s="23" t="inlineStr">
        <is>
          <t>мяг</t>
        </is>
      </c>
      <c r="M1609" s="23" t="n">
        <v>160</v>
      </c>
      <c r="N1609" s="23" t="n">
        <v>2021</v>
      </c>
      <c r="O1609" s="23" t="n">
        <v>76</v>
      </c>
      <c r="P1609" s="23" t="n"/>
      <c r="Q1609" s="23" t="n"/>
      <c r="R1609" s="25" t="n"/>
      <c r="S1609" s="26">
        <f>HYPERLINK("http://www.cnpol.ru/covers/19710.jpg","фото на сайте")</f>
        <v/>
      </c>
    </row>
    <row r="1610" ht="50.1" customHeight="1" s="3">
      <c r="A1610" s="23" t="n"/>
      <c r="B1610" s="24" t="inlineStr">
        <is>
          <t>19193</t>
        </is>
      </c>
      <c r="C1610" s="23" t="inlineStr">
        <is>
          <t>ЛР</t>
        </is>
      </c>
      <c r="D1610" s="23" t="inlineStr">
        <is>
          <t>Крюс К.</t>
        </is>
      </c>
      <c r="E1610" s="23" t="inlineStr">
        <is>
          <t>Секретное оружие обольстителя</t>
        </is>
      </c>
      <c r="F1610" s="23" t="n">
        <v>983</v>
      </c>
      <c r="G1610" s="23" t="n">
        <v>94</v>
      </c>
      <c r="H1610" s="23" t="n">
        <v>10</v>
      </c>
      <c r="I1610" s="23" t="n">
        <v>30</v>
      </c>
      <c r="J1610" s="23" t="inlineStr">
        <is>
          <t>978-5-227-09032-4</t>
        </is>
      </c>
      <c r="K1610" s="23" t="inlineStr">
        <is>
          <t>70x100 1/32</t>
        </is>
      </c>
      <c r="L1610" s="23" t="inlineStr">
        <is>
          <t>мяг</t>
        </is>
      </c>
      <c r="M1610" s="23" t="n">
        <v>160</v>
      </c>
      <c r="N1610" s="23" t="n">
        <v>2020</v>
      </c>
      <c r="O1610" s="23" t="n">
        <v>76</v>
      </c>
      <c r="P1610" s="23" t="n"/>
      <c r="Q1610" s="23" t="n"/>
      <c r="R1610" s="25" t="n"/>
      <c r="S1610" s="26">
        <f>HYPERLINK("http://www.cnpol.ru/covers/19193.jpg","фото на сайте")</f>
        <v/>
      </c>
    </row>
    <row r="1611" ht="50.1" customHeight="1" s="3">
      <c r="A1611" s="23" t="n"/>
      <c r="B1611" s="24" t="inlineStr">
        <is>
          <t>16919</t>
        </is>
      </c>
      <c r="C1611" s="23" t="inlineStr">
        <is>
          <t>ЛР</t>
        </is>
      </c>
      <c r="D1611" s="23" t="inlineStr">
        <is>
          <t>Мори Т.</t>
        </is>
      </c>
      <c r="E1611" s="23" t="inlineStr">
        <is>
          <t>Сердце к твоим ногам</t>
        </is>
      </c>
      <c r="F1611" s="23" t="n">
        <v>639</v>
      </c>
      <c r="G1611" s="23" t="n">
        <v>94</v>
      </c>
      <c r="H1611" s="23" t="n">
        <v>10</v>
      </c>
      <c r="I1611" s="23" t="n">
        <v>30</v>
      </c>
      <c r="J1611" s="23" t="inlineStr">
        <is>
          <t>978-5-227-06848-4</t>
        </is>
      </c>
      <c r="K1611" s="23" t="inlineStr">
        <is>
          <t>70x100 1/32</t>
        </is>
      </c>
      <c r="L1611" s="23" t="inlineStr">
        <is>
          <t>мяг</t>
        </is>
      </c>
      <c r="M1611" s="23" t="n">
        <v>160</v>
      </c>
      <c r="N1611" s="23" t="n">
        <v>2016</v>
      </c>
      <c r="O1611" s="23" t="n">
        <v>76</v>
      </c>
      <c r="P1611" s="23" t="n"/>
      <c r="Q1611" s="23" t="n"/>
      <c r="R1611" s="25" t="n"/>
      <c r="S1611" s="26">
        <f>HYPERLINK("http://www.cnpol.ru/covers/16919.jpg","фото на сайте")</f>
        <v/>
      </c>
    </row>
    <row r="1612" ht="50.1" customHeight="1" s="3">
      <c r="A1612" s="23" t="n"/>
      <c r="B1612" s="24" t="inlineStr">
        <is>
          <t>20925</t>
        </is>
      </c>
      <c r="C1612" s="23" t="inlineStr">
        <is>
          <t>ЛР</t>
        </is>
      </c>
      <c r="D1612" s="23" t="inlineStr">
        <is>
          <t>Гилмор Д.</t>
        </is>
      </c>
      <c r="E1612" s="23" t="inlineStr">
        <is>
          <t>Сердце лучше знает</t>
        </is>
      </c>
      <c r="F1612" s="23" t="n">
        <v>1158</v>
      </c>
      <c r="G1612" s="23" t="n">
        <v>94</v>
      </c>
      <c r="H1612" s="23" t="n">
        <v>10</v>
      </c>
      <c r="I1612" s="23" t="n">
        <v>30</v>
      </c>
      <c r="J1612" s="23" t="inlineStr">
        <is>
          <t>978-5-227-10447-2</t>
        </is>
      </c>
      <c r="K1612" s="23" t="inlineStr">
        <is>
          <t>70x100 1/32</t>
        </is>
      </c>
      <c r="L1612" s="23" t="inlineStr">
        <is>
          <t>мяг</t>
        </is>
      </c>
      <c r="M1612" s="23" t="n">
        <v>159</v>
      </c>
      <c r="N1612" s="23" t="n">
        <v>2023</v>
      </c>
      <c r="O1612" s="23" t="n">
        <v>76</v>
      </c>
      <c r="P1612" s="23" t="n"/>
      <c r="Q1612" s="23" t="n"/>
      <c r="R1612" s="25" t="inlineStr">
        <is>
          <t>Джошуа Пирсон, владелец сети отелей, отправляется в Вермонт, чтобы подготовить семейный коттедж к Рождеству и долгожданной встрече с повзрослевшими детьми. В один из холодных ноябрьских дней Джошуа знакомится с Ребеккой Нельсон — очаровательной женщиной, поселившейся в соседнем коттедже на время отпуска. Ребекка — балерина в недавнем прошлом — не привыкла сидеть сложа руки и предлагает Джошуа помощь в обновлении его жилища…</t>
        </is>
      </c>
      <c r="S1612" s="26">
        <f>HYPERLINK("http://www.cnpol.ru/covers/20925.jpg","фото на сайте")</f>
        <v/>
      </c>
    </row>
    <row r="1613" ht="50.1" customHeight="1" s="3">
      <c r="A1613" s="23" t="n"/>
      <c r="B1613" s="24" t="inlineStr">
        <is>
          <t>18480</t>
        </is>
      </c>
      <c r="C1613" s="23" t="inlineStr">
        <is>
          <t>ЛР</t>
        </is>
      </c>
      <c r="D1613" s="23" t="inlineStr">
        <is>
          <t>Томас Р.</t>
        </is>
      </c>
      <c r="E1613" s="23" t="inlineStr">
        <is>
          <t>Сердце под прицелом</t>
        </is>
      </c>
      <c r="F1613" s="23" t="n">
        <v>865</v>
      </c>
      <c r="G1613" s="23" t="n">
        <v>94</v>
      </c>
      <c r="H1613" s="23" t="n">
        <v>10</v>
      </c>
      <c r="I1613" s="23" t="n">
        <v>30</v>
      </c>
      <c r="J1613" s="23" t="inlineStr">
        <is>
          <t>978-5-227-08391-3</t>
        </is>
      </c>
      <c r="K1613" s="23" t="inlineStr">
        <is>
          <t>70x100 1/32</t>
        </is>
      </c>
      <c r="L1613" s="23" t="inlineStr">
        <is>
          <t>мяг</t>
        </is>
      </c>
      <c r="M1613" s="23" t="n">
        <v>160</v>
      </c>
      <c r="N1613" s="23" t="n">
        <v>2019</v>
      </c>
      <c r="O1613" s="23" t="n">
        <v>76</v>
      </c>
      <c r="P1613" s="23" t="n"/>
      <c r="Q1613" s="23" t="n"/>
      <c r="R1613" s="25" t="n"/>
      <c r="S1613" s="26">
        <f>HYPERLINK("http://www.cnpol.ru/covers/18480.jpg","фото на сайте")</f>
        <v/>
      </c>
    </row>
    <row r="1614" ht="50.1" customHeight="1" s="3">
      <c r="A1614" s="23" t="n"/>
      <c r="B1614" s="24" t="inlineStr">
        <is>
          <t>19730</t>
        </is>
      </c>
      <c r="C1614" s="23" t="inlineStr">
        <is>
          <t>ЛР</t>
        </is>
      </c>
      <c r="D1614" s="23" t="inlineStr">
        <is>
          <t>Эйтс М.</t>
        </is>
      </c>
      <c r="E1614" s="23" t="inlineStr">
        <is>
          <t>Сердце помнит все</t>
        </is>
      </c>
      <c r="F1614" s="23" t="n">
        <v>1043</v>
      </c>
      <c r="G1614" s="23" t="n">
        <v>94</v>
      </c>
      <c r="H1614" s="23" t="n">
        <v>10</v>
      </c>
      <c r="I1614" s="23" t="n">
        <v>30</v>
      </c>
      <c r="J1614" s="23" t="inlineStr">
        <is>
          <t>978-5-227-09355-4</t>
        </is>
      </c>
      <c r="K1614" s="23" t="inlineStr">
        <is>
          <t>70x100 1/32</t>
        </is>
      </c>
      <c r="L1614" s="23" t="inlineStr">
        <is>
          <t>мяг</t>
        </is>
      </c>
      <c r="M1614" s="23" t="n">
        <v>160</v>
      </c>
      <c r="N1614" s="23" t="n">
        <v>2021</v>
      </c>
      <c r="O1614" s="23" t="n">
        <v>76</v>
      </c>
      <c r="P1614" s="23" t="n"/>
      <c r="Q1614" s="23" t="n"/>
      <c r="R1614" s="25" t="n"/>
      <c r="S1614" s="26">
        <f>HYPERLINK("http://www.cnpol.ru/covers/19730.jpg","фото на сайте")</f>
        <v/>
      </c>
    </row>
    <row r="1615" ht="50.1" customHeight="1" s="3">
      <c r="A1615" s="23" t="n"/>
      <c r="B1615" s="24" t="inlineStr">
        <is>
          <t>19596</t>
        </is>
      </c>
      <c r="C1615" s="23" t="inlineStr">
        <is>
          <t>ЛР</t>
        </is>
      </c>
      <c r="D1615" s="23" t="inlineStr">
        <is>
          <t>Ли М.</t>
        </is>
      </c>
      <c r="E1615" s="23" t="inlineStr">
        <is>
          <t>Сердце рвется к тебе</t>
        </is>
      </c>
      <c r="F1615" s="23" t="n">
        <v>1028</v>
      </c>
      <c r="G1615" s="23" t="n">
        <v>94</v>
      </c>
      <c r="H1615" s="23" t="n">
        <v>10</v>
      </c>
      <c r="I1615" s="23" t="n">
        <v>30</v>
      </c>
      <c r="J1615" s="23" t="inlineStr">
        <is>
          <t>978-5-227-09272-4</t>
        </is>
      </c>
      <c r="K1615" s="23" t="inlineStr">
        <is>
          <t>70x100 1/32</t>
        </is>
      </c>
      <c r="L1615" s="23" t="inlineStr">
        <is>
          <t>мяг</t>
        </is>
      </c>
      <c r="M1615" s="23" t="n">
        <v>160</v>
      </c>
      <c r="N1615" s="23" t="n">
        <v>2021</v>
      </c>
      <c r="O1615" s="23" t="n">
        <v>76</v>
      </c>
      <c r="P1615" s="23" t="n"/>
      <c r="Q1615" s="23" t="n"/>
      <c r="R1615" s="25" t="n"/>
      <c r="S1615" s="26">
        <f>HYPERLINK("http://www.cnpol.ru/covers/19596.jpg","фото на сайте")</f>
        <v/>
      </c>
    </row>
    <row r="1616" ht="50.1" customHeight="1" s="3">
      <c r="A1616" s="23" t="n"/>
      <c r="B1616" s="24" t="inlineStr">
        <is>
          <t>18409</t>
        </is>
      </c>
      <c r="C1616" s="23" t="inlineStr">
        <is>
          <t>ЛР</t>
        </is>
      </c>
      <c r="D1616" s="23" t="inlineStr">
        <is>
          <t>Френсис Б.</t>
        </is>
      </c>
      <c r="E1616" s="23" t="inlineStr">
        <is>
          <t>Сердцеедка без опыта</t>
        </is>
      </c>
      <c r="F1616" s="23" t="n">
        <v>852</v>
      </c>
      <c r="G1616" s="23" t="n">
        <v>94</v>
      </c>
      <c r="H1616" s="23" t="n">
        <v>10</v>
      </c>
      <c r="I1616" s="23" t="n">
        <v>30</v>
      </c>
      <c r="J1616" s="23" t="inlineStr">
        <is>
          <t>978-5-227-08357-9</t>
        </is>
      </c>
      <c r="K1616" s="23" t="inlineStr">
        <is>
          <t>70x100 1/32</t>
        </is>
      </c>
      <c r="L1616" s="23" t="inlineStr">
        <is>
          <t>мяг</t>
        </is>
      </c>
      <c r="M1616" s="23" t="n">
        <v>160</v>
      </c>
      <c r="N1616" s="23" t="n">
        <v>2018</v>
      </c>
      <c r="O1616" s="23" t="n">
        <v>76</v>
      </c>
      <c r="P1616" s="23" t="n"/>
      <c r="Q1616" s="23" t="n"/>
      <c r="R1616" s="25" t="n"/>
      <c r="S1616" s="26">
        <f>HYPERLINK("http://www.cnpol.ru/covers/18409.jpg","фото на сайте")</f>
        <v/>
      </c>
    </row>
    <row r="1617" ht="50.1" customHeight="1" s="3">
      <c r="A1617" s="23" t="n"/>
      <c r="B1617" s="24" t="inlineStr">
        <is>
          <t>19036</t>
        </is>
      </c>
      <c r="C1617" s="23" t="inlineStr">
        <is>
          <t>ЛР</t>
        </is>
      </c>
      <c r="D1617" s="23" t="inlineStr">
        <is>
          <t>Мейнард Д.</t>
        </is>
      </c>
      <c r="E1617" s="23" t="inlineStr">
        <is>
          <t>Сердцеедка на миллион долларов</t>
        </is>
      </c>
      <c r="F1617" s="23" t="n">
        <v>959</v>
      </c>
      <c r="G1617" s="23" t="n">
        <v>94</v>
      </c>
      <c r="H1617" s="23" t="n">
        <v>10</v>
      </c>
      <c r="I1617" s="23" t="n">
        <v>30</v>
      </c>
      <c r="J1617" s="23" t="inlineStr">
        <is>
          <t>978-5-227-08912-0</t>
        </is>
      </c>
      <c r="K1617" s="23" t="inlineStr">
        <is>
          <t>70x100 1/32</t>
        </is>
      </c>
      <c r="L1617" s="23" t="inlineStr">
        <is>
          <t>мяг</t>
        </is>
      </c>
      <c r="M1617" s="23" t="n">
        <v>160</v>
      </c>
      <c r="N1617" s="23" t="n">
        <v>2020</v>
      </c>
      <c r="O1617" s="23" t="n">
        <v>76</v>
      </c>
      <c r="P1617" s="23" t="n"/>
      <c r="Q1617" s="23" t="n"/>
      <c r="R1617" s="25" t="n"/>
      <c r="S1617" s="26">
        <f>HYPERLINK("http://www.cnpol.ru/covers/19036.jpg","фото на сайте")</f>
        <v/>
      </c>
    </row>
    <row r="1618" ht="50.1" customHeight="1" s="3">
      <c r="A1618" s="23" t="n"/>
      <c r="B1618" s="24" t="inlineStr">
        <is>
          <t>18993</t>
        </is>
      </c>
      <c r="C1618" s="23" t="inlineStr">
        <is>
          <t>ЛР</t>
        </is>
      </c>
      <c r="D1618" s="23" t="inlineStr">
        <is>
          <t>Фей Д.</t>
        </is>
      </c>
      <c r="E1618" s="23" t="inlineStr">
        <is>
          <t>Сердцеедка с острова соблазнов</t>
        </is>
      </c>
      <c r="F1618" s="23" t="n">
        <v>950</v>
      </c>
      <c r="G1618" s="23" t="n">
        <v>94</v>
      </c>
      <c r="H1618" s="23" t="n">
        <v>10</v>
      </c>
      <c r="I1618" s="23" t="n">
        <v>30</v>
      </c>
      <c r="J1618" s="23" t="inlineStr">
        <is>
          <t>978-5-227-08841-3</t>
        </is>
      </c>
      <c r="K1618" s="23" t="inlineStr">
        <is>
          <t>70x100 1/32</t>
        </is>
      </c>
      <c r="L1618" s="23" t="inlineStr">
        <is>
          <t>мяг</t>
        </is>
      </c>
      <c r="M1618" s="23" t="n">
        <v>160</v>
      </c>
      <c r="N1618" s="23" t="n">
        <v>2019</v>
      </c>
      <c r="O1618" s="23" t="n">
        <v>76</v>
      </c>
      <c r="P1618" s="23" t="n"/>
      <c r="Q1618" s="23" t="n"/>
      <c r="R1618" s="25" t="n"/>
      <c r="S1618" s="26">
        <f>HYPERLINK("http://www.cnpol.ru/covers/18993.jpg","фото на сайте")</f>
        <v/>
      </c>
    </row>
    <row r="1619" ht="50.1" customHeight="1" s="3">
      <c r="A1619" s="23" t="n"/>
      <c r="B1619" s="24" t="inlineStr">
        <is>
          <t>20528</t>
        </is>
      </c>
      <c r="C1619" s="23" t="inlineStr">
        <is>
          <t>ЛР</t>
        </is>
      </c>
      <c r="D1619" s="23" t="inlineStr">
        <is>
          <t>Монро Л.</t>
        </is>
      </c>
      <c r="E1619" s="23" t="inlineStr">
        <is>
          <t>Сила его любви</t>
        </is>
      </c>
      <c r="F1619" s="23" t="n">
        <v>1126</v>
      </c>
      <c r="G1619" s="23" t="n">
        <v>94</v>
      </c>
      <c r="H1619" s="23" t="n">
        <v>10</v>
      </c>
      <c r="I1619" s="23" t="n">
        <v>30</v>
      </c>
      <c r="J1619" s="23" t="inlineStr">
        <is>
          <t>978-5-227-10201-0</t>
        </is>
      </c>
      <c r="K1619" s="23" t="inlineStr">
        <is>
          <t>70x100 1/32</t>
        </is>
      </c>
      <c r="L1619" s="23" t="inlineStr">
        <is>
          <t>мяг</t>
        </is>
      </c>
      <c r="M1619" s="23" t="n">
        <v>159</v>
      </c>
      <c r="N1619" s="23" t="n">
        <v>2023</v>
      </c>
      <c r="O1619" s="23" t="n">
        <v>76</v>
      </c>
      <c r="P1619" s="23" t="n"/>
      <c r="Q1619" s="23" t="n"/>
      <c r="R1619" s="25" t="inlineStr">
        <is>
          <t>Младший принц маленькой островной страны Дмитрий — убежденный холостяк. Но все меняется, когда он узнает, что кто-то шпионит за их королевской семьей. Подозрения падают на ближайшую подругу семьи Дженну. Все осложняется тем, что Дмитрию Дженна давно нравится, и ему кажется, что это взаимно. Неужели она предательница?</t>
        </is>
      </c>
      <c r="S1619" s="26">
        <f>HYPERLINK("http://www.cnpol.ru/covers/20528.jpg","фото на сайте")</f>
        <v/>
      </c>
    </row>
    <row r="1620" ht="50.1" customHeight="1" s="3">
      <c r="A1620" s="23" t="n"/>
      <c r="B1620" s="24" t="inlineStr">
        <is>
          <t>18550</t>
        </is>
      </c>
      <c r="C1620" s="23" t="inlineStr">
        <is>
          <t>ЛР</t>
        </is>
      </c>
      <c r="D1620" s="23" t="inlineStr">
        <is>
          <t>Линдсей И.</t>
        </is>
      </c>
      <c r="E1620" s="23" t="inlineStr">
        <is>
          <t>Сильней любить невозможно</t>
        </is>
      </c>
      <c r="F1620" s="23" t="n">
        <v>877</v>
      </c>
      <c r="G1620" s="23" t="n">
        <v>94</v>
      </c>
      <c r="H1620" s="23" t="n">
        <v>10</v>
      </c>
      <c r="I1620" s="23" t="n">
        <v>30</v>
      </c>
      <c r="J1620" s="23" t="inlineStr">
        <is>
          <t>978-5-227-08437-8</t>
        </is>
      </c>
      <c r="K1620" s="23" t="inlineStr">
        <is>
          <t>70x100 1/32</t>
        </is>
      </c>
      <c r="L1620" s="23" t="inlineStr">
        <is>
          <t>мяг</t>
        </is>
      </c>
      <c r="M1620" s="23" t="n">
        <v>160</v>
      </c>
      <c r="N1620" s="23" t="n">
        <v>2019</v>
      </c>
      <c r="O1620" s="23" t="n">
        <v>76</v>
      </c>
      <c r="P1620" s="23" t="n"/>
      <c r="Q1620" s="23" t="n"/>
      <c r="R1620" s="25" t="n"/>
      <c r="S1620" s="26">
        <f>HYPERLINK("http://www.cnpol.ru/covers/18550.jpg","фото на сайте")</f>
        <v/>
      </c>
    </row>
    <row r="1621" ht="50.1" customHeight="1" s="3">
      <c r="A1621" s="23" t="n"/>
      <c r="B1621" s="24" t="inlineStr">
        <is>
          <t>14101</t>
        </is>
      </c>
      <c r="C1621" s="23" t="inlineStr">
        <is>
          <t>ЛР</t>
        </is>
      </c>
      <c r="D1621" s="23" t="inlineStr">
        <is>
          <t>Колтер К.</t>
        </is>
      </c>
      <c r="E1621" s="23" t="inlineStr">
        <is>
          <t>Сильные духом</t>
        </is>
      </c>
      <c r="F1621" s="23" t="n">
        <v>300</v>
      </c>
      <c r="G1621" s="23" t="n">
        <v>94</v>
      </c>
      <c r="H1621" s="23" t="n">
        <v>10</v>
      </c>
      <c r="I1621" s="23" t="n">
        <v>30</v>
      </c>
      <c r="J1621" s="23" t="inlineStr">
        <is>
          <t>978-5-227-04150-0</t>
        </is>
      </c>
      <c r="K1621" s="23" t="inlineStr">
        <is>
          <t>70x100 1/32</t>
        </is>
      </c>
      <c r="L1621" s="23" t="inlineStr">
        <is>
          <t>мяг</t>
        </is>
      </c>
      <c r="M1621" s="23" t="n">
        <v>158</v>
      </c>
      <c r="N1621" s="23" t="n">
        <v>2013</v>
      </c>
      <c r="O1621" s="23" t="n">
        <v>80</v>
      </c>
      <c r="P1621" s="23" t="n"/>
      <c r="Q1621" s="23" t="n"/>
      <c r="R1621" s="25" t="n"/>
      <c r="S1621" s="26">
        <f>HYPERLINK("http://www.cnpol.ru/covers/14101.jpg","фото на сайте")</f>
        <v/>
      </c>
    </row>
    <row r="1622" ht="50.1" customHeight="1" s="3">
      <c r="A1622" s="23" t="n"/>
      <c r="B1622" s="24" t="inlineStr">
        <is>
          <t>18737</t>
        </is>
      </c>
      <c r="C1622" s="23" t="inlineStr">
        <is>
          <t>ЛР</t>
        </is>
      </c>
      <c r="D1622" s="23" t="inlineStr">
        <is>
          <t>Маринелли К.</t>
        </is>
      </c>
      <c r="E1622" s="23" t="inlineStr">
        <is>
          <t>Сицилийская Золушка для мачо</t>
        </is>
      </c>
      <c r="F1622" s="23" t="n">
        <v>905</v>
      </c>
      <c r="G1622" s="23" t="n">
        <v>94</v>
      </c>
      <c r="H1622" s="23" t="n">
        <v>10</v>
      </c>
      <c r="I1622" s="23" t="n">
        <v>30</v>
      </c>
      <c r="J1622" s="23" t="inlineStr">
        <is>
          <t>978-5-227-08580-1</t>
        </is>
      </c>
      <c r="K1622" s="23" t="inlineStr">
        <is>
          <t>70x100 1/32</t>
        </is>
      </c>
      <c r="L1622" s="23" t="inlineStr">
        <is>
          <t>мяг</t>
        </is>
      </c>
      <c r="M1622" s="23" t="n">
        <v>160</v>
      </c>
      <c r="N1622" s="23" t="n">
        <v>2019</v>
      </c>
      <c r="O1622" s="23" t="n">
        <v>76</v>
      </c>
      <c r="P1622" s="23" t="n"/>
      <c r="Q1622" s="23" t="n"/>
      <c r="R1622" s="25" t="n"/>
      <c r="S1622" s="26">
        <f>HYPERLINK("http://www.cnpol.ru/covers/18737.jpg","фото на сайте")</f>
        <v/>
      </c>
    </row>
    <row r="1623" ht="50.1" customHeight="1" s="3">
      <c r="A1623" s="23" t="n"/>
      <c r="B1623" s="24" t="inlineStr">
        <is>
          <t>15618</t>
        </is>
      </c>
      <c r="C1623" s="23" t="inlineStr">
        <is>
          <t>ЛР</t>
        </is>
      </c>
      <c r="D1623" s="23" t="inlineStr">
        <is>
          <t>Мейер С.</t>
        </is>
      </c>
      <c r="E1623" s="23" t="inlineStr">
        <is>
          <t>Скажи, что любишь</t>
        </is>
      </c>
      <c r="F1623" s="23" t="n">
        <v>469</v>
      </c>
      <c r="G1623" s="23" t="n">
        <v>94</v>
      </c>
      <c r="H1623" s="23" t="n">
        <v>10</v>
      </c>
      <c r="I1623" s="23" t="n">
        <v>30</v>
      </c>
      <c r="J1623" s="23" t="inlineStr">
        <is>
          <t>978-5-227-05054-0</t>
        </is>
      </c>
      <c r="K1623" s="23" t="inlineStr">
        <is>
          <t>70x100 1/32</t>
        </is>
      </c>
      <c r="L1623" s="23" t="inlineStr">
        <is>
          <t>мяг</t>
        </is>
      </c>
      <c r="M1623" s="23" t="n">
        <v>158</v>
      </c>
      <c r="N1623" s="23" t="n">
        <v>2014</v>
      </c>
      <c r="O1623" s="23" t="n">
        <v>76</v>
      </c>
      <c r="P1623" s="23" t="n"/>
      <c r="Q1623" s="23" t="n"/>
      <c r="R1623" s="25" t="n"/>
      <c r="S1623" s="26">
        <f>HYPERLINK("http://www.cnpol.ru/covers/15618.jpg","фото на сайте")</f>
        <v/>
      </c>
    </row>
    <row r="1624" ht="50.1" customHeight="1" s="3">
      <c r="A1624" s="23" t="n"/>
      <c r="B1624" s="24" t="inlineStr">
        <is>
          <t>16991</t>
        </is>
      </c>
      <c r="C1624" s="23" t="inlineStr">
        <is>
          <t>ЛР</t>
        </is>
      </c>
      <c r="D1624" s="23" t="inlineStr">
        <is>
          <t>Гилмор Д.</t>
        </is>
      </c>
      <c r="E1624" s="23" t="inlineStr">
        <is>
          <t>Сказочное предложение</t>
        </is>
      </c>
      <c r="F1624" s="23" t="n">
        <v>648</v>
      </c>
      <c r="G1624" s="23" t="n">
        <v>94</v>
      </c>
      <c r="H1624" s="23" t="n">
        <v>10</v>
      </c>
      <c r="I1624" s="23" t="n">
        <v>30</v>
      </c>
      <c r="J1624" s="23" t="inlineStr">
        <is>
          <t>978-5-227-07033-3</t>
        </is>
      </c>
      <c r="K1624" s="23" t="inlineStr">
        <is>
          <t>70x100 1/32</t>
        </is>
      </c>
      <c r="L1624" s="23" t="inlineStr">
        <is>
          <t>мяг</t>
        </is>
      </c>
      <c r="M1624" s="23" t="n">
        <v>160</v>
      </c>
      <c r="N1624" s="23" t="n">
        <v>2016</v>
      </c>
      <c r="O1624" s="23" t="n">
        <v>76</v>
      </c>
      <c r="P1624" s="23" t="n"/>
      <c r="Q1624" s="23" t="n"/>
      <c r="R1624" s="25" t="n"/>
      <c r="S1624" s="26">
        <f>HYPERLINK("http://www.cnpol.ru/covers/16991.jpg","фото на сайте")</f>
        <v/>
      </c>
    </row>
    <row r="1625" ht="50.1" customHeight="1" s="3">
      <c r="A1625" s="23" t="n"/>
      <c r="B1625" s="24" t="inlineStr">
        <is>
          <t>18955</t>
        </is>
      </c>
      <c r="C1625" s="23" t="inlineStr">
        <is>
          <t>ЛР</t>
        </is>
      </c>
      <c r="D1625" s="23" t="inlineStr">
        <is>
          <t>Эйтс М.</t>
        </is>
      </c>
      <c r="E1625" s="23" t="inlineStr">
        <is>
          <t>Сказочный плен с искусителем</t>
        </is>
      </c>
      <c r="F1625" s="23" t="n">
        <v>943</v>
      </c>
      <c r="G1625" s="23" t="n">
        <v>94</v>
      </c>
      <c r="H1625" s="23" t="n">
        <v>10</v>
      </c>
      <c r="I1625" s="23" t="n">
        <v>30</v>
      </c>
      <c r="J1625" s="23" t="inlineStr">
        <is>
          <t>978-5-227-08793-5</t>
        </is>
      </c>
      <c r="K1625" s="23" t="inlineStr">
        <is>
          <t>70x100 1/32</t>
        </is>
      </c>
      <c r="L1625" s="23" t="inlineStr">
        <is>
          <t>мяг</t>
        </is>
      </c>
      <c r="M1625" s="23" t="n">
        <v>160</v>
      </c>
      <c r="N1625" s="23" t="n">
        <v>2019</v>
      </c>
      <c r="O1625" s="23" t="n">
        <v>76</v>
      </c>
      <c r="P1625" s="23" t="n"/>
      <c r="Q1625" s="23" t="n"/>
      <c r="R1625" s="25" t="n"/>
      <c r="S1625" s="26">
        <f>HYPERLINK("http://www.cnpol.ru/covers/18955.jpg","фото на сайте")</f>
        <v/>
      </c>
    </row>
    <row r="1626" ht="50.1" customHeight="1" s="3">
      <c r="A1626" s="23" t="n"/>
      <c r="B1626" s="24" t="inlineStr">
        <is>
          <t>17021</t>
        </is>
      </c>
      <c r="C1626" s="23" t="inlineStr">
        <is>
          <t>ЛР</t>
        </is>
      </c>
      <c r="D1626" s="23" t="inlineStr">
        <is>
          <t>Лоренс К.</t>
        </is>
      </c>
      <c r="E1626" s="23" t="inlineStr">
        <is>
          <t>Скандал у алтаря</t>
        </is>
      </c>
      <c r="F1626" s="23" t="n">
        <v>655</v>
      </c>
      <c r="G1626" s="23" t="n">
        <v>94</v>
      </c>
      <c r="H1626" s="23" t="n">
        <v>10</v>
      </c>
      <c r="I1626" s="23" t="n">
        <v>30</v>
      </c>
      <c r="J1626" s="23" t="inlineStr">
        <is>
          <t>978-5-227-07040-1</t>
        </is>
      </c>
      <c r="K1626" s="23" t="inlineStr">
        <is>
          <t>70x100 1/32</t>
        </is>
      </c>
      <c r="L1626" s="23" t="inlineStr">
        <is>
          <t>мяг</t>
        </is>
      </c>
      <c r="M1626" s="23" t="n">
        <v>158</v>
      </c>
      <c r="N1626" s="23" t="n">
        <v>2016</v>
      </c>
      <c r="O1626" s="23" t="n">
        <v>76</v>
      </c>
      <c r="P1626" s="23" t="n"/>
      <c r="Q1626" s="23" t="n"/>
      <c r="R1626" s="25" t="n"/>
      <c r="S1626" s="26">
        <f>HYPERLINK("http://www.cnpol.ru/covers/17021.jpg","фото на сайте")</f>
        <v/>
      </c>
    </row>
    <row r="1627" ht="50.1" customHeight="1" s="3">
      <c r="A1627" s="23" t="n"/>
      <c r="B1627" s="24" t="inlineStr">
        <is>
          <t>19783</t>
        </is>
      </c>
      <c r="C1627" s="23" t="inlineStr">
        <is>
          <t>ЛР</t>
        </is>
      </c>
      <c r="D1627" s="23" t="inlineStr">
        <is>
          <t>Гарбера К.</t>
        </is>
      </c>
      <c r="E1627" s="23" t="inlineStr">
        <is>
          <t>Скандальная любовь</t>
        </is>
      </c>
      <c r="F1627" s="23" t="n">
        <v>1047</v>
      </c>
      <c r="G1627" s="23" t="n">
        <v>94</v>
      </c>
      <c r="H1627" s="23" t="n">
        <v>10</v>
      </c>
      <c r="I1627" s="23" t="n">
        <v>30</v>
      </c>
      <c r="J1627" s="23" t="inlineStr">
        <is>
          <t>978-5-227-09402-5</t>
        </is>
      </c>
      <c r="K1627" s="23" t="inlineStr">
        <is>
          <t>70x100 1/32</t>
        </is>
      </c>
      <c r="L1627" s="23" t="inlineStr">
        <is>
          <t>мяг</t>
        </is>
      </c>
      <c r="M1627" s="23" t="n">
        <v>160</v>
      </c>
      <c r="N1627" s="23" t="n">
        <v>2021</v>
      </c>
      <c r="O1627" s="23" t="n">
        <v>76</v>
      </c>
      <c r="P1627" s="23" t="n"/>
      <c r="Q1627" s="23" t="n"/>
      <c r="R1627" s="25" t="n"/>
      <c r="S1627" s="26">
        <f>HYPERLINK("http://www.cnpol.ru/covers/19783.jpg","фото на сайте")</f>
        <v/>
      </c>
    </row>
    <row r="1628" ht="50.1" customHeight="1" s="3">
      <c r="A1628" s="23" t="n"/>
      <c r="B1628" s="24" t="inlineStr">
        <is>
          <t>15760</t>
        </is>
      </c>
      <c r="C1628" s="23" t="inlineStr">
        <is>
          <t>ЛР</t>
        </is>
      </c>
      <c r="D1628" s="23" t="inlineStr">
        <is>
          <t>Хейворд Дженнифер</t>
        </is>
      </c>
      <c r="E1628" s="23" t="inlineStr">
        <is>
          <t>Скверная девчонка</t>
        </is>
      </c>
      <c r="F1628" s="23" t="n">
        <v>485</v>
      </c>
      <c r="G1628" s="23" t="n">
        <v>94</v>
      </c>
      <c r="H1628" s="23" t="n">
        <v>10</v>
      </c>
      <c r="I1628" s="23" t="n">
        <v>30</v>
      </c>
      <c r="J1628" s="23" t="inlineStr">
        <is>
          <t>978-5-227-05680-1</t>
        </is>
      </c>
      <c r="K1628" s="23" t="inlineStr">
        <is>
          <t>70x100 1/32</t>
        </is>
      </c>
      <c r="L1628" s="23" t="inlineStr">
        <is>
          <t>мяг</t>
        </is>
      </c>
      <c r="M1628" s="23" t="n">
        <v>158</v>
      </c>
      <c r="N1628" s="23" t="n">
        <v>2015</v>
      </c>
      <c r="O1628" s="23" t="n">
        <v>76</v>
      </c>
      <c r="P1628" s="23" t="n"/>
      <c r="Q1628" s="23" t="n"/>
      <c r="R1628" s="25" t="n"/>
      <c r="S1628" s="26">
        <f>HYPERLINK("http://www.cnpol.ru/covers/15760.jpg","фото на сайте")</f>
        <v/>
      </c>
    </row>
    <row r="1629" ht="50.1" customHeight="1" s="3">
      <c r="A1629" s="23" t="n"/>
      <c r="B1629" s="24" t="inlineStr">
        <is>
          <t>16156</t>
        </is>
      </c>
      <c r="C1629" s="23" t="inlineStr">
        <is>
          <t>ЛР</t>
        </is>
      </c>
      <c r="D1629" s="23" t="inlineStr">
        <is>
          <t>Эйтс М.</t>
        </is>
      </c>
      <c r="E1629" s="23" t="inlineStr">
        <is>
          <t>Скованы страстью</t>
        </is>
      </c>
      <c r="F1629" s="23" t="n">
        <v>539</v>
      </c>
      <c r="G1629" s="23" t="n">
        <v>94</v>
      </c>
      <c r="H1629" s="23" t="n">
        <v>10</v>
      </c>
      <c r="I1629" s="23" t="n">
        <v>30</v>
      </c>
      <c r="J1629" s="23" t="inlineStr">
        <is>
          <t>978-5-227-06122-5</t>
        </is>
      </c>
      <c r="K1629" s="23" t="inlineStr">
        <is>
          <t>70x100 1/32</t>
        </is>
      </c>
      <c r="L1629" s="23" t="inlineStr">
        <is>
          <t>мяг</t>
        </is>
      </c>
      <c r="M1629" s="23" t="n">
        <v>158</v>
      </c>
      <c r="N1629" s="23" t="n">
        <v>2015</v>
      </c>
      <c r="O1629" s="23" t="n">
        <v>76</v>
      </c>
      <c r="P1629" s="23" t="n"/>
      <c r="Q1629" s="23" t="n"/>
      <c r="R1629" s="25" t="n"/>
      <c r="S1629" s="26">
        <f>HYPERLINK("http://www.cnpol.ru/covers/16156.jpg","фото на сайте")</f>
        <v/>
      </c>
    </row>
    <row r="1630" ht="50.1" customHeight="1" s="3">
      <c r="A1630" s="23" t="n"/>
      <c r="B1630" s="24" t="inlineStr">
        <is>
          <t>16950</t>
        </is>
      </c>
      <c r="C1630" s="23" t="inlineStr">
        <is>
          <t>ЛР</t>
        </is>
      </c>
      <c r="D1630" s="23" t="inlineStr">
        <is>
          <t>Фуллер Л</t>
        </is>
      </c>
      <c r="E1630" s="23" t="inlineStr">
        <is>
          <t>Скрепить сделку страстью</t>
        </is>
      </c>
      <c r="F1630" s="23" t="n">
        <v>643</v>
      </c>
      <c r="G1630" s="23" t="n">
        <v>94</v>
      </c>
      <c r="H1630" s="23" t="n">
        <v>10</v>
      </c>
      <c r="I1630" s="23" t="n">
        <v>30</v>
      </c>
      <c r="J1630" s="23" t="inlineStr">
        <is>
          <t>978-5-227-06857-6</t>
        </is>
      </c>
      <c r="K1630" s="23" t="inlineStr">
        <is>
          <t>70x100 1/32</t>
        </is>
      </c>
      <c r="L1630" s="23" t="inlineStr">
        <is>
          <t>мяг</t>
        </is>
      </c>
      <c r="M1630" s="23" t="n">
        <v>160</v>
      </c>
      <c r="N1630" s="23" t="n">
        <v>2016</v>
      </c>
      <c r="O1630" s="23" t="n">
        <v>76</v>
      </c>
      <c r="P1630" s="23" t="n"/>
      <c r="Q1630" s="23" t="n"/>
      <c r="R1630" s="25" t="n"/>
      <c r="S1630" s="26">
        <f>HYPERLINK("http://www.cnpol.ru/covers/16950.jpg","фото на сайте")</f>
        <v/>
      </c>
    </row>
    <row r="1631" ht="50.1" customHeight="1" s="3">
      <c r="A1631" s="23" t="n"/>
      <c r="B1631" s="24" t="inlineStr">
        <is>
          <t>16690</t>
        </is>
      </c>
      <c r="C1631" s="23" t="inlineStr">
        <is>
          <t>ЛР</t>
        </is>
      </c>
      <c r="D1631" s="23" t="inlineStr">
        <is>
          <t>Хьюит К.</t>
        </is>
      </c>
      <c r="E1631" s="23" t="inlineStr">
        <is>
          <t>Сладкий обман</t>
        </is>
      </c>
      <c r="F1631" s="23" t="n">
        <v>610</v>
      </c>
      <c r="G1631" s="23" t="n">
        <v>94</v>
      </c>
      <c r="H1631" s="23" t="n">
        <v>10</v>
      </c>
      <c r="I1631" s="23" t="n">
        <v>30</v>
      </c>
      <c r="J1631" s="23" t="inlineStr">
        <is>
          <t>978-5-227-06705-0</t>
        </is>
      </c>
      <c r="K1631" s="23" t="inlineStr">
        <is>
          <t>70x100 1/32</t>
        </is>
      </c>
      <c r="L1631" s="23" t="inlineStr">
        <is>
          <t>мяг</t>
        </is>
      </c>
      <c r="M1631" s="23" t="n">
        <v>160</v>
      </c>
      <c r="N1631" s="23" t="n">
        <v>2016</v>
      </c>
      <c r="O1631" s="23" t="n">
        <v>76</v>
      </c>
      <c r="P1631" s="23" t="n"/>
      <c r="Q1631" s="23" t="n"/>
      <c r="R1631" s="25" t="n"/>
      <c r="S1631" s="26">
        <f>HYPERLINK("http://www.cnpol.ru/covers/16690.jpg","фото на сайте")</f>
        <v/>
      </c>
    </row>
    <row r="1632" ht="50.1" customHeight="1" s="3">
      <c r="A1632" s="23" t="inlineStr">
        <is>
          <t>Н</t>
        </is>
      </c>
      <c r="B1632" s="24" t="inlineStr">
        <is>
          <t>21008</t>
        </is>
      </c>
      <c r="C1632" s="23" t="inlineStr">
        <is>
          <t>ЛР</t>
        </is>
      </c>
      <c r="D1632" s="23" t="inlineStr">
        <is>
          <t>Коннелли К.</t>
        </is>
      </c>
      <c r="E1632" s="23" t="inlineStr">
        <is>
          <t>Сладкий плен искушения</t>
        </is>
      </c>
      <c r="F1632" s="23" t="n">
        <v>1167</v>
      </c>
      <c r="G1632" s="23" t="n">
        <v>94</v>
      </c>
      <c r="H1632" s="23" t="n">
        <v>10</v>
      </c>
      <c r="I1632" s="23" t="n">
        <v>30</v>
      </c>
      <c r="J1632" s="23" t="inlineStr">
        <is>
          <t>978-5-227-10470-0</t>
        </is>
      </c>
      <c r="K1632" s="23" t="inlineStr">
        <is>
          <t>70x100 1/32</t>
        </is>
      </c>
      <c r="L1632" s="23" t="inlineStr">
        <is>
          <t>мяг</t>
        </is>
      </c>
      <c r="M1632" s="23" t="n">
        <v>159</v>
      </c>
      <c r="N1632" s="23" t="n">
        <v>2024</v>
      </c>
      <c r="O1632" s="23" t="n">
        <v>76</v>
      </c>
      <c r="P1632" s="23" t="n"/>
      <c r="Q1632" s="23" t="n"/>
      <c r="R1632" s="25" t="inlineStr">
        <is>
          <t>Решив насладиться свободой перед вынужденным замужеством, принцесса Шарлотта Ротсбург сбегает в Нью­Йорк, где знакомится с миллиардером Рокко Сантинова, и проводит с ним волшебную ночь. Оба уверены, что расстанутся навсегда, но жизнь распорядилась иначе: накануне свадьбы с шейхом принцесса узнает, что ждет ребенка от Рокко...</t>
        </is>
      </c>
      <c r="S1632" s="26">
        <f>HYPERLINK("http://www.cnpol.ru/covers/21008.jpg","фото на сайте")</f>
        <v/>
      </c>
    </row>
    <row r="1633" ht="50.1" customHeight="1" s="3">
      <c r="A1633" s="23" t="n"/>
      <c r="B1633" s="24" t="inlineStr">
        <is>
          <t>16457</t>
        </is>
      </c>
      <c r="C1633" s="23" t="inlineStr">
        <is>
          <t>ЛР</t>
        </is>
      </c>
      <c r="D1633" s="23" t="inlineStr">
        <is>
          <t>Харди К.</t>
        </is>
      </c>
      <c r="E1633" s="23" t="inlineStr">
        <is>
          <t>Сладость твоих губ</t>
        </is>
      </c>
      <c r="F1633" s="23" t="n">
        <v>579</v>
      </c>
      <c r="G1633" s="23" t="n">
        <v>94</v>
      </c>
      <c r="H1633" s="23" t="n">
        <v>10</v>
      </c>
      <c r="I1633" s="23" t="n">
        <v>30</v>
      </c>
      <c r="J1633" s="23" t="inlineStr">
        <is>
          <t>978-5-227-06294-9</t>
        </is>
      </c>
      <c r="K1633" s="23" t="inlineStr">
        <is>
          <t>70x100 1/32</t>
        </is>
      </c>
      <c r="L1633" s="23" t="inlineStr">
        <is>
          <t>мяг</t>
        </is>
      </c>
      <c r="M1633" s="23" t="n">
        <v>158</v>
      </c>
      <c r="N1633" s="23" t="n">
        <v>2016</v>
      </c>
      <c r="O1633" s="23" t="n">
        <v>76</v>
      </c>
      <c r="P1633" s="23" t="n"/>
      <c r="Q1633" s="23" t="n"/>
      <c r="R1633" s="25" t="n"/>
      <c r="S1633" s="26">
        <f>HYPERLINK("http://www.cnpol.ru/covers/16457.jpg","фото на сайте")</f>
        <v/>
      </c>
    </row>
    <row r="1634" ht="50.1" customHeight="1" s="3">
      <c r="A1634" s="23" t="n"/>
      <c r="B1634" s="24" t="inlineStr">
        <is>
          <t>16074</t>
        </is>
      </c>
      <c r="C1634" s="23" t="inlineStr">
        <is>
          <t>ЛР</t>
        </is>
      </c>
      <c r="D1634" s="23" t="inlineStr">
        <is>
          <t>Смарт М.</t>
        </is>
      </c>
      <c r="E1634" s="23" t="inlineStr">
        <is>
          <t>Слаще меда</t>
        </is>
      </c>
      <c r="F1634" s="23" t="n">
        <v>528</v>
      </c>
      <c r="G1634" s="23" t="n">
        <v>94</v>
      </c>
      <c r="H1634" s="23" t="n">
        <v>10</v>
      </c>
      <c r="I1634" s="23" t="n">
        <v>30</v>
      </c>
      <c r="J1634" s="23" t="inlineStr">
        <is>
          <t>978-5-227-06061-7</t>
        </is>
      </c>
      <c r="K1634" s="23" t="inlineStr">
        <is>
          <t>70x100 1/32</t>
        </is>
      </c>
      <c r="L1634" s="23" t="inlineStr">
        <is>
          <t>мяг</t>
        </is>
      </c>
      <c r="M1634" s="23" t="n">
        <v>158</v>
      </c>
      <c r="N1634" s="23" t="n">
        <v>2015</v>
      </c>
      <c r="O1634" s="23" t="n">
        <v>76</v>
      </c>
      <c r="P1634" s="23" t="n"/>
      <c r="Q1634" s="23" t="n"/>
      <c r="R1634" s="25" t="n"/>
      <c r="S1634" s="26">
        <f>HYPERLINK("http://www.cnpol.ru/covers/16074.jpg","фото на сайте")</f>
        <v/>
      </c>
    </row>
    <row r="1635" ht="50.1" customHeight="1" s="3">
      <c r="A1635" s="23" t="n"/>
      <c r="B1635" s="24" t="inlineStr">
        <is>
          <t>18890</t>
        </is>
      </c>
      <c r="C1635" s="23" t="inlineStr">
        <is>
          <t>ЛР</t>
        </is>
      </c>
      <c r="D1635" s="23" t="inlineStr">
        <is>
          <t>Фей Д.</t>
        </is>
      </c>
      <c r="E1635" s="23" t="inlineStr">
        <is>
          <t>Слегка помолвлены</t>
        </is>
      </c>
      <c r="F1635" s="23" t="n">
        <v>931</v>
      </c>
      <c r="G1635" s="23" t="n">
        <v>94</v>
      </c>
      <c r="H1635" s="23" t="n">
        <v>10</v>
      </c>
      <c r="I1635" s="23" t="n">
        <v>30</v>
      </c>
      <c r="J1635" s="23" t="inlineStr">
        <is>
          <t>978-5-227-08769-0</t>
        </is>
      </c>
      <c r="K1635" s="23" t="inlineStr">
        <is>
          <t>70x100 1/32</t>
        </is>
      </c>
      <c r="L1635" s="23" t="inlineStr">
        <is>
          <t>мяг</t>
        </is>
      </c>
      <c r="M1635" s="23" t="n">
        <v>160</v>
      </c>
      <c r="N1635" s="23" t="n">
        <v>2019</v>
      </c>
      <c r="O1635" s="23" t="n">
        <v>76</v>
      </c>
      <c r="P1635" s="23" t="n"/>
      <c r="Q1635" s="23" t="n"/>
      <c r="R1635" s="25" t="n"/>
      <c r="S1635" s="26">
        <f>HYPERLINK("http://www.cnpol.ru/covers/18890.jpg","фото на сайте")</f>
        <v/>
      </c>
    </row>
    <row r="1636" ht="50.1" customHeight="1" s="3">
      <c r="A1636" s="23" t="n"/>
      <c r="B1636" s="24" t="inlineStr">
        <is>
          <t>18357</t>
        </is>
      </c>
      <c r="C1636" s="23" t="inlineStr">
        <is>
          <t>ЛР</t>
        </is>
      </c>
      <c r="D1636" s="23" t="inlineStr">
        <is>
          <t>Смарт М.</t>
        </is>
      </c>
      <c r="E1636" s="23" t="inlineStr">
        <is>
          <t>Следуй за своим сердцем</t>
        </is>
      </c>
      <c r="F1636" s="23" t="n">
        <v>844</v>
      </c>
      <c r="G1636" s="23" t="n">
        <v>94</v>
      </c>
      <c r="H1636" s="23" t="n">
        <v>10</v>
      </c>
      <c r="I1636" s="23" t="n">
        <v>30</v>
      </c>
      <c r="J1636" s="23" t="inlineStr">
        <is>
          <t>978-5-227-08329-6</t>
        </is>
      </c>
      <c r="K1636" s="23" t="inlineStr">
        <is>
          <t>70x100 1/32</t>
        </is>
      </c>
      <c r="L1636" s="23" t="inlineStr">
        <is>
          <t>мяг</t>
        </is>
      </c>
      <c r="M1636" s="23" t="n">
        <v>160</v>
      </c>
      <c r="N1636" s="23" t="n">
        <v>2018</v>
      </c>
      <c r="O1636" s="23" t="n">
        <v>76</v>
      </c>
      <c r="P1636" s="23" t="n"/>
      <c r="Q1636" s="23" t="n"/>
      <c r="R1636" s="25" t="n"/>
      <c r="S1636" s="26">
        <f>HYPERLINK("http://www.cnpol.ru/covers/18357.jpg","фото на сайте")</f>
        <v/>
      </c>
    </row>
    <row r="1637" ht="50.1" customHeight="1" s="3">
      <c r="A1637" s="23" t="n"/>
      <c r="B1637" s="24" t="inlineStr">
        <is>
          <t>14168</t>
        </is>
      </c>
      <c r="C1637" s="23" t="inlineStr">
        <is>
          <t>ЛР</t>
        </is>
      </c>
      <c r="D1637" s="23" t="inlineStr">
        <is>
          <t>Уэст Э.</t>
        </is>
      </c>
      <c r="E1637" s="23" t="inlineStr">
        <is>
          <t>Слияние двух одиночеств</t>
        </is>
      </c>
      <c r="F1637" s="23" t="n">
        <v>308</v>
      </c>
      <c r="G1637" s="23" t="n">
        <v>94</v>
      </c>
      <c r="H1637" s="23" t="n">
        <v>10</v>
      </c>
      <c r="I1637" s="23" t="n">
        <v>30</v>
      </c>
      <c r="J1637" s="23" t="inlineStr">
        <is>
          <t>978-5-227-04225-5</t>
        </is>
      </c>
      <c r="K1637" s="23" t="inlineStr">
        <is>
          <t>70x100 1/32</t>
        </is>
      </c>
      <c r="L1637" s="23" t="inlineStr">
        <is>
          <t>мяг</t>
        </is>
      </c>
      <c r="M1637" s="23" t="n">
        <v>158</v>
      </c>
      <c r="N1637" s="23" t="n">
        <v>2013</v>
      </c>
      <c r="O1637" s="23" t="n">
        <v>78</v>
      </c>
      <c r="P1637" s="23" t="n"/>
      <c r="Q1637" s="23" t="n"/>
      <c r="R1637" s="25" t="n"/>
      <c r="S1637" s="26">
        <f>HYPERLINK("http://www.cnpol.ru/covers/14168.jpg","фото на сайте")</f>
        <v/>
      </c>
    </row>
    <row r="1638" ht="50.1" customHeight="1" s="3">
      <c r="A1638" s="23" t="n"/>
      <c r="B1638" s="24" t="inlineStr">
        <is>
          <t>17942</t>
        </is>
      </c>
      <c r="C1638" s="23" t="inlineStr">
        <is>
          <t>ЛР</t>
        </is>
      </c>
      <c r="D1638" s="23" t="inlineStr">
        <is>
          <t>Сингх Н.</t>
        </is>
      </c>
      <c r="E1638" s="23" t="inlineStr">
        <is>
          <t>Служебный роман по-карибски</t>
        </is>
      </c>
      <c r="F1638" s="23" t="n">
        <v>786</v>
      </c>
      <c r="G1638" s="23" t="n">
        <v>94</v>
      </c>
      <c r="H1638" s="23" t="n">
        <v>10</v>
      </c>
      <c r="I1638" s="23" t="n">
        <v>30</v>
      </c>
      <c r="J1638" s="23" t="inlineStr">
        <is>
          <t>978-5-227-07992-3</t>
        </is>
      </c>
      <c r="K1638" s="23" t="inlineStr">
        <is>
          <t>70x100 1/32</t>
        </is>
      </c>
      <c r="L1638" s="23" t="inlineStr">
        <is>
          <t>мяг</t>
        </is>
      </c>
      <c r="M1638" s="23" t="n">
        <v>160</v>
      </c>
      <c r="N1638" s="23" t="n">
        <v>2018</v>
      </c>
      <c r="O1638" s="23" t="n">
        <v>76</v>
      </c>
      <c r="P1638" s="23" t="n"/>
      <c r="Q1638" s="23" t="n"/>
      <c r="R1638" s="25" t="n"/>
      <c r="S1638" s="26">
        <f>HYPERLINK("http://www.cnpol.ru/covers/17942.jpg","фото на сайте")</f>
        <v/>
      </c>
    </row>
    <row r="1639" ht="50.1" customHeight="1" s="3">
      <c r="A1639" s="23" t="n"/>
      <c r="B1639" s="24" t="inlineStr">
        <is>
          <t>20477</t>
        </is>
      </c>
      <c r="C1639" s="23" t="inlineStr">
        <is>
          <t>ЛР</t>
        </is>
      </c>
      <c r="D1639" s="23" t="inlineStr">
        <is>
          <t>Адамс М.</t>
        </is>
      </c>
      <c r="E1639" s="23" t="inlineStr">
        <is>
          <t>Случайный любимый муж</t>
        </is>
      </c>
      <c r="F1639" s="23" t="n">
        <v>1120</v>
      </c>
      <c r="G1639" s="23" t="n">
        <v>94</v>
      </c>
      <c r="H1639" s="23" t="n">
        <v>10</v>
      </c>
      <c r="I1639" s="23" t="n">
        <v>30</v>
      </c>
      <c r="J1639" s="23" t="inlineStr">
        <is>
          <t>978-5-227-10157-0</t>
        </is>
      </c>
      <c r="K1639" s="23" t="inlineStr">
        <is>
          <t>70x100 1/32</t>
        </is>
      </c>
      <c r="L1639" s="23" t="inlineStr">
        <is>
          <t>мяг</t>
        </is>
      </c>
      <c r="M1639" s="23" t="n">
        <v>159</v>
      </c>
      <c r="N1639" s="23" t="n">
        <v>2022</v>
      </c>
      <c r="O1639" s="23" t="n">
        <v>76</v>
      </c>
      <c r="P1639" s="23" t="n"/>
      <c r="Q1639" s="23" t="n"/>
      <c r="R1639" s="25" t="inlineStr">
        <is>
          <t>Готовя сюрприз своему бойфренду Алексу Камарасу, Морган Стэнфилд проникает тайком в его спальню и застает того в объятиях другой женщины. Пытаясь незаметно выбраться из дома, девушка случайно оказывается в спальне его брата Константина и остается там до утра. Именно к нему Морган всегда по-настоящему влекло, но нужна ли она мужчине, который давно решил, что в его жизни нет места для любви и семьи?..</t>
        </is>
      </c>
      <c r="S1639" s="26">
        <f>HYPERLINK("http://www.cnpol.ru/covers/20477.jpg","фото на сайте")</f>
        <v/>
      </c>
    </row>
    <row r="1640" ht="50.1" customHeight="1" s="3">
      <c r="A1640" s="23" t="n"/>
      <c r="B1640" s="24" t="inlineStr">
        <is>
          <t>18219</t>
        </is>
      </c>
      <c r="C1640" s="23" t="inlineStr">
        <is>
          <t>ЛР</t>
        </is>
      </c>
      <c r="D1640" s="23" t="inlineStr">
        <is>
          <t>Гилмор Д.</t>
        </is>
      </c>
      <c r="E1640" s="23" t="inlineStr">
        <is>
          <t>Слушай свое сердце</t>
        </is>
      </c>
      <c r="F1640" s="23" t="n">
        <v>820</v>
      </c>
      <c r="G1640" s="23" t="n">
        <v>94</v>
      </c>
      <c r="H1640" s="23" t="n">
        <v>10</v>
      </c>
      <c r="I1640" s="23" t="n">
        <v>30</v>
      </c>
      <c r="J1640" s="23" t="inlineStr">
        <is>
          <t>978-5-227-08156-8</t>
        </is>
      </c>
      <c r="K1640" s="23" t="inlineStr">
        <is>
          <t>70x100 1/32</t>
        </is>
      </c>
      <c r="L1640" s="23" t="inlineStr">
        <is>
          <t>мяг</t>
        </is>
      </c>
      <c r="M1640" s="23" t="n">
        <v>160</v>
      </c>
      <c r="N1640" s="23" t="n">
        <v>2018</v>
      </c>
      <c r="O1640" s="23" t="n">
        <v>76</v>
      </c>
      <c r="P1640" s="23" t="n"/>
      <c r="Q1640" s="23" t="n"/>
      <c r="R1640" s="25" t="n"/>
      <c r="S1640" s="26">
        <f>HYPERLINK("http://www.cnpol.ru/covers/18219.jpg","фото на сайте")</f>
        <v/>
      </c>
    </row>
    <row r="1641" ht="50.1" customHeight="1" s="3">
      <c r="A1641" s="23" t="n"/>
      <c r="B1641" s="24" t="inlineStr">
        <is>
          <t>17520</t>
        </is>
      </c>
      <c r="C1641" s="23" t="inlineStr">
        <is>
          <t>ЛР</t>
        </is>
      </c>
      <c r="D1641" s="23" t="inlineStr">
        <is>
          <t>Грэхем Л.</t>
        </is>
      </c>
      <c r="E1641" s="23" t="inlineStr">
        <is>
          <t>Сможем воскресить любовь?</t>
        </is>
      </c>
      <c r="F1641" s="23" t="n">
        <v>723</v>
      </c>
      <c r="G1641" s="23" t="n">
        <v>94</v>
      </c>
      <c r="H1641" s="23" t="n">
        <v>10</v>
      </c>
      <c r="I1641" s="23" t="n">
        <v>30</v>
      </c>
      <c r="J1641" s="23" t="inlineStr">
        <is>
          <t>978-5-227-07577-2</t>
        </is>
      </c>
      <c r="K1641" s="23" t="inlineStr">
        <is>
          <t>70x100 1/32</t>
        </is>
      </c>
      <c r="L1641" s="23" t="inlineStr">
        <is>
          <t>мяг</t>
        </is>
      </c>
      <c r="M1641" s="23" t="n">
        <v>160</v>
      </c>
      <c r="N1641" s="23" t="n">
        <v>2017</v>
      </c>
      <c r="O1641" s="23" t="n">
        <v>76</v>
      </c>
      <c r="P1641" s="23" t="n"/>
      <c r="Q1641" s="23" t="n"/>
      <c r="R1641" s="25" t="n"/>
      <c r="S1641" s="26">
        <f>HYPERLINK("http://www.cnpol.ru/covers/17520.jpg","фото на сайте")</f>
        <v/>
      </c>
    </row>
    <row r="1642" ht="50.1" customHeight="1" s="3">
      <c r="A1642" s="23" t="n"/>
      <c r="B1642" s="24" t="inlineStr">
        <is>
          <t>17245</t>
        </is>
      </c>
      <c r="C1642" s="23" t="inlineStr">
        <is>
          <t>ЛР</t>
        </is>
      </c>
      <c r="D1642" s="23" t="inlineStr">
        <is>
          <t>Паркер В.</t>
        </is>
      </c>
      <c r="E1642" s="23" t="inlineStr">
        <is>
          <t>Сможешь соблазнить?</t>
        </is>
      </c>
      <c r="F1642" s="23" t="n">
        <v>682</v>
      </c>
      <c r="G1642" s="23" t="n">
        <v>94</v>
      </c>
      <c r="H1642" s="23" t="n">
        <v>10</v>
      </c>
      <c r="I1642" s="23" t="n">
        <v>30</v>
      </c>
      <c r="J1642" s="23" t="inlineStr">
        <is>
          <t>978-5-227-07210-8</t>
        </is>
      </c>
      <c r="K1642" s="23" t="inlineStr">
        <is>
          <t>70x100 1/32</t>
        </is>
      </c>
      <c r="L1642" s="23" t="inlineStr">
        <is>
          <t>мяг</t>
        </is>
      </c>
      <c r="M1642" s="23" t="n">
        <v>160</v>
      </c>
      <c r="N1642" s="23" t="n">
        <v>2017</v>
      </c>
      <c r="O1642" s="23" t="n">
        <v>76</v>
      </c>
      <c r="P1642" s="23" t="n"/>
      <c r="Q1642" s="23" t="n"/>
      <c r="R1642" s="25" t="n"/>
      <c r="S1642" s="26">
        <f>HYPERLINK("http://www.cnpol.ru/covers/17245.jpg","фото на сайте")</f>
        <v/>
      </c>
    </row>
    <row r="1643" ht="50.1" customHeight="1" s="3">
      <c r="A1643" s="23" t="n"/>
      <c r="B1643" s="24" t="inlineStr">
        <is>
          <t>17611</t>
        </is>
      </c>
      <c r="C1643" s="23" t="inlineStr">
        <is>
          <t>ЛР</t>
        </is>
      </c>
      <c r="D1643" s="23" t="inlineStr">
        <is>
          <t>Грэхем Л.</t>
        </is>
      </c>
      <c r="E1643" s="23" t="inlineStr">
        <is>
          <t>Сначала забудь ее</t>
        </is>
      </c>
      <c r="F1643" s="23" t="n">
        <v>739</v>
      </c>
      <c r="G1643" s="23" t="n">
        <v>94</v>
      </c>
      <c r="H1643" s="23" t="n">
        <v>10</v>
      </c>
      <c r="I1643" s="23" t="n">
        <v>30</v>
      </c>
      <c r="J1643" s="23" t="inlineStr">
        <is>
          <t>978-5-227-07635-9</t>
        </is>
      </c>
      <c r="K1643" s="23" t="inlineStr">
        <is>
          <t>70x100 1/32</t>
        </is>
      </c>
      <c r="L1643" s="23" t="inlineStr">
        <is>
          <t>мяг</t>
        </is>
      </c>
      <c r="M1643" s="23" t="n">
        <v>160</v>
      </c>
      <c r="N1643" s="23" t="n">
        <v>2017</v>
      </c>
      <c r="O1643" s="23" t="n">
        <v>76</v>
      </c>
      <c r="P1643" s="23" t="n"/>
      <c r="Q1643" s="23" t="n"/>
      <c r="R1643" s="25" t="n"/>
      <c r="S1643" s="26">
        <f>HYPERLINK("http://www.cnpol.ru/covers/17611.jpg","фото на сайте")</f>
        <v/>
      </c>
    </row>
    <row r="1644" ht="50.1" customHeight="1" s="3">
      <c r="A1644" s="23" t="n"/>
      <c r="B1644" s="24" t="inlineStr">
        <is>
          <t>17163</t>
        </is>
      </c>
      <c r="C1644" s="23" t="inlineStr">
        <is>
          <t>ЛР</t>
        </is>
      </c>
      <c r="D1644" s="23" t="inlineStr">
        <is>
          <t>Стивенс С.</t>
        </is>
      </c>
      <c r="E1644" s="23" t="inlineStr">
        <is>
          <t>Снова в его постели</t>
        </is>
      </c>
      <c r="F1644" s="23" t="n">
        <v>673</v>
      </c>
      <c r="G1644" s="23" t="n">
        <v>94</v>
      </c>
      <c r="H1644" s="23" t="n">
        <v>10</v>
      </c>
      <c r="I1644" s="23" t="n">
        <v>30</v>
      </c>
      <c r="J1644" s="23" t="inlineStr">
        <is>
          <t>978-5-227-07123-1</t>
        </is>
      </c>
      <c r="K1644" s="23" t="inlineStr">
        <is>
          <t>70x100 1/32</t>
        </is>
      </c>
      <c r="L1644" s="23" t="inlineStr">
        <is>
          <t>мяг</t>
        </is>
      </c>
      <c r="M1644" s="23" t="n">
        <v>160</v>
      </c>
      <c r="N1644" s="23" t="n">
        <v>2016</v>
      </c>
      <c r="O1644" s="23" t="n">
        <v>76</v>
      </c>
      <c r="P1644" s="23" t="n"/>
      <c r="Q1644" s="23" t="n"/>
      <c r="R1644" s="25" t="n"/>
      <c r="S1644" s="26">
        <f>HYPERLINK("http://www.cnpol.ru/covers/17163.jpg","фото на сайте")</f>
        <v/>
      </c>
    </row>
    <row r="1645" ht="50.1" customHeight="1" s="3">
      <c r="A1645" s="23" t="n"/>
      <c r="B1645" s="24" t="inlineStr">
        <is>
          <t>18929</t>
        </is>
      </c>
      <c r="C1645" s="23" t="inlineStr">
        <is>
          <t>ЛР</t>
        </is>
      </c>
      <c r="D1645" s="23" t="inlineStr">
        <is>
          <t>Маринелли К.</t>
        </is>
      </c>
      <c r="E1645" s="23" t="inlineStr">
        <is>
          <t>Снова поверить в любовь</t>
        </is>
      </c>
      <c r="F1645" s="23" t="n">
        <v>939</v>
      </c>
      <c r="G1645" s="23" t="n">
        <v>94</v>
      </c>
      <c r="H1645" s="23" t="n">
        <v>10</v>
      </c>
      <c r="I1645" s="23" t="n">
        <v>30</v>
      </c>
      <c r="J1645" s="23" t="inlineStr">
        <is>
          <t>978-5-227-08789-8</t>
        </is>
      </c>
      <c r="K1645" s="23" t="inlineStr">
        <is>
          <t>70x100 1/32</t>
        </is>
      </c>
      <c r="L1645" s="23" t="inlineStr">
        <is>
          <t>мяг</t>
        </is>
      </c>
      <c r="M1645" s="23" t="n">
        <v>160</v>
      </c>
      <c r="N1645" s="23" t="n">
        <v>2019</v>
      </c>
      <c r="O1645" s="23" t="n">
        <v>76</v>
      </c>
      <c r="P1645" s="23" t="n"/>
      <c r="Q1645" s="23" t="n"/>
      <c r="R1645" s="25" t="n"/>
      <c r="S1645" s="26">
        <f>HYPERLINK("http://www.cnpol.ru/covers/18929.jpg","фото на сайте")</f>
        <v/>
      </c>
    </row>
    <row r="1646" ht="50.1" customHeight="1" s="3">
      <c r="A1646" s="23" t="n"/>
      <c r="B1646" s="24" t="inlineStr">
        <is>
          <t>18647</t>
        </is>
      </c>
      <c r="C1646" s="23" t="inlineStr">
        <is>
          <t>ЛР</t>
        </is>
      </c>
      <c r="D1646" s="23" t="inlineStr">
        <is>
          <t>Колтер Кара</t>
        </is>
      </c>
      <c r="E1646" s="23" t="inlineStr">
        <is>
          <t>Снова поверить в сказку</t>
        </is>
      </c>
      <c r="F1646" s="23" t="n">
        <v>890</v>
      </c>
      <c r="G1646" s="23" t="n">
        <v>94</v>
      </c>
      <c r="H1646" s="23" t="n">
        <v>10</v>
      </c>
      <c r="I1646" s="23" t="n">
        <v>30</v>
      </c>
      <c r="J1646" s="23" t="inlineStr">
        <is>
          <t>978-5-227-08543-6</t>
        </is>
      </c>
      <c r="K1646" s="23" t="inlineStr">
        <is>
          <t>70x100 1/32</t>
        </is>
      </c>
      <c r="L1646" s="23" t="inlineStr">
        <is>
          <t>мяг</t>
        </is>
      </c>
      <c r="M1646" s="23" t="n">
        <v>160</v>
      </c>
      <c r="N1646" s="23" t="n">
        <v>2019</v>
      </c>
      <c r="O1646" s="23" t="n">
        <v>78</v>
      </c>
      <c r="P1646" s="23" t="n"/>
      <c r="Q1646" s="23" t="n"/>
      <c r="R1646" s="25" t="n"/>
      <c r="S1646" s="26">
        <f>HYPERLINK("http://www.cnpol.ru/covers/18647.jpg","фото на сайте")</f>
        <v/>
      </c>
    </row>
    <row r="1647" ht="50.1" customHeight="1" s="3">
      <c r="A1647" s="23" t="inlineStr">
        <is>
          <t>Н</t>
        </is>
      </c>
      <c r="B1647" s="24" t="inlineStr">
        <is>
          <t>21059</t>
        </is>
      </c>
      <c r="C1647" s="23" t="inlineStr">
        <is>
          <t>ЛР</t>
        </is>
      </c>
      <c r="D1647" s="23" t="inlineStr">
        <is>
          <t>Коллинз Д.</t>
        </is>
      </c>
      <c r="E1647" s="23" t="inlineStr">
        <is>
          <t>Снова поверить в счастье</t>
        </is>
      </c>
      <c r="F1647" s="23" t="n">
        <v>1170</v>
      </c>
      <c r="G1647" s="23" t="n">
        <v>94</v>
      </c>
      <c r="H1647" s="23" t="n">
        <v>10</v>
      </c>
      <c r="I1647" s="23" t="n">
        <v>30</v>
      </c>
      <c r="J1647" s="23" t="inlineStr">
        <is>
          <t>978-5-227-10473-1</t>
        </is>
      </c>
      <c r="K1647" s="23" t="inlineStr">
        <is>
          <t>70x100 1/32</t>
        </is>
      </c>
      <c r="L1647" s="23" t="inlineStr">
        <is>
          <t>мяг</t>
        </is>
      </c>
      <c r="M1647" s="23" t="n">
        <v>159</v>
      </c>
      <c r="N1647" s="23" t="n">
        <v>2024</v>
      </c>
      <c r="O1647" s="23" t="n">
        <v>76</v>
      </c>
      <c r="P1647" s="23" t="n"/>
      <c r="Q1647" s="23" t="n"/>
      <c r="R1647" s="25" t="inlineStr">
        <is>
          <t>Куинн, сирота, с детства скитавшаяся по детским домам и приемным семьям, верит в любовь, но не верит в брак и считает, что нужно быть независимой и самостоятельно строить свою жизнь. Она отказывается рожать ребенка, так как боится, что он, если с ней что-нибудь случится, повторит ее судьбу. Мика, на примере родителей убедившийся в том, что любви не существует, верит в брак, однако не хочет связывать себя семейными узами и относится к Куинн, как к ребенку. Но однажды оба понимают, что все их представления ошибочны…</t>
        </is>
      </c>
      <c r="S1647" s="26">
        <f>HYPERLINK("http://www.cnpol.ru/covers/21059.jpg","фото на сайте")</f>
        <v/>
      </c>
    </row>
    <row r="1648" ht="50.1" customHeight="1" s="3">
      <c r="A1648" s="23" t="n"/>
      <c r="B1648" s="24" t="inlineStr">
        <is>
          <t>20385</t>
        </is>
      </c>
      <c r="C1648" s="23" t="inlineStr">
        <is>
          <t>ЛР</t>
        </is>
      </c>
      <c r="D1648" s="23" t="inlineStr">
        <is>
          <t>Мейнард Д.</t>
        </is>
      </c>
      <c r="E1648" s="23" t="inlineStr">
        <is>
          <t>Снять запрет на любовь</t>
        </is>
      </c>
      <c r="F1648" s="23" t="n">
        <v>1106</v>
      </c>
      <c r="G1648" s="23" t="n">
        <v>94</v>
      </c>
      <c r="H1648" s="23" t="n">
        <v>10</v>
      </c>
      <c r="I1648" s="23" t="n">
        <v>30</v>
      </c>
      <c r="J1648" s="23" t="inlineStr">
        <is>
          <t>978-5-227-10022-1</t>
        </is>
      </c>
      <c r="K1648" s="23" t="inlineStr">
        <is>
          <t>70x100 1/32</t>
        </is>
      </c>
      <c r="L1648" s="23" t="inlineStr">
        <is>
          <t>мяг</t>
        </is>
      </c>
      <c r="M1648" s="23" t="n">
        <v>159</v>
      </c>
      <c r="N1648" s="23" t="n">
        <v>2022</v>
      </c>
      <c r="O1648" s="23" t="n">
        <v>76</v>
      </c>
      <c r="P1648" s="23" t="n"/>
      <c r="Q1648" s="23" t="n"/>
      <c r="R1648" s="25" t="n"/>
      <c r="S1648" s="26">
        <f>HYPERLINK("http://www.cnpol.ru/covers/20385.jpg","фото на сайте")</f>
        <v/>
      </c>
    </row>
    <row r="1649" ht="50.1" customHeight="1" s="3">
      <c r="A1649" s="23" t="n"/>
      <c r="B1649" s="24" t="inlineStr">
        <is>
          <t>19538</t>
        </is>
      </c>
      <c r="C1649" s="23" t="inlineStr">
        <is>
          <t>ЛР</t>
        </is>
      </c>
      <c r="D1649" s="23" t="inlineStr">
        <is>
          <t>Грин Э.</t>
        </is>
      </c>
      <c r="E1649" s="23" t="inlineStr">
        <is>
          <t>Соблазн по­испански</t>
        </is>
      </c>
      <c r="F1649" s="23" t="n">
        <v>1021</v>
      </c>
      <c r="G1649" s="23" t="n">
        <v>94</v>
      </c>
      <c r="H1649" s="23" t="n">
        <v>10</v>
      </c>
      <c r="I1649" s="23" t="n">
        <v>30</v>
      </c>
      <c r="J1649" s="23" t="inlineStr">
        <is>
          <t>978-5-227-09180-2</t>
        </is>
      </c>
      <c r="K1649" s="23" t="inlineStr">
        <is>
          <t>70x100 1/32</t>
        </is>
      </c>
      <c r="L1649" s="23" t="inlineStr">
        <is>
          <t>мяг</t>
        </is>
      </c>
      <c r="M1649" s="23" t="n">
        <v>160</v>
      </c>
      <c r="N1649" s="23" t="n">
        <v>2021</v>
      </c>
      <c r="O1649" s="23" t="n">
        <v>76</v>
      </c>
      <c r="P1649" s="23" t="n"/>
      <c r="Q1649" s="23" t="n"/>
      <c r="R1649" s="25" t="n"/>
      <c r="S1649" s="26">
        <f>HYPERLINK("http://www.cnpol.ru/covers/19538.jpg","фото на сайте")</f>
        <v/>
      </c>
    </row>
    <row r="1650" ht="50.1" customHeight="1" s="3">
      <c r="A1650" s="23" t="n"/>
      <c r="B1650" s="24" t="inlineStr">
        <is>
          <t>20712</t>
        </is>
      </c>
      <c r="C1650" s="23" t="inlineStr">
        <is>
          <t>ЛР</t>
        </is>
      </c>
      <c r="D1650" s="23" t="inlineStr">
        <is>
          <t>Беннет Д.</t>
        </is>
      </c>
      <c r="E1650" s="23" t="inlineStr">
        <is>
          <t>Соблазн со второго дубля</t>
        </is>
      </c>
      <c r="F1650" s="23" t="n">
        <v>1145</v>
      </c>
      <c r="G1650" s="23" t="n">
        <v>94</v>
      </c>
      <c r="H1650" s="23" t="n">
        <v>10</v>
      </c>
      <c r="I1650" s="23" t="n">
        <v>30</v>
      </c>
      <c r="J1650" s="23" t="inlineStr">
        <is>
          <t>978-5-227-10344-4</t>
        </is>
      </c>
      <c r="K1650" s="23" t="inlineStr">
        <is>
          <t>70x100 1/32</t>
        </is>
      </c>
      <c r="L1650" s="23" t="inlineStr">
        <is>
          <t>мяг</t>
        </is>
      </c>
      <c r="M1650" s="23" t="n">
        <v>159</v>
      </c>
      <c r="N1650" s="23" t="n">
        <v>2023</v>
      </c>
      <c r="O1650" s="23" t="n">
        <v>76</v>
      </c>
      <c r="P1650" s="23" t="n"/>
      <c r="Q1650" s="23" t="n"/>
      <c r="R1650" s="25" t="inlineStr">
        <is>
          <t>Кэмден — успешный юрист и владелец преуспевающей адвокатской конторы — переживает кризис в отношениях с женой Делайлой, поскольку слишком много времени уделяет работе. Делайла — девушка из небогатой семьи, но благодаря силе духа и упорству также преуспела в бизнесе и теперь вместе с сестрами является совладелицей успешной винокурни. Однако родители Кэмдена считают ее расчетливой особой, недостойной их безупречного сына. Останется ли Делайла с вечно занятым мужем, продолжая терпеть постоянные нападки от его родителей, или в ее жизни откроется новая страница?..</t>
        </is>
      </c>
      <c r="S1650" s="26">
        <f>HYPERLINK("http://www.cnpol.ru/covers/20712.jpg","фото на сайте")</f>
        <v/>
      </c>
    </row>
    <row r="1651" ht="50.1" customHeight="1" s="3">
      <c r="A1651" s="23" t="n"/>
      <c r="B1651" s="24" t="inlineStr">
        <is>
          <t>18254</t>
        </is>
      </c>
      <c r="C1651" s="23" t="inlineStr">
        <is>
          <t>ЛР</t>
        </is>
      </c>
      <c r="D1651" s="23" t="inlineStr">
        <is>
          <t>Пемброк С.</t>
        </is>
      </c>
      <c r="E1651" s="23" t="inlineStr">
        <is>
          <t>Соблазнение по голливудскому сценарию</t>
        </is>
      </c>
      <c r="F1651" s="23" t="n">
        <v>826</v>
      </c>
      <c r="G1651" s="23" t="n">
        <v>94</v>
      </c>
      <c r="H1651" s="23" t="n">
        <v>10</v>
      </c>
      <c r="I1651" s="23" t="n">
        <v>30</v>
      </c>
      <c r="J1651" s="23" t="inlineStr">
        <is>
          <t>978-5-227-08220-6</t>
        </is>
      </c>
      <c r="K1651" s="23" t="inlineStr">
        <is>
          <t>70x100 1/32</t>
        </is>
      </c>
      <c r="L1651" s="23" t="inlineStr">
        <is>
          <t>мяг</t>
        </is>
      </c>
      <c r="M1651" s="23" t="n">
        <v>160</v>
      </c>
      <c r="N1651" s="23" t="n">
        <v>2018</v>
      </c>
      <c r="O1651" s="23" t="n">
        <v>76</v>
      </c>
      <c r="P1651" s="23" t="n"/>
      <c r="Q1651" s="23" t="n"/>
      <c r="R1651" s="25" t="n"/>
      <c r="S1651" s="26">
        <f>HYPERLINK("http://www.cnpol.ru/covers/18254.jpg","фото на сайте")</f>
        <v/>
      </c>
    </row>
    <row r="1652" ht="50.1" customHeight="1" s="3">
      <c r="A1652" s="23" t="n"/>
      <c r="B1652" s="24" t="inlineStr">
        <is>
          <t>18675</t>
        </is>
      </c>
      <c r="C1652" s="23" t="inlineStr">
        <is>
          <t>ЛР</t>
        </is>
      </c>
      <c r="D1652" s="23" t="inlineStr">
        <is>
          <t>Мейер С.</t>
        </is>
      </c>
      <c r="E1652" s="23" t="inlineStr">
        <is>
          <t>Соблазнение по графику</t>
        </is>
      </c>
      <c r="F1652" s="23" t="n">
        <v>895</v>
      </c>
      <c r="G1652" s="23" t="n">
        <v>94</v>
      </c>
      <c r="H1652" s="23" t="n">
        <v>10</v>
      </c>
      <c r="I1652" s="23" t="n">
        <v>30</v>
      </c>
      <c r="J1652" s="23" t="inlineStr">
        <is>
          <t>978-5-227-08548-1</t>
        </is>
      </c>
      <c r="K1652" s="23" t="inlineStr">
        <is>
          <t>70x100 1/32</t>
        </is>
      </c>
      <c r="L1652" s="23" t="inlineStr">
        <is>
          <t>мяг</t>
        </is>
      </c>
      <c r="M1652" s="23" t="n">
        <v>160</v>
      </c>
      <c r="N1652" s="23" t="n">
        <v>2019</v>
      </c>
      <c r="O1652" s="23" t="n">
        <v>78</v>
      </c>
      <c r="P1652" s="23" t="n"/>
      <c r="Q1652" s="23" t="n"/>
      <c r="R1652" s="25" t="n"/>
      <c r="S1652" s="26">
        <f>HYPERLINK("http://www.cnpol.ru/covers/18675.jpg","фото на сайте")</f>
        <v/>
      </c>
    </row>
    <row r="1653" ht="50.1" customHeight="1" s="3">
      <c r="A1653" s="23" t="n"/>
      <c r="B1653" s="24" t="inlineStr">
        <is>
          <t>20012</t>
        </is>
      </c>
      <c r="C1653" s="23" t="inlineStr">
        <is>
          <t>ЛР</t>
        </is>
      </c>
      <c r="D1653" s="23" t="inlineStr">
        <is>
          <t>Харди К.</t>
        </is>
      </c>
      <c r="E1653" s="23" t="inlineStr">
        <is>
          <t>Соблазнение по ее сценарию</t>
        </is>
      </c>
      <c r="F1653" s="23" t="n">
        <v>1074</v>
      </c>
      <c r="G1653" s="23" t="n">
        <v>94</v>
      </c>
      <c r="H1653" s="23" t="n">
        <v>10</v>
      </c>
      <c r="I1653" s="23" t="n">
        <v>30</v>
      </c>
      <c r="J1653" s="23" t="inlineStr">
        <is>
          <t>978-5-227-09613-5</t>
        </is>
      </c>
      <c r="K1653" s="23" t="inlineStr">
        <is>
          <t>70x100 1/32</t>
        </is>
      </c>
      <c r="L1653" s="23" t="inlineStr">
        <is>
          <t>мяг</t>
        </is>
      </c>
      <c r="M1653" s="23" t="n">
        <v>159</v>
      </c>
      <c r="N1653" s="23" t="n">
        <v>2022</v>
      </c>
      <c r="O1653" s="23" t="n">
        <v>76</v>
      </c>
      <c r="P1653" s="23" t="n"/>
      <c r="Q1653" s="23" t="n"/>
      <c r="R1653" s="25" t="n"/>
      <c r="S1653" s="26">
        <f>HYPERLINK("http://www.cnpol.ru/covers/20012.jpg","фото на сайте")</f>
        <v/>
      </c>
    </row>
    <row r="1654" ht="50.1" customHeight="1" s="3">
      <c r="A1654" s="23" t="n"/>
      <c r="B1654" s="24" t="inlineStr">
        <is>
          <t>19357</t>
        </is>
      </c>
      <c r="C1654" s="23" t="inlineStr">
        <is>
          <t>ЛР</t>
        </is>
      </c>
      <c r="D1654" s="23" t="inlineStr">
        <is>
          <t>Рок Джоанна</t>
        </is>
      </c>
      <c r="E1654" s="23" t="inlineStr">
        <is>
          <t>Соблазнение по­карибски</t>
        </is>
      </c>
      <c r="F1654" s="23" t="n">
        <v>999</v>
      </c>
      <c r="G1654" s="23" t="n">
        <v>94</v>
      </c>
      <c r="H1654" s="23" t="n">
        <v>10</v>
      </c>
      <c r="I1654" s="23" t="n">
        <v>30</v>
      </c>
      <c r="J1654" s="23" t="inlineStr">
        <is>
          <t>978-5-227-09079-9</t>
        </is>
      </c>
      <c r="K1654" s="23" t="inlineStr">
        <is>
          <t>70x100 1/32</t>
        </is>
      </c>
      <c r="L1654" s="23" t="inlineStr">
        <is>
          <t>мяг</t>
        </is>
      </c>
      <c r="M1654" s="23" t="n">
        <v>160</v>
      </c>
      <c r="N1654" s="23" t="n">
        <v>2020</v>
      </c>
      <c r="O1654" s="23" t="n">
        <v>76</v>
      </c>
      <c r="P1654" s="23" t="n"/>
      <c r="Q1654" s="23" t="n"/>
      <c r="R1654" s="25" t="n"/>
      <c r="S1654" s="26">
        <f>HYPERLINK("http://www.cnpol.ru/covers/19357.jpg","фото на сайте")</f>
        <v/>
      </c>
    </row>
    <row r="1655" ht="50.1" customHeight="1" s="3">
      <c r="A1655" s="23" t="n"/>
      <c r="B1655" s="24" t="inlineStr">
        <is>
          <t>18923</t>
        </is>
      </c>
      <c r="C1655" s="23" t="inlineStr">
        <is>
          <t>ЛР</t>
        </is>
      </c>
      <c r="D1655" s="23" t="inlineStr">
        <is>
          <t>Блейк Э.</t>
        </is>
      </c>
      <c r="E1655" s="23" t="inlineStr">
        <is>
          <t>Соблазненная на его условиях</t>
        </is>
      </c>
      <c r="F1655" s="23" t="n">
        <v>936</v>
      </c>
      <c r="G1655" s="23" t="n">
        <v>94</v>
      </c>
      <c r="H1655" s="23" t="n">
        <v>10</v>
      </c>
      <c r="I1655" s="23" t="n">
        <v>30</v>
      </c>
      <c r="J1655" s="23" t="inlineStr">
        <is>
          <t>978-5-227-08774-4</t>
        </is>
      </c>
      <c r="K1655" s="23" t="inlineStr">
        <is>
          <t>70x100 1/32</t>
        </is>
      </c>
      <c r="L1655" s="23" t="inlineStr">
        <is>
          <t>мяг</t>
        </is>
      </c>
      <c r="M1655" s="23" t="n">
        <v>160</v>
      </c>
      <c r="N1655" s="23" t="n">
        <v>2019</v>
      </c>
      <c r="O1655" s="23" t="n">
        <v>76</v>
      </c>
      <c r="P1655" s="23" t="n"/>
      <c r="Q1655" s="23" t="n"/>
      <c r="R1655" s="25" t="n"/>
      <c r="S1655" s="26">
        <f>HYPERLINK("http://www.cnpol.ru/covers/18923.jpg","фото на сайте")</f>
        <v/>
      </c>
    </row>
    <row r="1656" ht="50.1" customHeight="1" s="3">
      <c r="A1656" s="23" t="n"/>
      <c r="B1656" s="24" t="inlineStr">
        <is>
          <t>18802</t>
        </is>
      </c>
      <c r="C1656" s="23" t="inlineStr">
        <is>
          <t>ЛР</t>
        </is>
      </c>
      <c r="D1656" s="23" t="inlineStr">
        <is>
          <t>Чайлд М.</t>
        </is>
      </c>
      <c r="E1656" s="23" t="inlineStr">
        <is>
          <t>Соблазни меня в Вегасе</t>
        </is>
      </c>
      <c r="F1656" s="23" t="n">
        <v>915</v>
      </c>
      <c r="G1656" s="23" t="n">
        <v>94</v>
      </c>
      <c r="H1656" s="23" t="n">
        <v>10</v>
      </c>
      <c r="I1656" s="23" t="n">
        <v>30</v>
      </c>
      <c r="J1656" s="23" t="inlineStr">
        <is>
          <t>978-5-227-08692-1</t>
        </is>
      </c>
      <c r="K1656" s="23" t="inlineStr">
        <is>
          <t>70x100 1/32</t>
        </is>
      </c>
      <c r="L1656" s="23" t="inlineStr">
        <is>
          <t>мяг</t>
        </is>
      </c>
      <c r="M1656" s="23" t="n">
        <v>160</v>
      </c>
      <c r="N1656" s="23" t="n">
        <v>2019</v>
      </c>
      <c r="O1656" s="23" t="n">
        <v>76</v>
      </c>
      <c r="P1656" s="23" t="n"/>
      <c r="Q1656" s="23" t="n"/>
      <c r="R1656" s="25" t="n"/>
      <c r="S1656" s="26">
        <f>HYPERLINK("http://www.cnpol.ru/covers/18802.jpg","фото на сайте")</f>
        <v/>
      </c>
    </row>
    <row r="1657" ht="50.1" customHeight="1" s="3">
      <c r="A1657" s="23" t="n"/>
      <c r="B1657" s="24" t="inlineStr">
        <is>
          <t>20542</t>
        </is>
      </c>
      <c r="C1657" s="23" t="inlineStr">
        <is>
          <t>ЛР</t>
        </is>
      </c>
      <c r="D1657" s="23" t="inlineStr">
        <is>
          <t>Шоу Ш.</t>
        </is>
      </c>
      <c r="E1657" s="23" t="inlineStr">
        <is>
          <t>Соблазнить или влюбиться?</t>
        </is>
      </c>
      <c r="F1657" s="23" t="n">
        <v>1130</v>
      </c>
      <c r="G1657" s="23" t="n">
        <v>94</v>
      </c>
      <c r="H1657" s="23" t="n">
        <v>10</v>
      </c>
      <c r="I1657" s="23" t="n">
        <v>30</v>
      </c>
      <c r="J1657" s="23" t="inlineStr">
        <is>
          <t>978-5-227-10246-1</t>
        </is>
      </c>
      <c r="K1657" s="23" t="inlineStr">
        <is>
          <t>70x100 1/32</t>
        </is>
      </c>
      <c r="L1657" s="23" t="inlineStr">
        <is>
          <t>мяг</t>
        </is>
      </c>
      <c r="M1657" s="23" t="n">
        <v>159</v>
      </c>
      <c r="N1657" s="23" t="n">
        <v>2023</v>
      </c>
      <c r="O1657" s="23" t="n">
        <v>76</v>
      </c>
      <c r="P1657" s="23" t="n"/>
      <c r="Q1657" s="23" t="n"/>
      <c r="R1657" s="25" t="inlineStr">
        <is>
          <t>Могут ли в современном мире повстречаться принц и русалка? Могут, если девушка плавает в моноласте, а яхта принца потерпела крушение. Но может ли между такими разными людьми зародиться искреннее чувство?..</t>
        </is>
      </c>
      <c r="S1657" s="26">
        <f>HYPERLINK("http://www.cnpol.ru/covers/20542.jpg","фото на сайте")</f>
        <v/>
      </c>
    </row>
    <row r="1658" ht="50.1" customHeight="1" s="3">
      <c r="A1658" s="23" t="n"/>
      <c r="B1658" s="24" t="inlineStr">
        <is>
          <t>19888</t>
        </is>
      </c>
      <c r="C1658" s="23" t="inlineStr">
        <is>
          <t>ЛР</t>
        </is>
      </c>
      <c r="D1658" s="23" t="inlineStr">
        <is>
          <t>Сингх Н.</t>
        </is>
      </c>
      <c r="E1658" s="23" t="inlineStr">
        <is>
          <t>Соблазнить любой ценой</t>
        </is>
      </c>
      <c r="F1658" s="23" t="n">
        <v>1058</v>
      </c>
      <c r="G1658" s="23" t="n">
        <v>94</v>
      </c>
      <c r="H1658" s="23" t="n">
        <v>10</v>
      </c>
      <c r="I1658" s="23" t="n">
        <v>30</v>
      </c>
      <c r="J1658" s="23" t="inlineStr">
        <is>
          <t>978-5-227-09482-7</t>
        </is>
      </c>
      <c r="K1658" s="23" t="inlineStr">
        <is>
          <t>70x100 1/32</t>
        </is>
      </c>
      <c r="L1658" s="23" t="inlineStr">
        <is>
          <t>мяг</t>
        </is>
      </c>
      <c r="M1658" s="23" t="n">
        <v>159</v>
      </c>
      <c r="N1658" s="23" t="n">
        <v>2021</v>
      </c>
      <c r="O1658" s="23" t="n">
        <v>76</v>
      </c>
      <c r="P1658" s="23" t="n"/>
      <c r="Q1658" s="23" t="n"/>
      <c r="R1658" s="25" t="n"/>
      <c r="S1658" s="26">
        <f>HYPERLINK("http://www.cnpol.ru/covers/19888.jpg","фото на сайте")</f>
        <v/>
      </c>
    </row>
    <row r="1659" ht="50.1" customHeight="1" s="3">
      <c r="A1659" s="23" t="n"/>
      <c r="B1659" s="24" t="inlineStr">
        <is>
          <t>17162</t>
        </is>
      </c>
      <c r="C1659" s="23" t="inlineStr">
        <is>
          <t>ЛР</t>
        </is>
      </c>
      <c r="D1659" s="23" t="inlineStr">
        <is>
          <t>Блейк М.</t>
        </is>
      </c>
      <c r="E1659" s="23" t="inlineStr">
        <is>
          <t>Согласна на все</t>
        </is>
      </c>
      <c r="F1659" s="23" t="n">
        <v>672</v>
      </c>
      <c r="G1659" s="23" t="n">
        <v>94</v>
      </c>
      <c r="H1659" s="23" t="n">
        <v>10</v>
      </c>
      <c r="I1659" s="23" t="n">
        <v>30</v>
      </c>
      <c r="J1659" s="23" t="inlineStr">
        <is>
          <t>978-5-227-07122-4</t>
        </is>
      </c>
      <c r="K1659" s="23" t="inlineStr">
        <is>
          <t>70x100 1/32</t>
        </is>
      </c>
      <c r="L1659" s="23" t="inlineStr">
        <is>
          <t>мяг</t>
        </is>
      </c>
      <c r="M1659" s="23" t="n">
        <v>160</v>
      </c>
      <c r="N1659" s="23" t="n">
        <v>2016</v>
      </c>
      <c r="O1659" s="23" t="n">
        <v>76</v>
      </c>
      <c r="P1659" s="23" t="n"/>
      <c r="Q1659" s="23" t="n"/>
      <c r="R1659" s="25" t="n"/>
      <c r="S1659" s="26">
        <f>HYPERLINK("http://www.cnpol.ru/covers/17162.jpg","фото на сайте")</f>
        <v/>
      </c>
    </row>
    <row r="1660" ht="50.1" customHeight="1" s="3">
      <c r="A1660" s="23" t="n"/>
      <c r="B1660" s="24" t="inlineStr">
        <is>
          <t>16173</t>
        </is>
      </c>
      <c r="C1660" s="23" t="inlineStr">
        <is>
          <t>ЛР</t>
        </is>
      </c>
      <c r="D1660" s="23" t="inlineStr">
        <is>
          <t>Монро Л.</t>
        </is>
      </c>
      <c r="E1660" s="23" t="inlineStr">
        <is>
          <t>Согласна на все</t>
        </is>
      </c>
      <c r="F1660" s="23" t="n">
        <v>545</v>
      </c>
      <c r="G1660" s="23" t="n">
        <v>94</v>
      </c>
      <c r="H1660" s="23" t="n">
        <v>10</v>
      </c>
      <c r="I1660" s="23" t="n">
        <v>30</v>
      </c>
      <c r="J1660" s="23" t="inlineStr">
        <is>
          <t>978-5-227-06144-7</t>
        </is>
      </c>
      <c r="K1660" s="23" t="inlineStr">
        <is>
          <t>70x100 1/32</t>
        </is>
      </c>
      <c r="L1660" s="23" t="inlineStr">
        <is>
          <t>мяг</t>
        </is>
      </c>
      <c r="M1660" s="23" t="n">
        <v>158</v>
      </c>
      <c r="N1660" s="23" t="n">
        <v>2015</v>
      </c>
      <c r="O1660" s="23" t="n">
        <v>76</v>
      </c>
      <c r="P1660" s="23" t="n"/>
      <c r="Q1660" s="23" t="n"/>
      <c r="R1660" s="25" t="n"/>
      <c r="S1660" s="26">
        <f>HYPERLINK("http://www.cnpol.ru/covers/16173.jpg","фото на сайте")</f>
        <v/>
      </c>
    </row>
    <row r="1661" ht="50.1" customHeight="1" s="3">
      <c r="A1661" s="23" t="n"/>
      <c r="B1661" s="24" t="inlineStr">
        <is>
          <t>17082</t>
        </is>
      </c>
      <c r="C1661" s="23" t="inlineStr">
        <is>
          <t>ЛР</t>
        </is>
      </c>
      <c r="D1661" s="23" t="inlineStr">
        <is>
          <t>Крюс К.</t>
        </is>
      </c>
      <c r="E1661" s="23" t="inlineStr">
        <is>
          <t>Согрей мое сердце</t>
        </is>
      </c>
      <c r="F1661" s="23" t="n">
        <v>662</v>
      </c>
      <c r="G1661" s="23" t="n">
        <v>94</v>
      </c>
      <c r="H1661" s="23" t="n">
        <v>10</v>
      </c>
      <c r="I1661" s="23" t="n">
        <v>30</v>
      </c>
      <c r="J1661" s="23" t="inlineStr">
        <is>
          <t>978-5-227-07071-5</t>
        </is>
      </c>
      <c r="K1661" s="23" t="inlineStr">
        <is>
          <t>70x100 1/32</t>
        </is>
      </c>
      <c r="L1661" s="23" t="inlineStr">
        <is>
          <t>мяг</t>
        </is>
      </c>
      <c r="M1661" s="23" t="n">
        <v>160</v>
      </c>
      <c r="N1661" s="23" t="n">
        <v>2016</v>
      </c>
      <c r="O1661" s="23" t="n">
        <v>76</v>
      </c>
      <c r="P1661" s="23" t="n"/>
      <c r="Q1661" s="23" t="n"/>
      <c r="R1661" s="25" t="n"/>
      <c r="S1661" s="26">
        <f>HYPERLINK("http://www.cnpol.ru/covers/17082.jpg","фото на сайте")</f>
        <v/>
      </c>
    </row>
    <row r="1662" ht="50.1" customHeight="1" s="3">
      <c r="A1662" s="23" t="n"/>
      <c r="B1662" s="24" t="inlineStr">
        <is>
          <t>17914</t>
        </is>
      </c>
      <c r="C1662" s="23" t="inlineStr">
        <is>
          <t>ЛР</t>
        </is>
      </c>
      <c r="D1662" s="23" t="inlineStr">
        <is>
          <t>Шоу Ш.</t>
        </is>
      </c>
      <c r="E1662" s="23" t="inlineStr">
        <is>
          <t>Спасительная сила чувств</t>
        </is>
      </c>
      <c r="F1662" s="23" t="n">
        <v>784</v>
      </c>
      <c r="G1662" s="23" t="n">
        <v>94</v>
      </c>
      <c r="H1662" s="23" t="n">
        <v>10</v>
      </c>
      <c r="I1662" s="23" t="n">
        <v>30</v>
      </c>
      <c r="J1662" s="23" t="inlineStr">
        <is>
          <t>978-5-227-07990-9</t>
        </is>
      </c>
      <c r="K1662" s="23" t="inlineStr">
        <is>
          <t>70x100 1/32</t>
        </is>
      </c>
      <c r="L1662" s="23" t="inlineStr">
        <is>
          <t>мяг</t>
        </is>
      </c>
      <c r="M1662" s="23" t="n">
        <v>160</v>
      </c>
      <c r="N1662" s="23" t="n">
        <v>2018</v>
      </c>
      <c r="O1662" s="23" t="n">
        <v>76</v>
      </c>
      <c r="P1662" s="23" t="n"/>
      <c r="Q1662" s="23" t="n"/>
      <c r="R1662" s="25" t="n"/>
      <c r="S1662" s="26">
        <f>HYPERLINK("http://www.cnpol.ru/covers/17914.jpg","фото на сайте")</f>
        <v/>
      </c>
    </row>
    <row r="1663" ht="50.1" customHeight="1" s="3">
      <c r="A1663" s="23" t="n"/>
      <c r="B1663" s="24" t="inlineStr">
        <is>
          <t>20785</t>
        </is>
      </c>
      <c r="C1663" s="23" t="inlineStr">
        <is>
          <t>ЛР</t>
        </is>
      </c>
      <c r="D1663" s="23" t="inlineStr">
        <is>
          <t>Харрис Л.Р.</t>
        </is>
      </c>
      <c r="E1663" s="23" t="inlineStr">
        <is>
          <t>Спроси мое сердце</t>
        </is>
      </c>
      <c r="F1663" s="23" t="n">
        <v>1150</v>
      </c>
      <c r="G1663" s="23" t="n">
        <v>94</v>
      </c>
      <c r="H1663" s="23" t="n">
        <v>10</v>
      </c>
      <c r="I1663" s="23" t="n">
        <v>30</v>
      </c>
      <c r="J1663" s="23" t="inlineStr">
        <is>
          <t>978-5-227-10363-5</t>
        </is>
      </c>
      <c r="K1663" s="23" t="inlineStr">
        <is>
          <t>70x100 1/32</t>
        </is>
      </c>
      <c r="L1663" s="23" t="inlineStr">
        <is>
          <t>мяг</t>
        </is>
      </c>
      <c r="M1663" s="23" t="n">
        <v>159</v>
      </c>
      <c r="N1663" s="23" t="n">
        <v>2023</v>
      </c>
      <c r="O1663" s="23" t="n">
        <v>76</v>
      </c>
      <c r="P1663" s="23" t="n"/>
      <c r="Q1663" s="23" t="n"/>
      <c r="R1663" s="25" t="inlineStr">
        <is>
          <t>Шеридан Слоан решилась на ЭКО, чтобы родить ребенка для бесплодной сестры. Но из-за ошибки в клинике отцом ее будущего ребенка стал не зять, а король небольшой арабской страны Рашид аль-Хассан. По его воле Шеридан оказалась далеко от дома — замужем за едва знакомым мужчиной, замкнувшимся в себе после семейной трагедии. Сумеют ли Шеридан и Рашид понять, что их связывает нечто большее, чем стечение обстоятельств?..</t>
        </is>
      </c>
      <c r="S1663" s="26">
        <f>HYPERLINK("http://www.cnpol.ru/covers/20785.jpg","фото на сайте")</f>
        <v/>
      </c>
    </row>
    <row r="1664" ht="50.1" customHeight="1" s="3">
      <c r="A1664" s="23" t="n"/>
      <c r="B1664" s="24" t="inlineStr">
        <is>
          <t>19642</t>
        </is>
      </c>
      <c r="C1664" s="23" t="inlineStr">
        <is>
          <t>ЛР</t>
        </is>
      </c>
      <c r="D1664" s="23" t="inlineStr">
        <is>
          <t>Андерсон Н.</t>
        </is>
      </c>
      <c r="E1664" s="23" t="inlineStr">
        <is>
          <t>Срочная свадьба</t>
        </is>
      </c>
      <c r="F1664" s="23" t="n">
        <v>1033</v>
      </c>
      <c r="G1664" s="23" t="n">
        <v>94</v>
      </c>
      <c r="H1664" s="23" t="n">
        <v>10</v>
      </c>
      <c r="I1664" s="23" t="n">
        <v>30</v>
      </c>
      <c r="J1664" s="23" t="inlineStr">
        <is>
          <t>978-5-227-09289-2</t>
        </is>
      </c>
      <c r="K1664" s="23" t="inlineStr">
        <is>
          <t>70x100 1/32</t>
        </is>
      </c>
      <c r="L1664" s="23" t="inlineStr">
        <is>
          <t>мяг</t>
        </is>
      </c>
      <c r="M1664" s="23" t="n">
        <v>160</v>
      </c>
      <c r="N1664" s="23" t="n">
        <v>2021</v>
      </c>
      <c r="O1664" s="23" t="n">
        <v>76</v>
      </c>
      <c r="P1664" s="23" t="n"/>
      <c r="Q1664" s="23" t="n"/>
      <c r="R1664" s="25" t="n"/>
      <c r="S1664" s="26">
        <f>HYPERLINK("http://www.cnpol.ru/covers/19642.jpg","фото на сайте")</f>
        <v/>
      </c>
    </row>
    <row r="1665" ht="50.1" customHeight="1" s="3">
      <c r="A1665" s="23" t="n"/>
      <c r="B1665" s="24" t="inlineStr">
        <is>
          <t>18604</t>
        </is>
      </c>
      <c r="C1665" s="23" t="inlineStr">
        <is>
          <t>ЛР</t>
        </is>
      </c>
      <c r="D1665" s="23" t="inlineStr">
        <is>
          <t>Хейворд Дженнифер</t>
        </is>
      </c>
      <c r="E1665" s="23" t="inlineStr">
        <is>
          <t>Срочно нужна жена</t>
        </is>
      </c>
      <c r="F1665" s="23" t="n">
        <v>885</v>
      </c>
      <c r="G1665" s="23" t="n">
        <v>94</v>
      </c>
      <c r="H1665" s="23" t="n">
        <v>10</v>
      </c>
      <c r="I1665" s="23" t="n">
        <v>30</v>
      </c>
      <c r="J1665" s="23" t="inlineStr">
        <is>
          <t>978-5-227-08509-2</t>
        </is>
      </c>
      <c r="K1665" s="23" t="inlineStr">
        <is>
          <t>70x100 1/32</t>
        </is>
      </c>
      <c r="L1665" s="23" t="inlineStr">
        <is>
          <t>мяг</t>
        </is>
      </c>
      <c r="M1665" s="23" t="n">
        <v>160</v>
      </c>
      <c r="N1665" s="23" t="n">
        <v>2019</v>
      </c>
      <c r="O1665" s="23" t="n">
        <v>78</v>
      </c>
      <c r="P1665" s="23" t="n"/>
      <c r="Q1665" s="23" t="n"/>
      <c r="R1665" s="25" t="n"/>
      <c r="S1665" s="26">
        <f>HYPERLINK("http://www.cnpol.ru/covers/18604.jpg","фото на сайте")</f>
        <v/>
      </c>
    </row>
    <row r="1666" ht="50.1" customHeight="1" s="3">
      <c r="A1666" s="23" t="n"/>
      <c r="B1666" s="24" t="inlineStr">
        <is>
          <t>15771</t>
        </is>
      </c>
      <c r="C1666" s="23" t="inlineStr">
        <is>
          <t>ЛР</t>
        </is>
      </c>
      <c r="D1666" s="23" t="inlineStr">
        <is>
          <t>Кондер М.</t>
        </is>
      </c>
      <c r="E1666" s="23" t="inlineStr">
        <is>
          <t>Срочно требуется муж</t>
        </is>
      </c>
      <c r="F1666" s="23" t="n">
        <v>486</v>
      </c>
      <c r="G1666" s="23" t="n">
        <v>94</v>
      </c>
      <c r="H1666" s="23" t="n">
        <v>10</v>
      </c>
      <c r="I1666" s="23" t="n">
        <v>30</v>
      </c>
      <c r="J1666" s="23" t="inlineStr">
        <is>
          <t>978-5-227-05681-8</t>
        </is>
      </c>
      <c r="K1666" s="23" t="inlineStr">
        <is>
          <t>70x100 1/32</t>
        </is>
      </c>
      <c r="L1666" s="23" t="inlineStr">
        <is>
          <t>мяг</t>
        </is>
      </c>
      <c r="M1666" s="23" t="n">
        <v>158</v>
      </c>
      <c r="N1666" s="23" t="n">
        <v>2015</v>
      </c>
      <c r="O1666" s="23" t="n">
        <v>74</v>
      </c>
      <c r="P1666" s="23" t="n"/>
      <c r="Q1666" s="23" t="n"/>
      <c r="R1666" s="25" t="n"/>
      <c r="S1666" s="26">
        <f>HYPERLINK("http://www.cnpol.ru/covers/15771.jpg","фото на сайте")</f>
        <v/>
      </c>
    </row>
    <row r="1667" ht="50.1" customHeight="1" s="3">
      <c r="A1667" s="23" t="n"/>
      <c r="B1667" s="24" t="inlineStr">
        <is>
          <t>15958</t>
        </is>
      </c>
      <c r="C1667" s="23" t="inlineStr">
        <is>
          <t>ЛР</t>
        </is>
      </c>
      <c r="D1667" s="23" t="inlineStr">
        <is>
          <t>Уилсон С.</t>
        </is>
      </c>
      <c r="E1667" s="23" t="inlineStr">
        <is>
          <t>Ставка -любовь</t>
        </is>
      </c>
      <c r="F1667" s="23" t="n">
        <v>510</v>
      </c>
      <c r="G1667" s="23" t="n">
        <v>94</v>
      </c>
      <c r="H1667" s="23" t="n">
        <v>10</v>
      </c>
      <c r="I1667" s="23" t="n">
        <v>30</v>
      </c>
      <c r="J1667" s="23" t="inlineStr">
        <is>
          <t>978-5-227-05859-1</t>
        </is>
      </c>
      <c r="K1667" s="23" t="inlineStr">
        <is>
          <t>70x100 1/32</t>
        </is>
      </c>
      <c r="L1667" s="23" t="inlineStr">
        <is>
          <t>мяг</t>
        </is>
      </c>
      <c r="M1667" s="23" t="n">
        <v>158</v>
      </c>
      <c r="N1667" s="23" t="n">
        <v>2015</v>
      </c>
      <c r="O1667" s="23" t="n">
        <v>78</v>
      </c>
      <c r="P1667" s="23" t="n"/>
      <c r="Q1667" s="23" t="n"/>
      <c r="R1667" s="25" t="n"/>
      <c r="S1667" s="26">
        <f>HYPERLINK("http://www.cnpol.ru/covers/15958.jpg","фото на сайте")</f>
        <v/>
      </c>
    </row>
    <row r="1668" ht="50.1" customHeight="1" s="3">
      <c r="A1668" s="23" t="n"/>
      <c r="B1668" s="24" t="inlineStr">
        <is>
          <t>19735</t>
        </is>
      </c>
      <c r="C1668" s="23" t="inlineStr">
        <is>
          <t>ЛР</t>
        </is>
      </c>
      <c r="D1668" s="23" t="inlineStr">
        <is>
          <t>Саймон Н.</t>
        </is>
      </c>
      <c r="E1668" s="23" t="inlineStr">
        <is>
          <t>Стань моей навсегда</t>
        </is>
      </c>
      <c r="F1668" s="23" t="n">
        <v>1044</v>
      </c>
      <c r="G1668" s="23" t="n">
        <v>94</v>
      </c>
      <c r="H1668" s="23" t="n">
        <v>10</v>
      </c>
      <c r="I1668" s="23" t="n">
        <v>30</v>
      </c>
      <c r="J1668" s="23" t="inlineStr">
        <is>
          <t>978-5-227-09399-8</t>
        </is>
      </c>
      <c r="K1668" s="23" t="inlineStr">
        <is>
          <t>70x100 1/32</t>
        </is>
      </c>
      <c r="L1668" s="23" t="inlineStr">
        <is>
          <t>мяг</t>
        </is>
      </c>
      <c r="M1668" s="23" t="n">
        <v>160</v>
      </c>
      <c r="N1668" s="23" t="n">
        <v>2021</v>
      </c>
      <c r="O1668" s="23" t="n">
        <v>76</v>
      </c>
      <c r="P1668" s="23" t="n"/>
      <c r="Q1668" s="23" t="n"/>
      <c r="R1668" s="25" t="n"/>
      <c r="S1668" s="26">
        <f>HYPERLINK("http://www.cnpol.ru/covers/19735.jpg","фото на сайте")</f>
        <v/>
      </c>
    </row>
    <row r="1669" ht="50.1" customHeight="1" s="3">
      <c r="A1669" s="23" t="n"/>
      <c r="B1669" s="24" t="inlineStr">
        <is>
          <t>19581</t>
        </is>
      </c>
      <c r="C1669" s="23" t="inlineStr">
        <is>
          <t>ЛР</t>
        </is>
      </c>
      <c r="D1669" s="23" t="inlineStr">
        <is>
          <t>Сингх Н.</t>
        </is>
      </c>
      <c r="E1669" s="23" t="inlineStr">
        <is>
          <t>Стань моим мужем!</t>
        </is>
      </c>
      <c r="F1669" s="23" t="n">
        <v>1027</v>
      </c>
      <c r="G1669" s="23" t="n">
        <v>94</v>
      </c>
      <c r="H1669" s="23" t="n">
        <v>10</v>
      </c>
      <c r="I1669" s="23" t="n">
        <v>30</v>
      </c>
      <c r="J1669" s="23" t="inlineStr">
        <is>
          <t>978-5-227-09271-7</t>
        </is>
      </c>
      <c r="K1669" s="23" t="inlineStr">
        <is>
          <t>70x100 1/32</t>
        </is>
      </c>
      <c r="L1669" s="23" t="inlineStr">
        <is>
          <t>мяг</t>
        </is>
      </c>
      <c r="M1669" s="23" t="n">
        <v>160</v>
      </c>
      <c r="N1669" s="23" t="n">
        <v>2021</v>
      </c>
      <c r="O1669" s="23" t="n">
        <v>76</v>
      </c>
      <c r="P1669" s="23" t="n"/>
      <c r="Q1669" s="23" t="n"/>
      <c r="R1669" s="25" t="n"/>
      <c r="S1669" s="26">
        <f>HYPERLINK("http://www.cnpol.ru/covers/19581.jpg","фото на сайте")</f>
        <v/>
      </c>
    </row>
    <row r="1670" ht="50.1" customHeight="1" s="3">
      <c r="A1670" s="23" t="n"/>
      <c r="B1670" s="24" t="inlineStr">
        <is>
          <t>17207</t>
        </is>
      </c>
      <c r="C1670" s="23" t="inlineStr">
        <is>
          <t>ЛР</t>
        </is>
      </c>
      <c r="D1670" s="23" t="inlineStr">
        <is>
          <t>Эйтс М.</t>
        </is>
      </c>
      <c r="E1670" s="23" t="inlineStr">
        <is>
          <t>Столкновение характеров</t>
        </is>
      </c>
      <c r="F1670" s="23" t="n">
        <v>678</v>
      </c>
      <c r="G1670" s="23" t="n">
        <v>94</v>
      </c>
      <c r="H1670" s="23" t="n">
        <v>10</v>
      </c>
      <c r="I1670" s="23" t="n">
        <v>30</v>
      </c>
      <c r="J1670" s="23" t="inlineStr">
        <is>
          <t>978-5-227-07206-1</t>
        </is>
      </c>
      <c r="K1670" s="23" t="inlineStr">
        <is>
          <t>70x100 1/32</t>
        </is>
      </c>
      <c r="L1670" s="23" t="inlineStr">
        <is>
          <t>мяг</t>
        </is>
      </c>
      <c r="M1670" s="23" t="n">
        <v>160</v>
      </c>
      <c r="N1670" s="23" t="n">
        <v>2016</v>
      </c>
      <c r="O1670" s="23" t="n">
        <v>76</v>
      </c>
      <c r="P1670" s="23" t="n"/>
      <c r="Q1670" s="23" t="n"/>
      <c r="R1670" s="25" t="n"/>
      <c r="S1670" s="26">
        <f>HYPERLINK("http://www.cnpol.ru/covers/17207.jpg","фото на сайте")</f>
        <v/>
      </c>
    </row>
    <row r="1671" ht="50.1" customHeight="1" s="3">
      <c r="A1671" s="23" t="n"/>
      <c r="B1671" s="24" t="inlineStr">
        <is>
          <t>18775</t>
        </is>
      </c>
      <c r="C1671" s="23" t="inlineStr">
        <is>
          <t>ЛР</t>
        </is>
      </c>
      <c r="D1671" s="23" t="inlineStr">
        <is>
          <t>Ли М.</t>
        </is>
      </c>
      <c r="E1671" s="23" t="inlineStr">
        <is>
          <t>Страсти на чужой свадьбе</t>
        </is>
      </c>
      <c r="F1671" s="23" t="n">
        <v>911</v>
      </c>
      <c r="G1671" s="23" t="n">
        <v>94</v>
      </c>
      <c r="H1671" s="23" t="n">
        <v>10</v>
      </c>
      <c r="I1671" s="23" t="n">
        <v>30</v>
      </c>
      <c r="J1671" s="23" t="inlineStr">
        <is>
          <t>978-5-227-08662-4</t>
        </is>
      </c>
      <c r="K1671" s="23" t="inlineStr">
        <is>
          <t>70x100 1/32</t>
        </is>
      </c>
      <c r="L1671" s="23" t="inlineStr">
        <is>
          <t>мяг</t>
        </is>
      </c>
      <c r="M1671" s="23" t="n">
        <v>160</v>
      </c>
      <c r="N1671" s="23" t="n">
        <v>2019</v>
      </c>
      <c r="O1671" s="23" t="n">
        <v>76</v>
      </c>
      <c r="P1671" s="23" t="n"/>
      <c r="Q1671" s="23" t="n"/>
      <c r="R1671" s="25" t="n"/>
      <c r="S1671" s="26">
        <f>HYPERLINK("http://www.cnpol.ru/covers/18775.jpg","фото на сайте")</f>
        <v/>
      </c>
    </row>
    <row r="1672" ht="50.1" customHeight="1" s="3">
      <c r="A1672" s="23" t="n"/>
      <c r="B1672" s="24" t="inlineStr">
        <is>
          <t>13982</t>
        </is>
      </c>
      <c r="C1672" s="23" t="inlineStr">
        <is>
          <t>ЛР</t>
        </is>
      </c>
      <c r="D1672" s="23" t="inlineStr">
        <is>
          <t>Маккей Э.</t>
        </is>
      </c>
      <c r="E1672" s="23" t="inlineStr">
        <is>
          <t>Страстная бунтарка</t>
        </is>
      </c>
      <c r="F1672" s="23" t="n">
        <v>234</v>
      </c>
      <c r="G1672" s="23" t="n">
        <v>94</v>
      </c>
      <c r="H1672" s="23" t="n">
        <v>10</v>
      </c>
      <c r="I1672" s="23" t="n">
        <v>30</v>
      </c>
      <c r="J1672" s="23" t="inlineStr">
        <is>
          <t>978-5-227-04106-7</t>
        </is>
      </c>
      <c r="K1672" s="23" t="inlineStr">
        <is>
          <t>70x100 1/32</t>
        </is>
      </c>
      <c r="L1672" s="23" t="inlineStr">
        <is>
          <t>мяг</t>
        </is>
      </c>
      <c r="M1672" s="23" t="n">
        <v>158</v>
      </c>
      <c r="N1672" s="23" t="n">
        <v>2012</v>
      </c>
      <c r="O1672" s="23" t="n">
        <v>78</v>
      </c>
      <c r="P1672" s="23" t="n"/>
      <c r="Q1672" s="23" t="n"/>
      <c r="R1672" s="25" t="n"/>
      <c r="S1672" s="26">
        <f>HYPERLINK("http://www.cnpol.ru/covers/13982.jpg","фото на сайте")</f>
        <v/>
      </c>
    </row>
    <row r="1673" ht="50.1" customHeight="1" s="3">
      <c r="A1673" s="23" t="n"/>
      <c r="B1673" s="24" t="inlineStr">
        <is>
          <t>15804</t>
        </is>
      </c>
      <c r="C1673" s="23" t="inlineStr">
        <is>
          <t>ЛР</t>
        </is>
      </c>
      <c r="D1673" s="23" t="inlineStr">
        <is>
          <t>Монро Л.</t>
        </is>
      </c>
      <c r="E1673" s="23" t="inlineStr">
        <is>
          <t>Страстная женщина</t>
        </is>
      </c>
      <c r="F1673" s="23" t="n">
        <v>490</v>
      </c>
      <c r="G1673" s="23" t="n">
        <v>94</v>
      </c>
      <c r="H1673" s="23" t="n">
        <v>10</v>
      </c>
      <c r="I1673" s="23" t="n">
        <v>30</v>
      </c>
      <c r="J1673" s="23" t="inlineStr">
        <is>
          <t>978-5-227-05713-6</t>
        </is>
      </c>
      <c r="K1673" s="23" t="inlineStr">
        <is>
          <t>70x100 1/32</t>
        </is>
      </c>
      <c r="L1673" s="23" t="inlineStr">
        <is>
          <t>мяг</t>
        </is>
      </c>
      <c r="M1673" s="23" t="n">
        <v>158</v>
      </c>
      <c r="N1673" s="23" t="n">
        <v>2015</v>
      </c>
      <c r="O1673" s="23" t="n">
        <v>74</v>
      </c>
      <c r="P1673" s="23" t="n"/>
      <c r="Q1673" s="23" t="n"/>
      <c r="R1673" s="25" t="n"/>
      <c r="S1673" s="26">
        <f>HYPERLINK("http://www.cnpol.ru/covers/15804.jpg","фото на сайте")</f>
        <v/>
      </c>
    </row>
    <row r="1674" ht="50.1" customHeight="1" s="3">
      <c r="A1674" s="23" t="inlineStr">
        <is>
          <t>Н</t>
        </is>
      </c>
      <c r="B1674" s="24" t="inlineStr">
        <is>
          <t>21007</t>
        </is>
      </c>
      <c r="C1674" s="23" t="inlineStr">
        <is>
          <t>ЛР</t>
        </is>
      </c>
      <c r="D1674" s="23" t="inlineStr">
        <is>
          <t>Рок Джоанна</t>
        </is>
      </c>
      <c r="E1674" s="23" t="inlineStr">
        <is>
          <t>Страстная ночь в Колорадо</t>
        </is>
      </c>
      <c r="F1674" s="23" t="n">
        <v>1166</v>
      </c>
      <c r="G1674" s="23" t="n">
        <v>94</v>
      </c>
      <c r="H1674" s="23" t="n">
        <v>10</v>
      </c>
      <c r="I1674" s="23" t="n">
        <v>30</v>
      </c>
      <c r="J1674" s="23" t="inlineStr">
        <is>
          <t>978-5-227-10462-5</t>
        </is>
      </c>
      <c r="K1674" s="23" t="inlineStr">
        <is>
          <t>70x100 1/32</t>
        </is>
      </c>
      <c r="L1674" s="23" t="inlineStr">
        <is>
          <t>мяг</t>
        </is>
      </c>
      <c r="M1674" s="23" t="n">
        <v>159</v>
      </c>
      <c r="N1674" s="23" t="n">
        <v>2024</v>
      </c>
      <c r="O1674" s="23" t="n">
        <v>76</v>
      </c>
      <c r="P1674" s="23" t="n"/>
      <c r="Q1674" s="23" t="n"/>
      <c r="R1674" s="25" t="inlineStr">
        <is>
          <t>После развода родителей и болезненного расставания с Райдером Уэйкфилдом Джессамин Баркли решила оборвать все связи с городком Кэтемаунт в Колорадо. Через десять лет, будучи начальницей одной из крупнейших компаний по продаже недвижимости в Нью-Йорке, Джесс возвращается в родной город, чтобы восстановить связи с сестрами и отстоять права на наследование ранчо бабушки. Страсть вспыхивает снова, стоит ей только встретить Райдера. Вот только Джессамин еще не знает, какую правду об ее отце скрывает бывший возлюбленный…</t>
        </is>
      </c>
      <c r="S1674" s="26">
        <f>HYPERLINK("http://www.cnpol.ru/covers/21007.jpg","фото на сайте")</f>
        <v/>
      </c>
    </row>
    <row r="1675" ht="50.1" customHeight="1" s="3">
      <c r="A1675" s="23" t="n"/>
      <c r="B1675" s="24" t="inlineStr">
        <is>
          <t>18195</t>
        </is>
      </c>
      <c r="C1675" s="23" t="inlineStr">
        <is>
          <t>ЛР</t>
        </is>
      </c>
      <c r="D1675" s="23" t="inlineStr">
        <is>
          <t>Колтер Кара</t>
        </is>
      </c>
      <c r="E1675" s="23" t="inlineStr">
        <is>
          <t>Страстная приманка для плейбоя</t>
        </is>
      </c>
      <c r="F1675" s="23" t="n">
        <v>817</v>
      </c>
      <c r="G1675" s="23" t="n">
        <v>94</v>
      </c>
      <c r="H1675" s="23" t="n">
        <v>10</v>
      </c>
      <c r="I1675" s="23" t="n">
        <v>30</v>
      </c>
      <c r="J1675" s="23" t="inlineStr">
        <is>
          <t>978-5-227-08153-7</t>
        </is>
      </c>
      <c r="K1675" s="23" t="inlineStr">
        <is>
          <t>70x100 1/32</t>
        </is>
      </c>
      <c r="L1675" s="23" t="inlineStr">
        <is>
          <t>мяг</t>
        </is>
      </c>
      <c r="M1675" s="23" t="n">
        <v>160</v>
      </c>
      <c r="N1675" s="23" t="n">
        <v>2018</v>
      </c>
      <c r="O1675" s="23" t="n">
        <v>76</v>
      </c>
      <c r="P1675" s="23" t="n"/>
      <c r="Q1675" s="23" t="n"/>
      <c r="R1675" s="25" t="n"/>
      <c r="S1675" s="26">
        <f>HYPERLINK("http://www.cnpol.ru/covers/18195.jpg","фото на сайте")</f>
        <v/>
      </c>
    </row>
    <row r="1676" ht="50.1" customHeight="1" s="3">
      <c r="A1676" s="23" t="n"/>
      <c r="B1676" s="24" t="inlineStr">
        <is>
          <t>20662</t>
        </is>
      </c>
      <c r="C1676" s="23" t="inlineStr">
        <is>
          <t>ЛР</t>
        </is>
      </c>
      <c r="D1676" s="23" t="inlineStr">
        <is>
          <t>Сэйсон С.С.</t>
        </is>
      </c>
      <c r="E1676" s="23" t="inlineStr">
        <is>
          <t>Страстная проверка</t>
        </is>
      </c>
      <c r="F1676" s="23" t="n">
        <v>1141</v>
      </c>
      <c r="G1676" s="23" t="n">
        <v>94</v>
      </c>
      <c r="H1676" s="23" t="n">
        <v>10</v>
      </c>
      <c r="I1676" s="23" t="n">
        <v>30</v>
      </c>
      <c r="J1676" s="23" t="inlineStr">
        <is>
          <t>978-5-227-10307-9</t>
        </is>
      </c>
      <c r="K1676" s="23" t="inlineStr">
        <is>
          <t>70x100 1/32</t>
        </is>
      </c>
      <c r="L1676" s="23" t="inlineStr">
        <is>
          <t>мяг</t>
        </is>
      </c>
      <c r="M1676" s="23" t="n">
        <v>159</v>
      </c>
      <c r="N1676" s="23" t="n">
        <v>2023</v>
      </c>
      <c r="O1676" s="23" t="n">
        <v>76</v>
      </c>
      <c r="P1676" s="23" t="n"/>
      <c r="Q1676" s="23" t="n"/>
      <c r="R1676" s="25" t="inlineStr">
        <is>
          <t>Кейтлин —застенчивая девушка, которая неуверенно чувствует себя с парнями после неудачных отношений. Внезапно в ее жизни появляется Дэв, с которым она чувствует себя легко. Кейтлин просит Дэва научить ее общаться с парнями. Но после нескольких «тренировочных» свиданий Кейтлин влюбляется в Дэва по-настоящему...</t>
        </is>
      </c>
      <c r="S1676" s="26">
        <f>HYPERLINK("http://www.cnpol.ru/covers/20662.jpg","фото на сайте")</f>
        <v/>
      </c>
    </row>
    <row r="1677" ht="50.1" customHeight="1" s="3">
      <c r="A1677" s="23" t="n"/>
      <c r="B1677" s="24" t="inlineStr">
        <is>
          <t>19645</t>
        </is>
      </c>
      <c r="C1677" s="23" t="inlineStr">
        <is>
          <t>ЛР</t>
        </is>
      </c>
      <c r="D1677" s="23" t="inlineStr">
        <is>
          <t>Бранд Ф.</t>
        </is>
      </c>
      <c r="E1677" s="23" t="inlineStr">
        <is>
          <t>Страстное воссоединение</t>
        </is>
      </c>
      <c r="F1677" s="23" t="n">
        <v>1035</v>
      </c>
      <c r="G1677" s="23" t="n">
        <v>94</v>
      </c>
      <c r="H1677" s="23" t="n">
        <v>10</v>
      </c>
      <c r="I1677" s="23" t="n">
        <v>30</v>
      </c>
      <c r="J1677" s="23" t="inlineStr">
        <is>
          <t>978-5-227-09291-5</t>
        </is>
      </c>
      <c r="K1677" s="23" t="inlineStr">
        <is>
          <t>70x100 1/32</t>
        </is>
      </c>
      <c r="L1677" s="23" t="inlineStr">
        <is>
          <t>мяг</t>
        </is>
      </c>
      <c r="M1677" s="23" t="n">
        <v>160</v>
      </c>
      <c r="N1677" s="23" t="n">
        <v>2021</v>
      </c>
      <c r="O1677" s="23" t="n">
        <v>76</v>
      </c>
      <c r="P1677" s="23" t="n"/>
      <c r="Q1677" s="23" t="n"/>
      <c r="R1677" s="25" t="n"/>
      <c r="S1677" s="26">
        <f>HYPERLINK("http://www.cnpol.ru/covers/19645.jpg","фото на сайте")</f>
        <v/>
      </c>
    </row>
    <row r="1678" ht="50.1" customHeight="1" s="3">
      <c r="A1678" s="23" t="n"/>
      <c r="B1678" s="24" t="inlineStr">
        <is>
          <t>18271</t>
        </is>
      </c>
      <c r="C1678" s="23" t="inlineStr">
        <is>
          <t>ЛР</t>
        </is>
      </c>
      <c r="D1678" s="23" t="inlineStr">
        <is>
          <t>Мэтер Э.</t>
        </is>
      </c>
      <c r="E1678" s="23" t="inlineStr">
        <is>
          <t>Страстное приключение на Багамах</t>
        </is>
      </c>
      <c r="F1678" s="23" t="n">
        <v>830</v>
      </c>
      <c r="G1678" s="23" t="n">
        <v>94</v>
      </c>
      <c r="H1678" s="23" t="n">
        <v>10</v>
      </c>
      <c r="I1678" s="23" t="n">
        <v>30</v>
      </c>
      <c r="J1678" s="23" t="inlineStr">
        <is>
          <t>978-5-227-08240-4</t>
        </is>
      </c>
      <c r="K1678" s="23" t="inlineStr">
        <is>
          <t>70x100 1/32</t>
        </is>
      </c>
      <c r="L1678" s="23" t="inlineStr">
        <is>
          <t>мяг</t>
        </is>
      </c>
      <c r="M1678" s="23" t="n">
        <v>160</v>
      </c>
      <c r="N1678" s="23" t="n">
        <v>2018</v>
      </c>
      <c r="O1678" s="23" t="n">
        <v>76</v>
      </c>
      <c r="P1678" s="23" t="n"/>
      <c r="Q1678" s="23" t="n"/>
      <c r="R1678" s="25" t="n"/>
      <c r="S1678" s="26">
        <f>HYPERLINK("http://www.cnpol.ru/covers/18271.jpg","фото на сайте")</f>
        <v/>
      </c>
    </row>
    <row r="1679" ht="50.1" customHeight="1" s="3">
      <c r="A1679" s="23" t="n"/>
      <c r="B1679" s="24" t="inlineStr">
        <is>
          <t>19240</t>
        </is>
      </c>
      <c r="C1679" s="23" t="inlineStr">
        <is>
          <t>ЛР</t>
        </is>
      </c>
      <c r="D1679" s="23" t="inlineStr">
        <is>
          <t>Леммон Д.</t>
        </is>
      </c>
      <c r="E1679" s="23" t="inlineStr">
        <is>
          <t>Страстные объятия</t>
        </is>
      </c>
      <c r="F1679" s="23" t="n">
        <v>985</v>
      </c>
      <c r="G1679" s="23" t="n">
        <v>94</v>
      </c>
      <c r="H1679" s="23" t="n">
        <v>10</v>
      </c>
      <c r="I1679" s="23" t="n">
        <v>30</v>
      </c>
      <c r="J1679" s="23" t="inlineStr">
        <is>
          <t>978-5-227-09034-8</t>
        </is>
      </c>
      <c r="K1679" s="23" t="inlineStr">
        <is>
          <t>70x100 1/32</t>
        </is>
      </c>
      <c r="L1679" s="23" t="inlineStr">
        <is>
          <t>мяг</t>
        </is>
      </c>
      <c r="M1679" s="23" t="n">
        <v>160</v>
      </c>
      <c r="N1679" s="23" t="n">
        <v>2020</v>
      </c>
      <c r="O1679" s="23" t="n">
        <v>76</v>
      </c>
      <c r="P1679" s="23" t="n"/>
      <c r="Q1679" s="23" t="n"/>
      <c r="R1679" s="25" t="n"/>
      <c r="S1679" s="26">
        <f>HYPERLINK("http://www.cnpol.ru/covers/19240.jpg","фото на сайте")</f>
        <v/>
      </c>
    </row>
    <row r="1680" ht="50.1" customHeight="1" s="3">
      <c r="A1680" s="23" t="n"/>
      <c r="B1680" s="24" t="inlineStr">
        <is>
          <t>20478</t>
        </is>
      </c>
      <c r="C1680" s="23" t="inlineStr">
        <is>
          <t>ЛР</t>
        </is>
      </c>
      <c r="D1680" s="23" t="inlineStr">
        <is>
          <t>Стюарт Р.</t>
        </is>
      </c>
      <c r="E1680" s="23" t="inlineStr">
        <is>
          <t>Страстный подарок отшельнику</t>
        </is>
      </c>
      <c r="F1680" s="23" t="n">
        <v>1121</v>
      </c>
      <c r="G1680" s="23" t="n">
        <v>94</v>
      </c>
      <c r="H1680" s="23" t="n">
        <v>10</v>
      </c>
      <c r="I1680" s="23" t="n">
        <v>30</v>
      </c>
      <c r="J1680" s="23" t="inlineStr">
        <is>
          <t>978-5-227-10158-7</t>
        </is>
      </c>
      <c r="K1680" s="23" t="inlineStr">
        <is>
          <t>70x100 1/32</t>
        </is>
      </c>
      <c r="L1680" s="23" t="inlineStr">
        <is>
          <t>мяг</t>
        </is>
      </c>
      <c r="M1680" s="23" t="n">
        <v>159</v>
      </c>
      <c r="N1680" s="23" t="n">
        <v>2022</v>
      </c>
      <c r="O1680" s="23" t="n">
        <v>76</v>
      </c>
      <c r="P1680" s="23" t="n"/>
      <c r="Q1680" s="23" t="n"/>
      <c r="R1680" s="25" t="inlineStr">
        <is>
          <t>У голливудской звезды первой величины Кэтрин Уайлд есть все: известность, слава, деньги, поклонники, но нет любви. После очередного скандала в желтой прессе она жаждет передышки и хочет пересмотреть свою жизнь. Лучшая подруга Фло предлагает ей отправиться на  частный греческий остров в гости к своему брату Аларику. Он живет отшельником на острове уже три года, терзаемый чувством вины за произошедшую трагедию. Фло надеется, что Кэтрин удастся вытащить брата из пучины отчаяния. Ведь в юности они были чуточку влюблены друг в друга…</t>
        </is>
      </c>
      <c r="S1680" s="26">
        <f>HYPERLINK("http://www.cnpol.ru/covers/20478.jpg","фото на сайте")</f>
        <v/>
      </c>
    </row>
    <row r="1681" ht="50.1" customHeight="1" s="3">
      <c r="A1681" s="23" t="inlineStr">
        <is>
          <t>Н</t>
        </is>
      </c>
      <c r="B1681" s="24" t="inlineStr">
        <is>
          <t>21054</t>
        </is>
      </c>
      <c r="C1681" s="23" t="inlineStr">
        <is>
          <t>ЛР</t>
        </is>
      </c>
      <c r="D1681" s="23" t="inlineStr">
        <is>
          <t>Райан Р.</t>
        </is>
      </c>
      <c r="E1681" s="23" t="inlineStr">
        <is>
          <t>Страсть в большом городе</t>
        </is>
      </c>
      <c r="F1681" s="23" t="n">
        <v>1169</v>
      </c>
      <c r="G1681" s="23" t="n">
        <v>94</v>
      </c>
      <c r="H1681" s="23" t="n">
        <v>10</v>
      </c>
      <c r="I1681" s="23" t="n">
        <v>30</v>
      </c>
      <c r="J1681" s="23" t="inlineStr">
        <is>
          <t>978-5-227-10472-4</t>
        </is>
      </c>
      <c r="K1681" s="23" t="inlineStr">
        <is>
          <t>70x100 1/32</t>
        </is>
      </c>
      <c r="L1681" s="23" t="inlineStr">
        <is>
          <t>мяг</t>
        </is>
      </c>
      <c r="M1681" s="23" t="n">
        <v>159</v>
      </c>
      <c r="N1681" s="23" t="n">
        <v>2024</v>
      </c>
      <c r="O1681" s="23" t="n">
        <v>76</v>
      </c>
      <c r="P1681" s="23" t="n"/>
      <c r="Q1681" s="23" t="n"/>
      <c r="R1681" s="25" t="inlineStr">
        <is>
          <t>Дионна Рид отправляется в городок Роял, чтобы помочь своей лучшей подруге, известной актрисе, организовать свадьбу. Но поездка невесты и ее жениха срывается из-за непредвиденных обстоятельств, и Дионне приходится заниматься всей подготовкой с… харизматичным и дерзким другом семьи Триппом Ноублом. Дионна настроена исключительно на работу, но с каждым мигом ей все труднее сопротивляться чарам этого обаятельного мужчины…</t>
        </is>
      </c>
      <c r="S1681" s="26">
        <f>HYPERLINK("http://www.cnpol.ru/covers/21054.jpg","фото на сайте")</f>
        <v/>
      </c>
    </row>
    <row r="1682" ht="50.1" customHeight="1" s="3">
      <c r="A1682" s="23" t="n"/>
      <c r="B1682" s="24" t="inlineStr">
        <is>
          <t>19580</t>
        </is>
      </c>
      <c r="C1682" s="23" t="inlineStr">
        <is>
          <t>ЛР</t>
        </is>
      </c>
      <c r="D1682" s="23" t="inlineStr">
        <is>
          <t>Сен­Джон Я.</t>
        </is>
      </c>
      <c r="E1682" s="23" t="inlineStr">
        <is>
          <t>Страсть на красной дорожке</t>
        </is>
      </c>
      <c r="F1682" s="23" t="n">
        <v>1026</v>
      </c>
      <c r="G1682" s="23" t="n">
        <v>94</v>
      </c>
      <c r="H1682" s="23" t="n">
        <v>10</v>
      </c>
      <c r="I1682" s="23" t="n">
        <v>30</v>
      </c>
      <c r="J1682" s="23" t="inlineStr">
        <is>
          <t>978-5-227-09270-0</t>
        </is>
      </c>
      <c r="K1682" s="23" t="inlineStr">
        <is>
          <t>70x100 1/32</t>
        </is>
      </c>
      <c r="L1682" s="23" t="inlineStr">
        <is>
          <t>мяг</t>
        </is>
      </c>
      <c r="M1682" s="23" t="n">
        <v>160</v>
      </c>
      <c r="N1682" s="23" t="n">
        <v>2021</v>
      </c>
      <c r="O1682" s="23" t="n">
        <v>76</v>
      </c>
      <c r="P1682" s="23" t="n"/>
      <c r="Q1682" s="23" t="n"/>
      <c r="R1682" s="25" t="n"/>
      <c r="S1682" s="26">
        <f>HYPERLINK("http://www.cnpol.ru/covers/19580.jpg","фото на сайте")</f>
        <v/>
      </c>
    </row>
    <row r="1683" ht="50.1" customHeight="1" s="3">
      <c r="A1683" s="23" t="n"/>
      <c r="B1683" s="24" t="inlineStr">
        <is>
          <t>20365</t>
        </is>
      </c>
      <c r="C1683" s="23" t="inlineStr">
        <is>
          <t>ЛР</t>
        </is>
      </c>
      <c r="D1683" s="23" t="inlineStr">
        <is>
          <t>Эрвин С.</t>
        </is>
      </c>
      <c r="E1683" s="23" t="inlineStr">
        <is>
          <t>Страсть по расписанию</t>
        </is>
      </c>
      <c r="F1683" s="23" t="n">
        <v>1104</v>
      </c>
      <c r="G1683" s="23" t="n">
        <v>94</v>
      </c>
      <c r="H1683" s="23" t="n">
        <v>10</v>
      </c>
      <c r="I1683" s="23" t="n">
        <v>30</v>
      </c>
      <c r="J1683" s="23" t="inlineStr">
        <is>
          <t>978-5-227-10020-7</t>
        </is>
      </c>
      <c r="K1683" s="23" t="inlineStr">
        <is>
          <t>70x100 1/32</t>
        </is>
      </c>
      <c r="L1683" s="23" t="inlineStr">
        <is>
          <t>мяг</t>
        </is>
      </c>
      <c r="M1683" s="23" t="n">
        <v>159</v>
      </c>
      <c r="N1683" s="23" t="n">
        <v>2022</v>
      </c>
      <c r="O1683" s="23" t="n">
        <v>76</v>
      </c>
      <c r="P1683" s="23" t="n"/>
      <c r="Q1683" s="23" t="n"/>
      <c r="R1683" s="25" t="n"/>
      <c r="S1683" s="26">
        <f>HYPERLINK("http://www.cnpol.ru/covers/20365.jpg","фото на сайте")</f>
        <v/>
      </c>
    </row>
    <row r="1684" ht="50.1" customHeight="1" s="3">
      <c r="A1684" s="23" t="n"/>
      <c r="B1684" s="24" t="inlineStr">
        <is>
          <t>20711</t>
        </is>
      </c>
      <c r="C1684" s="23" t="inlineStr">
        <is>
          <t>ЛР</t>
        </is>
      </c>
      <c r="D1684" s="23" t="inlineStr">
        <is>
          <t>Вуд Джосс</t>
        </is>
      </c>
      <c r="E1684" s="23" t="inlineStr">
        <is>
          <t>Страсть с чистого листа</t>
        </is>
      </c>
      <c r="F1684" s="23" t="n">
        <v>1144</v>
      </c>
      <c r="G1684" s="23" t="n">
        <v>94</v>
      </c>
      <c r="H1684" s="23" t="n">
        <v>10</v>
      </c>
      <c r="I1684" s="23" t="n">
        <v>30</v>
      </c>
      <c r="J1684" s="23" t="inlineStr">
        <is>
          <t>978-5-227-10343-7</t>
        </is>
      </c>
      <c r="K1684" s="23" t="inlineStr">
        <is>
          <t>70x100 1/32</t>
        </is>
      </c>
      <c r="L1684" s="23" t="inlineStr">
        <is>
          <t>мяг</t>
        </is>
      </c>
      <c r="M1684" s="23" t="n">
        <v>159</v>
      </c>
      <c r="N1684" s="23" t="n">
        <v>2023</v>
      </c>
      <c r="O1684" s="23" t="n">
        <v>76</v>
      </c>
      <c r="P1684" s="23" t="n"/>
      <c r="Q1684" s="23" t="n"/>
      <c r="R1684" s="25" t="inlineStr">
        <is>
          <t>После домогательств со стороны клиента Элла Янг решает уволиться, переехать в другую страну и начать жизнь с чистого листа. Но когда ее неотразимый босс Мика Леру предлагает ей задержаться на время и помочь ему организовать свадьбу его сестры, она соглашается. Эллой движет не только денежный вопрос, но и симпатия к Мике, которая быстро перерастает в крепкие чувства. Но нужен ли ей мужчина, который из-за травм прошлого запретил себе любить и быть счастливым?</t>
        </is>
      </c>
      <c r="S1684" s="26">
        <f>HYPERLINK("http://www.cnpol.ru/covers/20711.jpg","фото на сайте")</f>
        <v/>
      </c>
    </row>
    <row r="1685" ht="50.1" customHeight="1" s="3">
      <c r="A1685" s="23" t="n"/>
      <c r="B1685" s="24" t="inlineStr">
        <is>
          <t>18371</t>
        </is>
      </c>
      <c r="C1685" s="23" t="inlineStr">
        <is>
          <t>ЛР</t>
        </is>
      </c>
      <c r="D1685" s="23" t="inlineStr">
        <is>
          <t>Коллинз Д.</t>
        </is>
      </c>
      <c r="E1685" s="23" t="inlineStr">
        <is>
          <t>Стремительный соблазн</t>
        </is>
      </c>
      <c r="F1685" s="23" t="n">
        <v>847</v>
      </c>
      <c r="G1685" s="23" t="n">
        <v>94</v>
      </c>
      <c r="H1685" s="23" t="n">
        <v>10</v>
      </c>
      <c r="I1685" s="23" t="n">
        <v>30</v>
      </c>
      <c r="J1685" s="23" t="inlineStr">
        <is>
          <t>978-5-227-08352-4</t>
        </is>
      </c>
      <c r="K1685" s="23" t="inlineStr">
        <is>
          <t>70x100 1/32</t>
        </is>
      </c>
      <c r="L1685" s="23" t="inlineStr">
        <is>
          <t>мяг</t>
        </is>
      </c>
      <c r="M1685" s="23" t="n">
        <v>160</v>
      </c>
      <c r="N1685" s="23" t="n">
        <v>2018</v>
      </c>
      <c r="O1685" s="23" t="n">
        <v>76</v>
      </c>
      <c r="P1685" s="23" t="n"/>
      <c r="Q1685" s="23" t="n"/>
      <c r="R1685" s="25" t="n"/>
      <c r="S1685" s="26">
        <f>HYPERLINK("http://www.cnpol.ru/covers/18371.jpg","фото на сайте")</f>
        <v/>
      </c>
    </row>
    <row r="1686" ht="50.1" customHeight="1" s="3">
      <c r="A1686" s="23" t="n"/>
      <c r="B1686" s="24" t="inlineStr">
        <is>
          <t>15985</t>
        </is>
      </c>
      <c r="C1686" s="23" t="inlineStr">
        <is>
          <t>ЛР</t>
        </is>
      </c>
      <c r="D1686" s="23" t="inlineStr">
        <is>
          <t>Грин Э.</t>
        </is>
      </c>
      <c r="E1686" s="23" t="inlineStr">
        <is>
          <t>Строптивая пленница</t>
        </is>
      </c>
      <c r="F1686" s="23" t="n">
        <v>514</v>
      </c>
      <c r="G1686" s="23" t="n">
        <v>94</v>
      </c>
      <c r="H1686" s="23" t="n">
        <v>10</v>
      </c>
      <c r="I1686" s="23" t="n">
        <v>30</v>
      </c>
      <c r="J1686" s="23" t="inlineStr">
        <is>
          <t>978-5-227-05943-7</t>
        </is>
      </c>
      <c r="K1686" s="23" t="inlineStr">
        <is>
          <t>70x100 1/32</t>
        </is>
      </c>
      <c r="L1686" s="23" t="inlineStr">
        <is>
          <t>мяг</t>
        </is>
      </c>
      <c r="M1686" s="23" t="n">
        <v>158</v>
      </c>
      <c r="N1686" s="23" t="n">
        <v>2015</v>
      </c>
      <c r="O1686" s="23" t="n">
        <v>76</v>
      </c>
      <c r="P1686" s="23" t="n"/>
      <c r="Q1686" s="23" t="n"/>
      <c r="R1686" s="25" t="n"/>
      <c r="S1686" s="26">
        <f>HYPERLINK("http://www.cnpol.ru/covers/15985.jpg","фото на сайте")</f>
        <v/>
      </c>
    </row>
    <row r="1687" ht="50.1" customHeight="1" s="3">
      <c r="A1687" s="23" t="n"/>
      <c r="B1687" s="24" t="inlineStr">
        <is>
          <t>18283</t>
        </is>
      </c>
      <c r="C1687" s="23" t="inlineStr">
        <is>
          <t>ЛР</t>
        </is>
      </c>
      <c r="D1687" s="23" t="inlineStr">
        <is>
          <t>Крюс К.</t>
        </is>
      </c>
      <c r="E1687" s="23" t="inlineStr">
        <is>
          <t>Строптивый романтик</t>
        </is>
      </c>
      <c r="F1687" s="23" t="n">
        <v>833</v>
      </c>
      <c r="G1687" s="23" t="n">
        <v>94</v>
      </c>
      <c r="H1687" s="23" t="n">
        <v>10</v>
      </c>
      <c r="I1687" s="23" t="n">
        <v>30</v>
      </c>
      <c r="J1687" s="23" t="inlineStr">
        <is>
          <t>978-5-227-08243-5</t>
        </is>
      </c>
      <c r="K1687" s="23" t="inlineStr">
        <is>
          <t>70x100 1/32</t>
        </is>
      </c>
      <c r="L1687" s="23" t="inlineStr">
        <is>
          <t>мяг</t>
        </is>
      </c>
      <c r="M1687" s="23" t="n">
        <v>160</v>
      </c>
      <c r="N1687" s="23" t="n">
        <v>2018</v>
      </c>
      <c r="O1687" s="23" t="n">
        <v>76</v>
      </c>
      <c r="P1687" s="23" t="n"/>
      <c r="Q1687" s="23" t="n"/>
      <c r="R1687" s="25" t="n"/>
      <c r="S1687" s="26">
        <f>HYPERLINK("http://www.cnpol.ru/covers/18283.jpg","фото на сайте")</f>
        <v/>
      </c>
    </row>
    <row r="1688" ht="50.1" customHeight="1" s="3">
      <c r="A1688" s="23" t="n"/>
      <c r="B1688" s="24" t="inlineStr">
        <is>
          <t>19180</t>
        </is>
      </c>
      <c r="C1688" s="23" t="inlineStr">
        <is>
          <t>ЛР</t>
        </is>
      </c>
      <c r="D1688" s="23" t="inlineStr">
        <is>
          <t>Коннелли К.</t>
        </is>
      </c>
      <c r="E1688" s="23" t="inlineStr">
        <is>
          <t>Суждено быть вместе</t>
        </is>
      </c>
      <c r="F1688" s="23" t="n">
        <v>979</v>
      </c>
      <c r="G1688" s="23" t="n">
        <v>94</v>
      </c>
      <c r="H1688" s="23" t="n">
        <v>10</v>
      </c>
      <c r="I1688" s="23" t="n">
        <v>30</v>
      </c>
      <c r="J1688" s="23" t="inlineStr">
        <is>
          <t>978-5-227-09028-7</t>
        </is>
      </c>
      <c r="K1688" s="23" t="inlineStr">
        <is>
          <t>70x100 1/32</t>
        </is>
      </c>
      <c r="L1688" s="23" t="inlineStr">
        <is>
          <t>мяг</t>
        </is>
      </c>
      <c r="M1688" s="23" t="n">
        <v>160</v>
      </c>
      <c r="N1688" s="23" t="n">
        <v>2020</v>
      </c>
      <c r="O1688" s="23" t="n">
        <v>76</v>
      </c>
      <c r="P1688" s="23" t="n"/>
      <c r="Q1688" s="23" t="n"/>
      <c r="R1688" s="25" t="n"/>
      <c r="S1688" s="26">
        <f>HYPERLINK("http://www.cnpol.ru/covers/19180.jpg","фото на сайте")</f>
        <v/>
      </c>
    </row>
    <row r="1689" ht="50.1" customHeight="1" s="3">
      <c r="A1689" s="23" t="n"/>
      <c r="B1689" s="24" t="inlineStr">
        <is>
          <t>15994</t>
        </is>
      </c>
      <c r="C1689" s="23" t="inlineStr">
        <is>
          <t>ЛР</t>
        </is>
      </c>
      <c r="D1689" s="23" t="inlineStr">
        <is>
          <t>Шилд К.</t>
        </is>
      </c>
      <c r="E1689" s="23" t="inlineStr">
        <is>
          <t>Счастливое сердце</t>
        </is>
      </c>
      <c r="F1689" s="23" t="n">
        <v>517</v>
      </c>
      <c r="G1689" s="23" t="n">
        <v>94</v>
      </c>
      <c r="H1689" s="23" t="n">
        <v>10</v>
      </c>
      <c r="I1689" s="23" t="n">
        <v>30</v>
      </c>
      <c r="J1689" s="23" t="inlineStr">
        <is>
          <t>978-5-227-05946-8</t>
        </is>
      </c>
      <c r="K1689" s="23" t="inlineStr">
        <is>
          <t>70x100 1/32</t>
        </is>
      </c>
      <c r="L1689" s="23" t="inlineStr">
        <is>
          <t>мяг</t>
        </is>
      </c>
      <c r="M1689" s="23" t="n">
        <v>158</v>
      </c>
      <c r="N1689" s="23" t="n">
        <v>2015</v>
      </c>
      <c r="O1689" s="23" t="n">
        <v>76</v>
      </c>
      <c r="P1689" s="23" t="n"/>
      <c r="Q1689" s="23" t="n"/>
      <c r="R1689" s="25" t="n"/>
      <c r="S1689" s="26">
        <f>HYPERLINK("http://www.cnpol.ru/covers/15994.jpg","фото на сайте")</f>
        <v/>
      </c>
    </row>
    <row r="1690" ht="50.1" customHeight="1" s="3">
      <c r="A1690" s="23" t="n"/>
      <c r="B1690" s="24" t="inlineStr">
        <is>
          <t>16131</t>
        </is>
      </c>
      <c r="C1690" s="23" t="inlineStr">
        <is>
          <t>ЛР</t>
        </is>
      </c>
      <c r="D1690" s="23" t="inlineStr">
        <is>
          <t>Грейди Р.</t>
        </is>
      </c>
      <c r="E1690" s="23" t="inlineStr">
        <is>
          <t>Счастливые дни</t>
        </is>
      </c>
      <c r="F1690" s="23" t="n">
        <v>535</v>
      </c>
      <c r="G1690" s="23" t="n">
        <v>94</v>
      </c>
      <c r="H1690" s="23" t="n">
        <v>10</v>
      </c>
      <c r="I1690" s="23" t="n">
        <v>30</v>
      </c>
      <c r="J1690" s="23" t="inlineStr">
        <is>
          <t>978-5-227-06115-7</t>
        </is>
      </c>
      <c r="K1690" s="23" t="inlineStr">
        <is>
          <t>70x100 1/32</t>
        </is>
      </c>
      <c r="L1690" s="23" t="inlineStr">
        <is>
          <t>мяг</t>
        </is>
      </c>
      <c r="M1690" s="23" t="n">
        <v>158</v>
      </c>
      <c r="N1690" s="23" t="n">
        <v>2015</v>
      </c>
      <c r="O1690" s="23" t="n">
        <v>76</v>
      </c>
      <c r="P1690" s="23" t="n"/>
      <c r="Q1690" s="23" t="n"/>
      <c r="R1690" s="25" t="n"/>
      <c r="S1690" s="26">
        <f>HYPERLINK("http://www.cnpol.ru/covers/16131.jpg","фото на сайте")</f>
        <v/>
      </c>
    </row>
    <row r="1691" ht="50.1" customHeight="1" s="3">
      <c r="A1691" s="23" t="n"/>
      <c r="B1691" s="24" t="inlineStr">
        <is>
          <t>18686</t>
        </is>
      </c>
      <c r="C1691" s="23" t="inlineStr">
        <is>
          <t>ЛР</t>
        </is>
      </c>
      <c r="D1691" s="23" t="inlineStr">
        <is>
          <t>Маккелен Кристи</t>
        </is>
      </c>
      <c r="E1691" s="23" t="inlineStr">
        <is>
          <t>Счастливый случайный брак</t>
        </is>
      </c>
      <c r="F1691" s="23" t="n">
        <v>896</v>
      </c>
      <c r="G1691" s="23" t="n">
        <v>94</v>
      </c>
      <c r="H1691" s="23" t="n">
        <v>10</v>
      </c>
      <c r="I1691" s="23" t="n">
        <v>30</v>
      </c>
      <c r="J1691" s="23" t="inlineStr">
        <is>
          <t>978-5-227-08549-8</t>
        </is>
      </c>
      <c r="K1691" s="23" t="inlineStr">
        <is>
          <t>70x100 1/32</t>
        </is>
      </c>
      <c r="L1691" s="23" t="inlineStr">
        <is>
          <t>мяг</t>
        </is>
      </c>
      <c r="M1691" s="23" t="n">
        <v>160</v>
      </c>
      <c r="N1691" s="23" t="n">
        <v>2019</v>
      </c>
      <c r="O1691" s="23" t="n">
        <v>78</v>
      </c>
      <c r="P1691" s="23" t="n"/>
      <c r="Q1691" s="23" t="n"/>
      <c r="R1691" s="25" t="n"/>
      <c r="S1691" s="26">
        <f>HYPERLINK("http://www.cnpol.ru/covers/18686.jpg","фото на сайте")</f>
        <v/>
      </c>
    </row>
    <row r="1692" ht="50.1" customHeight="1" s="3">
      <c r="A1692" s="23" t="n"/>
      <c r="B1692" s="24" t="inlineStr">
        <is>
          <t>16269</t>
        </is>
      </c>
      <c r="C1692" s="23" t="inlineStr">
        <is>
          <t>ЛР</t>
        </is>
      </c>
      <c r="D1692" s="23" t="inlineStr">
        <is>
          <t>Мортимер К.</t>
        </is>
      </c>
      <c r="E1692" s="23" t="inlineStr">
        <is>
          <t>Счастье в подарок</t>
        </is>
      </c>
      <c r="F1692" s="23" t="n">
        <v>554</v>
      </c>
      <c r="G1692" s="23" t="n">
        <v>94</v>
      </c>
      <c r="H1692" s="23" t="n">
        <v>10</v>
      </c>
      <c r="I1692" s="23" t="n">
        <v>30</v>
      </c>
      <c r="J1692" s="23" t="inlineStr">
        <is>
          <t>978-5-227-06164-5</t>
        </is>
      </c>
      <c r="K1692" s="23" t="inlineStr">
        <is>
          <t>70x100 1/32</t>
        </is>
      </c>
      <c r="L1692" s="23" t="inlineStr">
        <is>
          <t>мяг</t>
        </is>
      </c>
      <c r="M1692" s="23" t="n">
        <v>158</v>
      </c>
      <c r="N1692" s="23" t="n">
        <v>2015</v>
      </c>
      <c r="O1692" s="23" t="n">
        <v>76</v>
      </c>
      <c r="P1692" s="23" t="n"/>
      <c r="Q1692" s="23" t="n"/>
      <c r="R1692" s="25" t="n"/>
      <c r="S1692" s="26">
        <f>HYPERLINK("http://www.cnpol.ru/covers/16269.jpg","фото на сайте")</f>
        <v/>
      </c>
    </row>
    <row r="1693" ht="50.1" customHeight="1" s="3">
      <c r="A1693" s="23" t="n"/>
      <c r="B1693" s="24" t="inlineStr">
        <is>
          <t>20219</t>
        </is>
      </c>
      <c r="C1693" s="23" t="inlineStr">
        <is>
          <t>ЛР</t>
        </is>
      </c>
      <c r="D1693" s="23" t="inlineStr">
        <is>
          <t>Лоренс К.</t>
        </is>
      </c>
      <c r="E1693" s="23" t="inlineStr">
        <is>
          <t>Счастье со второй попытки</t>
        </is>
      </c>
      <c r="F1693" s="23" t="n">
        <v>1092</v>
      </c>
      <c r="G1693" s="23" t="n">
        <v>94</v>
      </c>
      <c r="H1693" s="23" t="n">
        <v>10</v>
      </c>
      <c r="I1693" s="23" t="n">
        <v>30</v>
      </c>
      <c r="J1693" s="23" t="inlineStr">
        <is>
          <t>978-5-227-09749-1</t>
        </is>
      </c>
      <c r="K1693" s="23" t="inlineStr">
        <is>
          <t>70x100 1/32</t>
        </is>
      </c>
      <c r="L1693" s="23" t="inlineStr">
        <is>
          <t>мяг</t>
        </is>
      </c>
      <c r="M1693" s="23" t="n">
        <v>159</v>
      </c>
      <c r="N1693" s="23" t="n">
        <v>2022</v>
      </c>
      <c r="O1693" s="23" t="n">
        <v>76</v>
      </c>
      <c r="P1693" s="23" t="n"/>
      <c r="Q1693" s="23" t="n"/>
      <c r="R1693" s="25" t="n"/>
      <c r="S1693" s="26">
        <f>HYPERLINK("http://www.cnpol.ru/covers/20219.jpg","фото на сайте")</f>
        <v/>
      </c>
    </row>
    <row r="1694" ht="50.1" customHeight="1" s="3">
      <c r="A1694" s="23" t="n"/>
      <c r="B1694" s="24" t="inlineStr">
        <is>
          <t>16467</t>
        </is>
      </c>
      <c r="C1694" s="23" t="inlineStr">
        <is>
          <t>ЛР</t>
        </is>
      </c>
      <c r="D1694" s="23" t="inlineStr">
        <is>
          <t>Дуглас М.</t>
        </is>
      </c>
      <c r="E1694" s="23" t="inlineStr">
        <is>
          <t>Сюрприз для лучшего любовника</t>
        </is>
      </c>
      <c r="F1694" s="23" t="n">
        <v>583</v>
      </c>
      <c r="G1694" s="23" t="n">
        <v>94</v>
      </c>
      <c r="H1694" s="23" t="n">
        <v>10</v>
      </c>
      <c r="I1694" s="23" t="n">
        <v>30</v>
      </c>
      <c r="J1694" s="23" t="inlineStr">
        <is>
          <t>978-5-227-06391-5</t>
        </is>
      </c>
      <c r="K1694" s="23" t="inlineStr">
        <is>
          <t>70x100 1/32</t>
        </is>
      </c>
      <c r="L1694" s="23" t="inlineStr">
        <is>
          <t>мяг</t>
        </is>
      </c>
      <c r="M1694" s="23" t="n">
        <v>158</v>
      </c>
      <c r="N1694" s="23" t="n">
        <v>2016</v>
      </c>
      <c r="O1694" s="23" t="n">
        <v>76</v>
      </c>
      <c r="P1694" s="23" t="n"/>
      <c r="Q1694" s="23" t="n"/>
      <c r="R1694" s="25" t="n"/>
      <c r="S1694" s="26">
        <f>HYPERLINK("http://www.cnpol.ru/covers/16467.jpg","фото на сайте")</f>
        <v/>
      </c>
    </row>
    <row r="1695" ht="50.1" customHeight="1" s="3">
      <c r="A1695" s="23" t="n"/>
      <c r="B1695" s="24" t="inlineStr">
        <is>
          <t>20940</t>
        </is>
      </c>
      <c r="C1695" s="23" t="inlineStr">
        <is>
          <t>ЛР</t>
        </is>
      </c>
      <c r="D1695" s="23" t="inlineStr">
        <is>
          <t>Колтер К.</t>
        </is>
      </c>
      <c r="E1695" s="23" t="inlineStr">
        <is>
          <t>Сюрприз со вкусом страсти</t>
        </is>
      </c>
      <c r="F1695" s="23" t="n">
        <v>1160</v>
      </c>
      <c r="G1695" s="23" t="n">
        <v>94</v>
      </c>
      <c r="H1695" s="23" t="n">
        <v>10</v>
      </c>
      <c r="I1695" s="23" t="n">
        <v>30</v>
      </c>
      <c r="J1695" s="23" t="inlineStr">
        <is>
          <t>978-5-227-10449-6</t>
        </is>
      </c>
      <c r="K1695" s="23" t="inlineStr">
        <is>
          <t>70x100 1/32</t>
        </is>
      </c>
      <c r="L1695" s="23" t="inlineStr">
        <is>
          <t>мяг</t>
        </is>
      </c>
      <c r="M1695" s="23" t="n">
        <v>159</v>
      </c>
      <c r="N1695" s="23" t="n">
        <v>2024</v>
      </c>
      <c r="O1695" s="23" t="n">
        <v>76</v>
      </c>
      <c r="P1695" s="23" t="n"/>
      <c r="Q1695" s="23" t="n"/>
      <c r="R1695" s="25" t="inlineStr">
        <is>
          <t>Два года назад миллиардер Тревор потерял жену, а Джейси — лучшую подругу. Встретившись снова, они отправляются на лыжный курорт — такова была последняя воля Кейтлин, именно она незадолго до смерти организовала поездку в горы для двух дорогих ее сердцу людей. Оказавшись вдали от сурового мира, Джейси и Тревор понимают, что не могут противостоять чувствам…</t>
        </is>
      </c>
      <c r="S1695" s="26">
        <f>HYPERLINK("http://www.cnpol.ru/covers/20940.jpg","фото на сайте")</f>
        <v/>
      </c>
    </row>
    <row r="1696" ht="50.1" customHeight="1" s="3">
      <c r="A1696" s="23" t="n"/>
      <c r="B1696" s="24" t="inlineStr">
        <is>
          <t>16685</t>
        </is>
      </c>
      <c r="C1696" s="23" t="inlineStr">
        <is>
          <t>ЛР</t>
        </is>
      </c>
      <c r="D1696" s="23" t="inlineStr">
        <is>
          <t>Лейн С.</t>
        </is>
      </c>
      <c r="E1696" s="23" t="inlineStr">
        <is>
          <t>Тайна нашей ночи</t>
        </is>
      </c>
      <c r="F1696" s="23" t="n">
        <v>609</v>
      </c>
      <c r="G1696" s="23" t="n">
        <v>94</v>
      </c>
      <c r="H1696" s="23" t="n">
        <v>10</v>
      </c>
      <c r="I1696" s="23" t="n">
        <v>30</v>
      </c>
      <c r="J1696" s="23" t="inlineStr">
        <is>
          <t>978-5-227-06704-3</t>
        </is>
      </c>
      <c r="K1696" s="23" t="inlineStr">
        <is>
          <t>70x100 1/32</t>
        </is>
      </c>
      <c r="L1696" s="23" t="inlineStr">
        <is>
          <t>мяг</t>
        </is>
      </c>
      <c r="M1696" s="23" t="n">
        <v>160</v>
      </c>
      <c r="N1696" s="23" t="n">
        <v>2016</v>
      </c>
      <c r="O1696" s="23" t="n">
        <v>76</v>
      </c>
      <c r="P1696" s="23" t="n"/>
      <c r="Q1696" s="23" t="n"/>
      <c r="R1696" s="25" t="n"/>
      <c r="S1696" s="26">
        <f>HYPERLINK("http://www.cnpol.ru/covers/16685.jpg","фото на сайте")</f>
        <v/>
      </c>
    </row>
    <row r="1697" ht="50.1" customHeight="1" s="3">
      <c r="A1697" s="23" t="n"/>
      <c r="B1697" s="24" t="inlineStr">
        <is>
          <t>18862</t>
        </is>
      </c>
      <c r="C1697" s="23" t="inlineStr">
        <is>
          <t>ЛР</t>
        </is>
      </c>
      <c r="D1697" s="23" t="inlineStr">
        <is>
          <t>Мейер С.</t>
        </is>
      </c>
      <c r="E1697" s="23" t="inlineStr">
        <is>
          <t>Тайная страсть на Манхэттене</t>
        </is>
      </c>
      <c r="F1697" s="23" t="n">
        <v>924</v>
      </c>
      <c r="G1697" s="23" t="n">
        <v>94</v>
      </c>
      <c r="H1697" s="23" t="n">
        <v>10</v>
      </c>
      <c r="I1697" s="23" t="n">
        <v>30</v>
      </c>
      <c r="J1697" s="23" t="inlineStr">
        <is>
          <t>978-5-227-08726-3</t>
        </is>
      </c>
      <c r="K1697" s="23" t="inlineStr">
        <is>
          <t>70x100 1/32</t>
        </is>
      </c>
      <c r="L1697" s="23" t="inlineStr">
        <is>
          <t>мяг</t>
        </is>
      </c>
      <c r="M1697" s="23" t="n">
        <v>160</v>
      </c>
      <c r="N1697" s="23" t="n">
        <v>2019</v>
      </c>
      <c r="O1697" s="23" t="n">
        <v>76</v>
      </c>
      <c r="P1697" s="23" t="n"/>
      <c r="Q1697" s="23" t="n"/>
      <c r="R1697" s="25" t="n"/>
      <c r="S1697" s="26">
        <f>HYPERLINK("http://www.cnpol.ru/covers/18862.jpg","фото на сайте")</f>
        <v/>
      </c>
    </row>
    <row r="1698" ht="50.1" customHeight="1" s="3">
      <c r="A1698" s="23" t="n"/>
      <c r="B1698" s="24" t="inlineStr">
        <is>
          <t>18220</t>
        </is>
      </c>
      <c r="C1698" s="23" t="inlineStr">
        <is>
          <t>ЛР</t>
        </is>
      </c>
      <c r="D1698" s="23" t="inlineStr">
        <is>
          <t>Ханней Б.</t>
        </is>
      </c>
      <c r="E1698" s="23" t="inlineStr">
        <is>
          <t>Так хочу быть рядом</t>
        </is>
      </c>
      <c r="F1698" s="23" t="n">
        <v>821</v>
      </c>
      <c r="G1698" s="23" t="n">
        <v>94</v>
      </c>
      <c r="H1698" s="23" t="n">
        <v>10</v>
      </c>
      <c r="I1698" s="23" t="n">
        <v>30</v>
      </c>
      <c r="J1698" s="23" t="inlineStr">
        <is>
          <t>978-5-227-08157-5</t>
        </is>
      </c>
      <c r="K1698" s="23" t="inlineStr">
        <is>
          <t>70x100 1/32</t>
        </is>
      </c>
      <c r="L1698" s="23" t="inlineStr">
        <is>
          <t>мяг</t>
        </is>
      </c>
      <c r="M1698" s="23" t="n">
        <v>160</v>
      </c>
      <c r="N1698" s="23" t="n">
        <v>2018</v>
      </c>
      <c r="O1698" s="23" t="n">
        <v>76</v>
      </c>
      <c r="P1698" s="23" t="n"/>
      <c r="Q1698" s="23" t="n"/>
      <c r="R1698" s="25" t="n"/>
      <c r="S1698" s="26">
        <f>HYPERLINK("http://www.cnpol.ru/covers/18220.jpg","фото на сайте")</f>
        <v/>
      </c>
    </row>
    <row r="1699" ht="50.1" customHeight="1" s="3">
      <c r="A1699" s="23" t="n"/>
      <c r="B1699" s="24" t="inlineStr">
        <is>
          <t>17843</t>
        </is>
      </c>
      <c r="C1699" s="23" t="inlineStr">
        <is>
          <t>ЛР</t>
        </is>
      </c>
      <c r="D1699" s="23" t="inlineStr">
        <is>
          <t>Лукас Д.</t>
        </is>
      </c>
      <c r="E1699" s="23" t="inlineStr">
        <is>
          <t>Такое простое счастье</t>
        </is>
      </c>
      <c r="F1699" s="23" t="n">
        <v>774</v>
      </c>
      <c r="G1699" s="23" t="n">
        <v>94</v>
      </c>
      <c r="H1699" s="23" t="n">
        <v>10</v>
      </c>
      <c r="I1699" s="23" t="n">
        <v>30</v>
      </c>
      <c r="J1699" s="23" t="inlineStr">
        <is>
          <t>978-5-227-07780-6</t>
        </is>
      </c>
      <c r="K1699" s="23" t="inlineStr">
        <is>
          <t>70x100 1/32</t>
        </is>
      </c>
      <c r="L1699" s="23" t="inlineStr">
        <is>
          <t>мяг</t>
        </is>
      </c>
      <c r="M1699" s="23" t="n">
        <v>160</v>
      </c>
      <c r="N1699" s="23" t="n">
        <v>2017</v>
      </c>
      <c r="O1699" s="23" t="n">
        <v>76</v>
      </c>
      <c r="P1699" s="23" t="n"/>
      <c r="Q1699" s="23" t="n"/>
      <c r="R1699" s="25" t="n"/>
      <c r="S1699" s="26">
        <f>HYPERLINK("http://www.cnpol.ru/covers/17843.jpg","фото на сайте")</f>
        <v/>
      </c>
    </row>
    <row r="1700" ht="50.1" customHeight="1" s="3">
      <c r="A1700" s="23" t="n"/>
      <c r="B1700" s="24" t="inlineStr">
        <is>
          <t>19382</t>
        </is>
      </c>
      <c r="C1700" s="23" t="inlineStr">
        <is>
          <t>ЛР</t>
        </is>
      </c>
      <c r="D1700" s="23" t="inlineStr">
        <is>
          <t>Уэст Э.</t>
        </is>
      </c>
      <c r="E1700" s="23" t="inlineStr">
        <is>
          <t>Теперь принадлежу тебе</t>
        </is>
      </c>
      <c r="F1700" s="23" t="n">
        <v>1003</v>
      </c>
      <c r="G1700" s="23" t="n">
        <v>94</v>
      </c>
      <c r="H1700" s="23" t="n">
        <v>10</v>
      </c>
      <c r="I1700" s="23" t="n">
        <v>30</v>
      </c>
      <c r="J1700" s="23" t="inlineStr">
        <is>
          <t>978-5-227-09107-9</t>
        </is>
      </c>
      <c r="K1700" s="23" t="inlineStr">
        <is>
          <t>70x100 1/32</t>
        </is>
      </c>
      <c r="L1700" s="23" t="inlineStr">
        <is>
          <t>мяг</t>
        </is>
      </c>
      <c r="M1700" s="23" t="n">
        <v>160</v>
      </c>
      <c r="N1700" s="23" t="n">
        <v>2020</v>
      </c>
      <c r="O1700" s="23" t="n">
        <v>76</v>
      </c>
      <c r="P1700" s="23" t="n"/>
      <c r="Q1700" s="23" t="n"/>
      <c r="R1700" s="25" t="n"/>
      <c r="S1700" s="26">
        <f>HYPERLINK("http://www.cnpol.ru/covers/19382.jpg","фото на сайте")</f>
        <v/>
      </c>
    </row>
    <row r="1701" ht="50.1" customHeight="1" s="3">
      <c r="A1701" s="23" t="inlineStr">
        <is>
          <t>Н</t>
        </is>
      </c>
      <c r="B1701" s="24" t="inlineStr">
        <is>
          <t>21098</t>
        </is>
      </c>
      <c r="C1701" s="23" t="inlineStr">
        <is>
          <t>ЛР</t>
        </is>
      </c>
      <c r="D1701" s="23" t="inlineStr">
        <is>
          <t>Рок Джоанна</t>
        </is>
      </c>
      <c r="E1701" s="23" t="inlineStr">
        <is>
          <t>Только останься моим</t>
        </is>
      </c>
      <c r="F1701" s="23" t="n">
        <v>1172</v>
      </c>
      <c r="G1701" s="23" t="n">
        <v>94</v>
      </c>
      <c r="H1701" s="23" t="n">
        <v>10</v>
      </c>
      <c r="I1701" s="23" t="n">
        <v>30</v>
      </c>
      <c r="J1701" s="23" t="inlineStr">
        <is>
          <t>978-5-227-10504-2</t>
        </is>
      </c>
      <c r="K1701" s="23" t="inlineStr">
        <is>
          <t>70x100 1/32</t>
        </is>
      </c>
      <c r="L1701" s="23" t="inlineStr">
        <is>
          <t>мяг</t>
        </is>
      </c>
      <c r="M1701" s="23" t="n">
        <v>159</v>
      </c>
      <c r="N1701" s="23" t="n">
        <v>2024</v>
      </c>
      <c r="O1701" s="23" t="n">
        <v>76</v>
      </c>
      <c r="P1701" s="23" t="n"/>
      <c r="Q1701" s="23" t="n"/>
      <c r="R1701" s="25" t="inlineStr">
        <is>
          <t>Пытаясь помочь родителям выплатить долг, Джессика устроилась работать официанткой. Однажды на роскошном приеме, обслуживая гостей, она опрокинула бокал шампанского на богатого красавца Оливера. А он, очарованный красотой девушки, предложил ей провести с ним вечер. Притяжение между ними оказалось настолько сильным, что Джессика, не в силах сопротивляться страсти, провела с Оливером ночь. На следующий день он предложил девушке стать его женой – правда, на время и за приличную сумму. Все просто — он женится и родные оставят его в покое. Джессика понимает, что встает на скользкий путь, но ей очень нужны деньги…</t>
        </is>
      </c>
      <c r="S1701" s="26">
        <f>HYPERLINK("http://www.cnpol.ru/covers/21098.jpg","фото на сайте")</f>
        <v/>
      </c>
    </row>
    <row r="1702" ht="50.1" customHeight="1" s="3">
      <c r="A1702" s="23" t="n"/>
      <c r="B1702" s="24" t="inlineStr">
        <is>
          <t>16420</t>
        </is>
      </c>
      <c r="C1702" s="23" t="inlineStr">
        <is>
          <t>ЛР</t>
        </is>
      </c>
      <c r="D1702" s="23" t="inlineStr">
        <is>
          <t>Грэхем Л.</t>
        </is>
      </c>
      <c r="E1702" s="23" t="inlineStr">
        <is>
          <t>Только сердце знает</t>
        </is>
      </c>
      <c r="F1702" s="23" t="n">
        <v>575</v>
      </c>
      <c r="G1702" s="23" t="n">
        <v>94</v>
      </c>
      <c r="H1702" s="23" t="n">
        <v>10</v>
      </c>
      <c r="I1702" s="23" t="n">
        <v>30</v>
      </c>
      <c r="J1702" s="23" t="inlineStr">
        <is>
          <t>978-5-227-06290-1</t>
        </is>
      </c>
      <c r="K1702" s="23" t="inlineStr">
        <is>
          <t>70x100 1/32</t>
        </is>
      </c>
      <c r="L1702" s="23" t="inlineStr">
        <is>
          <t>мяг</t>
        </is>
      </c>
      <c r="M1702" s="23" t="n">
        <v>158</v>
      </c>
      <c r="N1702" s="23" t="n">
        <v>2016</v>
      </c>
      <c r="O1702" s="23" t="n">
        <v>76</v>
      </c>
      <c r="P1702" s="23" t="n"/>
      <c r="Q1702" s="23" t="n"/>
      <c r="R1702" s="25" t="n"/>
      <c r="S1702" s="26">
        <f>HYPERLINK("http://www.cnpol.ru/covers/16420.jpg","фото на сайте")</f>
        <v/>
      </c>
    </row>
    <row r="1703" ht="50.1" customHeight="1" s="3">
      <c r="A1703" s="23" t="n"/>
      <c r="B1703" s="24" t="inlineStr">
        <is>
          <t>18565</t>
        </is>
      </c>
      <c r="C1703" s="23" t="inlineStr">
        <is>
          <t>ЛР</t>
        </is>
      </c>
      <c r="D1703" s="23" t="inlineStr">
        <is>
          <t>Уинтерз Р.</t>
        </is>
      </c>
      <c r="E1703" s="23" t="inlineStr">
        <is>
          <t>Тот самый, единственный</t>
        </is>
      </c>
      <c r="F1703" s="23" t="n">
        <v>879</v>
      </c>
      <c r="G1703" s="23" t="n">
        <v>94</v>
      </c>
      <c r="H1703" s="23" t="n">
        <v>10</v>
      </c>
      <c r="I1703" s="23" t="n">
        <v>30</v>
      </c>
      <c r="J1703" s="23" t="inlineStr">
        <is>
          <t>978-5-227-08439-2</t>
        </is>
      </c>
      <c r="K1703" s="23" t="inlineStr">
        <is>
          <t>70x100 1/32</t>
        </is>
      </c>
      <c r="L1703" s="23" t="inlineStr">
        <is>
          <t>мяг</t>
        </is>
      </c>
      <c r="M1703" s="23" t="n">
        <v>160</v>
      </c>
      <c r="N1703" s="23" t="n">
        <v>2019</v>
      </c>
      <c r="O1703" s="23" t="n">
        <v>76</v>
      </c>
      <c r="P1703" s="23" t="n"/>
      <c r="Q1703" s="23" t="n"/>
      <c r="R1703" s="25" t="n"/>
      <c r="S1703" s="26">
        <f>HYPERLINK("http://www.cnpol.ru/covers/18565.jpg","фото на сайте")</f>
        <v/>
      </c>
    </row>
    <row r="1704" ht="50.1" customHeight="1" s="3">
      <c r="A1704" s="23" t="n"/>
      <c r="B1704" s="24" t="inlineStr">
        <is>
          <t>17985</t>
        </is>
      </c>
      <c r="C1704" s="23" t="inlineStr">
        <is>
          <t>ЛР</t>
        </is>
      </c>
      <c r="D1704" s="23" t="inlineStr">
        <is>
          <t>Эйтс М.</t>
        </is>
      </c>
      <c r="E1704" s="23" t="inlineStr">
        <is>
          <t>Требую перемирия</t>
        </is>
      </c>
      <c r="F1704" s="23" t="n">
        <v>793</v>
      </c>
      <c r="G1704" s="23" t="n">
        <v>94</v>
      </c>
      <c r="H1704" s="23" t="n">
        <v>10</v>
      </c>
      <c r="I1704" s="23" t="n">
        <v>30</v>
      </c>
      <c r="J1704" s="23" t="inlineStr">
        <is>
          <t>978-5-227-08019-6</t>
        </is>
      </c>
      <c r="K1704" s="23" t="inlineStr">
        <is>
          <t>70x100 1/32</t>
        </is>
      </c>
      <c r="L1704" s="23" t="inlineStr">
        <is>
          <t>мяг</t>
        </is>
      </c>
      <c r="M1704" s="23" t="n">
        <v>160</v>
      </c>
      <c r="N1704" s="23" t="n">
        <v>2018</v>
      </c>
      <c r="O1704" s="23" t="n">
        <v>76</v>
      </c>
      <c r="P1704" s="23" t="n"/>
      <c r="Q1704" s="23" t="n"/>
      <c r="R1704" s="25" t="n"/>
      <c r="S1704" s="26">
        <f>HYPERLINK("http://www.cnpol.ru/covers/17985.jpg","фото на сайте")</f>
        <v/>
      </c>
    </row>
    <row r="1705" ht="50.1" customHeight="1" s="3">
      <c r="A1705" s="23" t="n"/>
      <c r="B1705" s="24" t="inlineStr">
        <is>
          <t>19356</t>
        </is>
      </c>
      <c r="C1705" s="23" t="inlineStr">
        <is>
          <t>ЛР</t>
        </is>
      </c>
      <c r="D1705" s="23" t="inlineStr">
        <is>
          <t>Грэхем Л.</t>
        </is>
      </c>
      <c r="E1705" s="23" t="inlineStr">
        <is>
          <t>Трепет искушения</t>
        </is>
      </c>
      <c r="F1705" s="23" t="n">
        <v>998</v>
      </c>
      <c r="G1705" s="23" t="n">
        <v>94</v>
      </c>
      <c r="H1705" s="23" t="n">
        <v>10</v>
      </c>
      <c r="I1705" s="23" t="n">
        <v>30</v>
      </c>
      <c r="J1705" s="23" t="inlineStr">
        <is>
          <t>978-5-227-09078-2</t>
        </is>
      </c>
      <c r="K1705" s="23" t="inlineStr">
        <is>
          <t>70x100 1/32</t>
        </is>
      </c>
      <c r="L1705" s="23" t="inlineStr">
        <is>
          <t>мяг</t>
        </is>
      </c>
      <c r="M1705" s="23" t="n">
        <v>160</v>
      </c>
      <c r="N1705" s="23" t="n">
        <v>2020</v>
      </c>
      <c r="O1705" s="23" t="n">
        <v>76</v>
      </c>
      <c r="P1705" s="23" t="n"/>
      <c r="Q1705" s="23" t="n"/>
      <c r="R1705" s="25" t="n"/>
      <c r="S1705" s="26">
        <f>HYPERLINK("http://www.cnpol.ru/covers/19356.jpg","фото на сайте")</f>
        <v/>
      </c>
    </row>
    <row r="1706" ht="50.1" customHeight="1" s="3">
      <c r="A1706" s="23" t="n"/>
      <c r="B1706" s="24" t="inlineStr">
        <is>
          <t>18694</t>
        </is>
      </c>
      <c r="C1706" s="23" t="inlineStr">
        <is>
          <t>ЛР</t>
        </is>
      </c>
      <c r="D1706" s="23" t="inlineStr">
        <is>
          <t>Гарбера К.</t>
        </is>
      </c>
      <c r="E1706" s="23" t="inlineStr">
        <is>
          <t>Третий не лишний</t>
        </is>
      </c>
      <c r="F1706" s="23" t="n">
        <v>899</v>
      </c>
      <c r="G1706" s="23" t="n">
        <v>94</v>
      </c>
      <c r="H1706" s="23" t="n">
        <v>10</v>
      </c>
      <c r="I1706" s="23" t="n">
        <v>30</v>
      </c>
      <c r="J1706" s="23" t="inlineStr">
        <is>
          <t>978-5-227-08574-0</t>
        </is>
      </c>
      <c r="K1706" s="23" t="inlineStr">
        <is>
          <t>70x100 1/32</t>
        </is>
      </c>
      <c r="L1706" s="23" t="inlineStr">
        <is>
          <t>мяг</t>
        </is>
      </c>
      <c r="M1706" s="23" t="n">
        <v>160</v>
      </c>
      <c r="N1706" s="23" t="n">
        <v>2019</v>
      </c>
      <c r="O1706" s="23" t="n">
        <v>78</v>
      </c>
      <c r="P1706" s="23" t="n"/>
      <c r="Q1706" s="23" t="n"/>
      <c r="R1706" s="25" t="n"/>
      <c r="S1706" s="26">
        <f>HYPERLINK("http://www.cnpol.ru/covers/18694.jpg","фото на сайте")</f>
        <v/>
      </c>
    </row>
    <row r="1707" ht="50.1" customHeight="1" s="3">
      <c r="A1707" s="23" t="n"/>
      <c r="B1707" s="24" t="inlineStr">
        <is>
          <t>17844</t>
        </is>
      </c>
      <c r="C1707" s="23" t="inlineStr">
        <is>
          <t>ЛР</t>
        </is>
      </c>
      <c r="D1707" s="23" t="inlineStr">
        <is>
          <t>Стивенс С.</t>
        </is>
      </c>
      <c r="E1707" s="23" t="inlineStr">
        <is>
          <t>Три кольца для невесты</t>
        </is>
      </c>
      <c r="F1707" s="23" t="n">
        <v>775</v>
      </c>
      <c r="G1707" s="23" t="n">
        <v>94</v>
      </c>
      <c r="H1707" s="23" t="n">
        <v>10</v>
      </c>
      <c r="I1707" s="23" t="n">
        <v>30</v>
      </c>
      <c r="J1707" s="23" t="inlineStr">
        <is>
          <t>978-5-227-07781-3</t>
        </is>
      </c>
      <c r="K1707" s="23" t="inlineStr">
        <is>
          <t>70x100 1/32</t>
        </is>
      </c>
      <c r="L1707" s="23" t="inlineStr">
        <is>
          <t>мяг</t>
        </is>
      </c>
      <c r="M1707" s="23" t="n">
        <v>160</v>
      </c>
      <c r="N1707" s="23" t="n">
        <v>2017</v>
      </c>
      <c r="O1707" s="23" t="n">
        <v>76</v>
      </c>
      <c r="P1707" s="23" t="n"/>
      <c r="Q1707" s="23" t="n"/>
      <c r="R1707" s="25" t="n"/>
      <c r="S1707" s="26">
        <f>HYPERLINK("http://www.cnpol.ru/covers/17844.jpg","фото на сайте")</f>
        <v/>
      </c>
    </row>
    <row r="1708" ht="50.1" customHeight="1" s="3">
      <c r="A1708" s="23" t="n"/>
      <c r="B1708" s="24" t="inlineStr">
        <is>
          <t>17234</t>
        </is>
      </c>
      <c r="C1708" s="23" t="inlineStr">
        <is>
          <t>ЛР</t>
        </is>
      </c>
      <c r="D1708" s="23" t="inlineStr">
        <is>
          <t>Коллинз Д.</t>
        </is>
      </c>
      <c r="E1708" s="23" t="inlineStr">
        <is>
          <t>Ты в моем сердце</t>
        </is>
      </c>
      <c r="F1708" s="23" t="n">
        <v>681</v>
      </c>
      <c r="G1708" s="23" t="n">
        <v>94</v>
      </c>
      <c r="H1708" s="23" t="n">
        <v>10</v>
      </c>
      <c r="I1708" s="23" t="n">
        <v>30</v>
      </c>
      <c r="J1708" s="23" t="inlineStr">
        <is>
          <t>978-5-227-07209-2</t>
        </is>
      </c>
      <c r="K1708" s="23" t="inlineStr">
        <is>
          <t>70x100 1/32</t>
        </is>
      </c>
      <c r="L1708" s="23" t="inlineStr">
        <is>
          <t>мяг</t>
        </is>
      </c>
      <c r="M1708" s="23" t="n">
        <v>160</v>
      </c>
      <c r="N1708" s="23" t="n">
        <v>2016</v>
      </c>
      <c r="O1708" s="23" t="n">
        <v>76</v>
      </c>
      <c r="P1708" s="23" t="n"/>
      <c r="Q1708" s="23" t="n"/>
      <c r="R1708" s="25" t="n"/>
      <c r="S1708" s="26">
        <f>HYPERLINK("http://www.cnpol.ru/covers/17234.jpg","фото на сайте")</f>
        <v/>
      </c>
    </row>
    <row r="1709" ht="50.1" customHeight="1" s="3">
      <c r="A1709" s="23" t="n"/>
      <c r="B1709" s="24" t="inlineStr">
        <is>
          <t>20048</t>
        </is>
      </c>
      <c r="C1709" s="23" t="inlineStr">
        <is>
          <t>ЛР</t>
        </is>
      </c>
      <c r="D1709" s="23" t="inlineStr">
        <is>
          <t>Тэйер П.</t>
        </is>
      </c>
      <c r="E1709" s="23" t="inlineStr">
        <is>
          <t>Ты все еще моя</t>
        </is>
      </c>
      <c r="F1709" s="23" t="n">
        <v>1076</v>
      </c>
      <c r="G1709" s="23" t="n">
        <v>94</v>
      </c>
      <c r="H1709" s="23" t="n">
        <v>10</v>
      </c>
      <c r="I1709" s="23" t="n">
        <v>30</v>
      </c>
      <c r="J1709" s="23" t="inlineStr">
        <is>
          <t>978-5-227-09615-9</t>
        </is>
      </c>
      <c r="K1709" s="23" t="inlineStr">
        <is>
          <t>70x100 1/32</t>
        </is>
      </c>
      <c r="L1709" s="23" t="inlineStr">
        <is>
          <t>мяг</t>
        </is>
      </c>
      <c r="M1709" s="23" t="n">
        <v>159</v>
      </c>
      <c r="N1709" s="23" t="n">
        <v>2022</v>
      </c>
      <c r="O1709" s="23" t="n">
        <v>76</v>
      </c>
      <c r="P1709" s="23" t="n"/>
      <c r="Q1709" s="23" t="n"/>
      <c r="R1709" s="25" t="n"/>
      <c r="S1709" s="26">
        <f>HYPERLINK("http://www.cnpol.ru/covers/20048.jpg","фото на сайте")</f>
        <v/>
      </c>
    </row>
    <row r="1710" ht="50.1" customHeight="1" s="3">
      <c r="A1710" s="23" t="n"/>
      <c r="B1710" s="24" t="inlineStr">
        <is>
          <t>15694</t>
        </is>
      </c>
      <c r="C1710" s="23" t="inlineStr">
        <is>
          <t>ЛР</t>
        </is>
      </c>
      <c r="D1710" s="23" t="inlineStr">
        <is>
          <t>Кокс М.</t>
        </is>
      </c>
      <c r="E1710" s="23" t="inlineStr">
        <is>
          <t>Ты мне нужна</t>
        </is>
      </c>
      <c r="F1710" s="23" t="n">
        <v>478</v>
      </c>
      <c r="G1710" s="23" t="n">
        <v>94</v>
      </c>
      <c r="H1710" s="23" t="n">
        <v>10</v>
      </c>
      <c r="I1710" s="23" t="n">
        <v>30</v>
      </c>
      <c r="J1710" s="23" t="inlineStr">
        <is>
          <t>978-5-227-05646-7</t>
        </is>
      </c>
      <c r="K1710" s="23" t="inlineStr">
        <is>
          <t>70x100 1/32</t>
        </is>
      </c>
      <c r="L1710" s="23" t="inlineStr">
        <is>
          <t>мяг</t>
        </is>
      </c>
      <c r="M1710" s="23" t="n">
        <v>158</v>
      </c>
      <c r="N1710" s="23" t="n">
        <v>2014</v>
      </c>
      <c r="O1710" s="23" t="n">
        <v>78</v>
      </c>
      <c r="P1710" s="23" t="n"/>
      <c r="Q1710" s="23" t="n"/>
      <c r="R1710" s="25" t="n"/>
      <c r="S1710" s="26">
        <f>HYPERLINK("http://www.cnpol.ru/covers/15694.jpg","фото на сайте")</f>
        <v/>
      </c>
    </row>
    <row r="1711" ht="50.1" customHeight="1" s="3">
      <c r="A1711" s="23" t="n"/>
      <c r="B1711" s="24" t="inlineStr">
        <is>
          <t>18015</t>
        </is>
      </c>
      <c r="C1711" s="23" t="inlineStr">
        <is>
          <t>ЛР</t>
        </is>
      </c>
      <c r="D1711" s="23" t="inlineStr">
        <is>
          <t>Брок Э.</t>
        </is>
      </c>
      <c r="E1711" s="23" t="inlineStr">
        <is>
          <t>Ты мой или ничей</t>
        </is>
      </c>
      <c r="F1711" s="23" t="n">
        <v>797</v>
      </c>
      <c r="G1711" s="23" t="n">
        <v>94</v>
      </c>
      <c r="H1711" s="23" t="n">
        <v>10</v>
      </c>
      <c r="I1711" s="23" t="n">
        <v>30</v>
      </c>
      <c r="J1711" s="23" t="inlineStr">
        <is>
          <t>978-5-227-08023-3</t>
        </is>
      </c>
      <c r="K1711" s="23" t="inlineStr">
        <is>
          <t>70x100 1/32</t>
        </is>
      </c>
      <c r="L1711" s="23" t="inlineStr">
        <is>
          <t>мяг</t>
        </is>
      </c>
      <c r="M1711" s="23" t="n">
        <v>160</v>
      </c>
      <c r="N1711" s="23" t="n">
        <v>2018</v>
      </c>
      <c r="O1711" s="23" t="n">
        <v>76</v>
      </c>
      <c r="P1711" s="23" t="n"/>
      <c r="Q1711" s="23" t="n"/>
      <c r="R1711" s="25" t="n"/>
      <c r="S1711" s="26">
        <f>HYPERLINK("http://www.cnpol.ru/covers/18015.jpg","фото на сайте")</f>
        <v/>
      </c>
    </row>
    <row r="1712" ht="50.1" customHeight="1" s="3">
      <c r="A1712" s="23" t="n"/>
      <c r="B1712" s="24" t="inlineStr">
        <is>
          <t>15784</t>
        </is>
      </c>
      <c r="C1712" s="23" t="inlineStr">
        <is>
          <t>ЛР</t>
        </is>
      </c>
      <c r="D1712" s="23" t="inlineStr">
        <is>
          <t>Гордон Л.</t>
        </is>
      </c>
      <c r="E1712" s="23" t="inlineStr">
        <is>
          <t>Ты мой мир</t>
        </is>
      </c>
      <c r="F1712" s="23" t="n">
        <v>489</v>
      </c>
      <c r="G1712" s="23" t="n">
        <v>94</v>
      </c>
      <c r="H1712" s="23" t="n">
        <v>10</v>
      </c>
      <c r="I1712" s="23" t="n">
        <v>30</v>
      </c>
      <c r="J1712" s="23" t="inlineStr">
        <is>
          <t>978-5-227-05684-9</t>
        </is>
      </c>
      <c r="K1712" s="23" t="inlineStr">
        <is>
          <t>70x100 1/32</t>
        </is>
      </c>
      <c r="L1712" s="23" t="inlineStr">
        <is>
          <t>мяг</t>
        </is>
      </c>
      <c r="M1712" s="23" t="n">
        <v>158</v>
      </c>
      <c r="N1712" s="23" t="n">
        <v>2015</v>
      </c>
      <c r="O1712" s="23" t="n">
        <v>78</v>
      </c>
      <c r="P1712" s="23" t="n"/>
      <c r="Q1712" s="23" t="n"/>
      <c r="R1712" s="25" t="n"/>
      <c r="S1712" s="26">
        <f>HYPERLINK("http://www.cnpol.ru/covers/15784.jpg","фото на сайте")</f>
        <v/>
      </c>
    </row>
    <row r="1713" ht="50.1" customHeight="1" s="3">
      <c r="A1713" s="23" t="n"/>
      <c r="B1713" s="24" t="inlineStr">
        <is>
          <t>19889</t>
        </is>
      </c>
      <c r="C1713" s="23" t="inlineStr">
        <is>
          <t>ЛР</t>
        </is>
      </c>
      <c r="D1713" s="23" t="inlineStr">
        <is>
          <t>Гилмор Д.</t>
        </is>
      </c>
      <c r="E1713" s="23" t="inlineStr">
        <is>
          <t>Ты навсегда со мной</t>
        </is>
      </c>
      <c r="F1713" s="23" t="n">
        <v>1059</v>
      </c>
      <c r="G1713" s="23" t="n">
        <v>94</v>
      </c>
      <c r="H1713" s="23" t="n">
        <v>10</v>
      </c>
      <c r="I1713" s="23" t="n">
        <v>30</v>
      </c>
      <c r="J1713" s="23" t="inlineStr">
        <is>
          <t>978-5-227-09483-4</t>
        </is>
      </c>
      <c r="K1713" s="23" t="inlineStr">
        <is>
          <t>70x100 1/32</t>
        </is>
      </c>
      <c r="L1713" s="23" t="inlineStr">
        <is>
          <t>мяг</t>
        </is>
      </c>
      <c r="M1713" s="23" t="n">
        <v>159</v>
      </c>
      <c r="N1713" s="23" t="n">
        <v>2021</v>
      </c>
      <c r="O1713" s="23" t="n">
        <v>76</v>
      </c>
      <c r="P1713" s="23" t="n"/>
      <c r="Q1713" s="23" t="n"/>
      <c r="R1713" s="25" t="n"/>
      <c r="S1713" s="26">
        <f>HYPERLINK("http://www.cnpol.ru/covers/19889.jpg","фото на сайте")</f>
        <v/>
      </c>
    </row>
    <row r="1714" ht="50.1" customHeight="1" s="3">
      <c r="A1714" s="23" t="inlineStr">
        <is>
          <t>Н</t>
        </is>
      </c>
      <c r="B1714" s="24" t="inlineStr">
        <is>
          <t>21060</t>
        </is>
      </c>
      <c r="C1714" s="23" t="inlineStr">
        <is>
          <t>ЛР</t>
        </is>
      </c>
      <c r="D1714" s="23" t="inlineStr">
        <is>
          <t>Херрера А.</t>
        </is>
      </c>
      <c r="E1714" s="23" t="inlineStr">
        <is>
          <t>Ты только мой</t>
        </is>
      </c>
      <c r="F1714" s="23" t="n">
        <v>1171</v>
      </c>
      <c r="G1714" s="23" t="n">
        <v>94</v>
      </c>
      <c r="H1714" s="23" t="n">
        <v>10</v>
      </c>
      <c r="I1714" s="23" t="n">
        <v>30</v>
      </c>
      <c r="J1714" s="23" t="inlineStr">
        <is>
          <t>978-5-227-10474-8</t>
        </is>
      </c>
      <c r="K1714" s="23" t="inlineStr">
        <is>
          <t>70x100 1/32</t>
        </is>
      </c>
      <c r="L1714" s="23" t="inlineStr">
        <is>
          <t>мяг</t>
        </is>
      </c>
      <c r="M1714" s="23" t="n">
        <v>159</v>
      </c>
      <c r="N1714" s="23" t="n">
        <v>2024</v>
      </c>
      <c r="O1714" s="23" t="n">
        <v>76</v>
      </c>
      <c r="P1714" s="23" t="n"/>
      <c r="Q1714" s="23" t="n"/>
      <c r="R1714" s="25" t="inlineStr">
        <is>
          <t>Эсмеральда Самбрано-Пенья привыкла всю жизнь добиваться всего сама, хотя ее отец — основатель крупнейшей телевизионной сети. Следуя по стопам великого отца, она пытается продвинуть свои идеи на телевидении, но терпит неудачу. У Эсмеральды есть только один близкий человек — мать. А еще в ее жизни был Родриго — лучший друг и любовник, предавший ее десять лет назад. Вся жизнь Эсмеральды переворачивается после смерти отца. Теперь она может сама стать главой телекомпании. Но проблема в том, что на это же место претендует Родриго Альманзар...</t>
        </is>
      </c>
      <c r="S1714" s="26">
        <f>HYPERLINK("http://www.cnpol.ru/covers/21060.jpg","фото на сайте")</f>
        <v/>
      </c>
    </row>
    <row r="1715" ht="50.1" customHeight="1" s="3">
      <c r="A1715" s="23" t="n"/>
      <c r="B1715" s="24" t="inlineStr">
        <is>
          <t>16167</t>
        </is>
      </c>
      <c r="C1715" s="23" t="inlineStr">
        <is>
          <t>ЛР</t>
        </is>
      </c>
      <c r="D1715" s="23" t="inlineStr">
        <is>
          <t>Хьюит К.</t>
        </is>
      </c>
      <c r="E1715" s="23" t="inlineStr">
        <is>
          <t>Ты только моя</t>
        </is>
      </c>
      <c r="F1715" s="23" t="n">
        <v>543</v>
      </c>
      <c r="G1715" s="23" t="n">
        <v>94</v>
      </c>
      <c r="H1715" s="23" t="n">
        <v>10</v>
      </c>
      <c r="I1715" s="23" t="n">
        <v>30</v>
      </c>
      <c r="J1715" s="23" t="inlineStr">
        <is>
          <t>978-5-227-06142-3</t>
        </is>
      </c>
      <c r="K1715" s="23" t="inlineStr">
        <is>
          <t>70x100 1/32</t>
        </is>
      </c>
      <c r="L1715" s="23" t="inlineStr">
        <is>
          <t>мяг</t>
        </is>
      </c>
      <c r="M1715" s="23" t="n">
        <v>158</v>
      </c>
      <c r="N1715" s="23" t="n">
        <v>2015</v>
      </c>
      <c r="O1715" s="23" t="n">
        <v>76</v>
      </c>
      <c r="P1715" s="23" t="n"/>
      <c r="Q1715" s="23" t="n"/>
      <c r="R1715" s="25" t="n"/>
      <c r="S1715" s="26">
        <f>HYPERLINK("http://www.cnpol.ru/covers/16167.jpg","фото на сайте")</f>
        <v/>
      </c>
    </row>
    <row r="1716" ht="50.1" customHeight="1" s="3">
      <c r="A1716" s="23" t="n"/>
      <c r="B1716" s="24" t="inlineStr">
        <is>
          <t>20500</t>
        </is>
      </c>
      <c r="C1716" s="23" t="inlineStr">
        <is>
          <t>ЛР</t>
        </is>
      </c>
      <c r="D1716" s="23" t="inlineStr">
        <is>
          <t>Батиджелли Р.</t>
        </is>
      </c>
      <c r="E1716" s="23" t="inlineStr">
        <is>
          <t>Убежище ледяной страсти</t>
        </is>
      </c>
      <c r="F1716" s="23" t="n">
        <v>1123</v>
      </c>
      <c r="G1716" s="23" t="n">
        <v>94</v>
      </c>
      <c r="H1716" s="23" t="n">
        <v>10</v>
      </c>
      <c r="I1716" s="23" t="n">
        <v>30</v>
      </c>
      <c r="J1716" s="23" t="inlineStr">
        <is>
          <t>978-5-227-10193-8</t>
        </is>
      </c>
      <c r="K1716" s="23" t="inlineStr">
        <is>
          <t>70x100 1/32</t>
        </is>
      </c>
      <c r="L1716" s="23" t="inlineStr">
        <is>
          <t>мяг</t>
        </is>
      </c>
      <c r="M1716" s="23" t="n">
        <v>159</v>
      </c>
      <c r="N1716" s="23" t="n">
        <v>2023</v>
      </c>
      <c r="O1716" s="23" t="n">
        <v>78</v>
      </c>
      <c r="P1716" s="23" t="n"/>
      <c r="Q1716" s="23" t="n"/>
      <c r="R1716" s="25" t="inlineStr">
        <is>
          <t>Случай свел Ронни Форрестер и Реда Брэннигана на скользкой дороге во время ледяного дождя. Автомобиль Ронни занесло, и она оказалась в кювете. Ред пришел на помощь. Из-за разбушевавшейся стихии Ронни вынуждена принять предложение Реда переночевать в его особняке… Ни один не хочет признаться себе, что их неумолимо тянет друг к другу, оба сопротивляются неожиданному чувству, так как у каждого есть печальный опыт расставания и разбитого сердца. И Ред, и Ронни поклялись не искать новых отношений. Но от судьбы не уйдешь.</t>
        </is>
      </c>
      <c r="S1716" s="26">
        <f>HYPERLINK("http://www.cnpol.ru/covers/20500.jpg","фото на сайте")</f>
        <v/>
      </c>
    </row>
    <row r="1717" ht="50.1" customHeight="1" s="3">
      <c r="A1717" s="23" t="n"/>
      <c r="B1717" s="24" t="inlineStr">
        <is>
          <t>15829</t>
        </is>
      </c>
      <c r="C1717" s="23" t="inlineStr">
        <is>
          <t>ЛР</t>
        </is>
      </c>
      <c r="D1717" s="23" t="inlineStr">
        <is>
          <t>Пемброк С.</t>
        </is>
      </c>
      <c r="E1717" s="23" t="inlineStr">
        <is>
          <t>Узнай меня, если сможешь</t>
        </is>
      </c>
      <c r="F1717" s="23" t="n">
        <v>495</v>
      </c>
      <c r="G1717" s="23" t="n">
        <v>94</v>
      </c>
      <c r="H1717" s="23" t="n">
        <v>10</v>
      </c>
      <c r="I1717" s="23" t="n">
        <v>30</v>
      </c>
      <c r="J1717" s="23" t="inlineStr">
        <is>
          <t>978-5-227-05718-1</t>
        </is>
      </c>
      <c r="K1717" s="23" t="inlineStr">
        <is>
          <t>70x100 1/32</t>
        </is>
      </c>
      <c r="L1717" s="23" t="inlineStr">
        <is>
          <t>мяг</t>
        </is>
      </c>
      <c r="M1717" s="23" t="n">
        <v>158</v>
      </c>
      <c r="N1717" s="23" t="n">
        <v>2015</v>
      </c>
      <c r="O1717" s="23" t="n">
        <v>76</v>
      </c>
      <c r="P1717" s="23" t="n"/>
      <c r="Q1717" s="23" t="n"/>
      <c r="R1717" s="25" t="n"/>
      <c r="S1717" s="26">
        <f>HYPERLINK("http://www.cnpol.ru/covers/15829.jpg","фото на сайте")</f>
        <v/>
      </c>
    </row>
    <row r="1718" ht="50.1" customHeight="1" s="3">
      <c r="A1718" s="23" t="n"/>
      <c r="B1718" s="24" t="inlineStr">
        <is>
          <t>17731</t>
        </is>
      </c>
      <c r="C1718" s="23" t="inlineStr">
        <is>
          <t>ЛР</t>
        </is>
      </c>
      <c r="D1718" s="23" t="inlineStr">
        <is>
          <t>Кокс М.</t>
        </is>
      </c>
      <c r="E1718" s="23" t="inlineStr">
        <is>
          <t>Уйти, чтобы остаться</t>
        </is>
      </c>
      <c r="F1718" s="23" t="n">
        <v>758</v>
      </c>
      <c r="G1718" s="23" t="n">
        <v>94</v>
      </c>
      <c r="H1718" s="23" t="n">
        <v>10</v>
      </c>
      <c r="I1718" s="23" t="n">
        <v>30</v>
      </c>
      <c r="J1718" s="23" t="inlineStr">
        <is>
          <t>978-5-227-07720-2</t>
        </is>
      </c>
      <c r="K1718" s="23" t="inlineStr">
        <is>
          <t>70x100 1/32</t>
        </is>
      </c>
      <c r="L1718" s="23" t="inlineStr">
        <is>
          <t>мяг</t>
        </is>
      </c>
      <c r="M1718" s="23" t="n">
        <v>160</v>
      </c>
      <c r="N1718" s="23" t="n">
        <v>2017</v>
      </c>
      <c r="O1718" s="23" t="n">
        <v>76</v>
      </c>
      <c r="P1718" s="23" t="n"/>
      <c r="Q1718" s="23" t="n"/>
      <c r="R1718" s="25" t="n"/>
      <c r="S1718" s="26">
        <f>HYPERLINK("http://www.cnpol.ru/covers/17731.jpg","фото на сайте")</f>
        <v/>
      </c>
    </row>
    <row r="1719" ht="50.1" customHeight="1" s="3">
      <c r="A1719" s="23" t="n"/>
      <c r="B1719" s="24" t="inlineStr">
        <is>
          <t>16234</t>
        </is>
      </c>
      <c r="C1719" s="23" t="inlineStr">
        <is>
          <t>ЛР</t>
        </is>
      </c>
      <c r="D1719" s="23" t="inlineStr">
        <is>
          <t>Карпентер Т.</t>
        </is>
      </c>
      <c r="E1719" s="23" t="inlineStr">
        <is>
          <t>Украденный поцелуй</t>
        </is>
      </c>
      <c r="F1719" s="23" t="n">
        <v>553</v>
      </c>
      <c r="G1719" s="23" t="n">
        <v>94</v>
      </c>
      <c r="H1719" s="23" t="n">
        <v>10</v>
      </c>
      <c r="I1719" s="23" t="n">
        <v>30</v>
      </c>
      <c r="J1719" s="23" t="inlineStr">
        <is>
          <t>978-5-227-06163-8</t>
        </is>
      </c>
      <c r="K1719" s="23" t="inlineStr">
        <is>
          <t>70x100 1/32</t>
        </is>
      </c>
      <c r="L1719" s="23" t="inlineStr">
        <is>
          <t>мяг</t>
        </is>
      </c>
      <c r="M1719" s="23" t="n">
        <v>158</v>
      </c>
      <c r="N1719" s="23" t="n">
        <v>2015</v>
      </c>
      <c r="O1719" s="23" t="n">
        <v>76</v>
      </c>
      <c r="P1719" s="23" t="n"/>
      <c r="Q1719" s="23" t="n"/>
      <c r="R1719" s="25" t="n"/>
      <c r="S1719" s="26">
        <f>HYPERLINK("http://www.cnpol.ru/covers/16234.jpg","фото на сайте")</f>
        <v/>
      </c>
    </row>
    <row r="1720" ht="50.1" customHeight="1" s="3">
      <c r="A1720" s="23" t="n"/>
      <c r="B1720" s="24" t="inlineStr">
        <is>
          <t>16291</t>
        </is>
      </c>
      <c r="C1720" s="23" t="inlineStr">
        <is>
          <t>ЛР</t>
        </is>
      </c>
      <c r="D1720" s="23" t="inlineStr">
        <is>
          <t>Уинтерз Р.</t>
        </is>
      </c>
      <c r="E1720" s="23" t="inlineStr">
        <is>
          <t>Укрощение ловеласа</t>
        </is>
      </c>
      <c r="F1720" s="23" t="n">
        <v>558</v>
      </c>
      <c r="G1720" s="23" t="n">
        <v>94</v>
      </c>
      <c r="H1720" s="23" t="n">
        <v>10</v>
      </c>
      <c r="I1720" s="23" t="n">
        <v>30</v>
      </c>
      <c r="J1720" s="23" t="inlineStr">
        <is>
          <t>978-5-227-06189-8</t>
        </is>
      </c>
      <c r="K1720" s="23" t="inlineStr">
        <is>
          <t>70x100 1/32</t>
        </is>
      </c>
      <c r="L1720" s="23" t="inlineStr">
        <is>
          <t>мяг</t>
        </is>
      </c>
      <c r="M1720" s="23" t="n">
        <v>158</v>
      </c>
      <c r="N1720" s="23" t="n">
        <v>2015</v>
      </c>
      <c r="O1720" s="23" t="n">
        <v>76</v>
      </c>
      <c r="P1720" s="23" t="n"/>
      <c r="Q1720" s="23" t="n"/>
      <c r="R1720" s="25" t="n"/>
      <c r="S1720" s="26">
        <f>HYPERLINK("http://www.cnpol.ru/covers/16291.jpg","фото на сайте")</f>
        <v/>
      </c>
    </row>
    <row r="1721" ht="50.1" customHeight="1" s="3">
      <c r="A1721" s="23" t="n"/>
      <c r="B1721" s="24" t="inlineStr">
        <is>
          <t>18529</t>
        </is>
      </c>
      <c r="C1721" s="23" t="inlineStr">
        <is>
          <t>ЛР</t>
        </is>
      </c>
      <c r="D1721" s="23" t="inlineStr">
        <is>
          <t>Лоренс К.</t>
        </is>
      </c>
      <c r="E1721" s="23" t="inlineStr">
        <is>
          <t>Ультиматум безрассудной ночи</t>
        </is>
      </c>
      <c r="F1721" s="23" t="n">
        <v>872</v>
      </c>
      <c r="G1721" s="23" t="n">
        <v>94</v>
      </c>
      <c r="H1721" s="23" t="n">
        <v>10</v>
      </c>
      <c r="I1721" s="23" t="n">
        <v>30</v>
      </c>
      <c r="J1721" s="23" t="inlineStr">
        <is>
          <t>978-5-227-08415-6</t>
        </is>
      </c>
      <c r="K1721" s="23" t="inlineStr">
        <is>
          <t>70x100 1/32</t>
        </is>
      </c>
      <c r="L1721" s="23" t="inlineStr">
        <is>
          <t>мяг</t>
        </is>
      </c>
      <c r="M1721" s="23" t="n">
        <v>160</v>
      </c>
      <c r="N1721" s="23" t="n">
        <v>2019</v>
      </c>
      <c r="O1721" s="23" t="n">
        <v>76</v>
      </c>
      <c r="P1721" s="23" t="n"/>
      <c r="Q1721" s="23" t="n"/>
      <c r="R1721" s="25" t="n"/>
      <c r="S1721" s="26">
        <f>HYPERLINK("http://www.cnpol.ru/covers/18529.jpg","фото на сайте")</f>
        <v/>
      </c>
    </row>
    <row r="1722" ht="50.1" customHeight="1" s="3">
      <c r="A1722" s="23" t="n"/>
      <c r="B1722" s="24" t="inlineStr">
        <is>
          <t>15993</t>
        </is>
      </c>
      <c r="C1722" s="23" t="inlineStr">
        <is>
          <t>ЛР</t>
        </is>
      </c>
      <c r="D1722" s="23" t="inlineStr">
        <is>
          <t>Уоллис Бадж</t>
        </is>
      </c>
      <c r="E1722" s="23" t="inlineStr">
        <is>
          <t>Унесенные ураганом</t>
        </is>
      </c>
      <c r="F1722" s="23" t="n">
        <v>516</v>
      </c>
      <c r="G1722" s="23" t="n">
        <v>94</v>
      </c>
      <c r="H1722" s="23" t="n">
        <v>10</v>
      </c>
      <c r="I1722" s="23" t="n">
        <v>30</v>
      </c>
      <c r="J1722" s="23" t="inlineStr">
        <is>
          <t>978-5-227-05945-1</t>
        </is>
      </c>
      <c r="K1722" s="23" t="inlineStr">
        <is>
          <t>70x100 1/32</t>
        </is>
      </c>
      <c r="L1722" s="23" t="inlineStr">
        <is>
          <t>мяг</t>
        </is>
      </c>
      <c r="M1722" s="23" t="n">
        <v>158</v>
      </c>
      <c r="N1722" s="23" t="n">
        <v>2015</v>
      </c>
      <c r="O1722" s="23" t="n">
        <v>76</v>
      </c>
      <c r="P1722" s="23" t="n"/>
      <c r="Q1722" s="23" t="n"/>
      <c r="R1722" s="25" t="n"/>
      <c r="S1722" s="26">
        <f>HYPERLINK("http://www.cnpol.ru/covers/15993.jpg","фото на сайте")</f>
        <v/>
      </c>
    </row>
    <row r="1723" ht="50.1" customHeight="1" s="3">
      <c r="A1723" s="23" t="n"/>
      <c r="B1723" s="24" t="inlineStr">
        <is>
          <t>16075</t>
        </is>
      </c>
      <c r="C1723" s="23" t="inlineStr">
        <is>
          <t>ЛР</t>
        </is>
      </c>
      <c r="D1723" s="23" t="inlineStr">
        <is>
          <t>Мартон С.</t>
        </is>
      </c>
      <c r="E1723" s="23" t="inlineStr">
        <is>
          <t>Упрямый рыцарь</t>
        </is>
      </c>
      <c r="F1723" s="23" t="n">
        <v>529</v>
      </c>
      <c r="G1723" s="23" t="n">
        <v>94</v>
      </c>
      <c r="H1723" s="23" t="n">
        <v>10</v>
      </c>
      <c r="I1723" s="23" t="n">
        <v>30</v>
      </c>
      <c r="J1723" s="23" t="inlineStr">
        <is>
          <t>978-5-227-06062-4</t>
        </is>
      </c>
      <c r="K1723" s="23" t="inlineStr">
        <is>
          <t>70x100 1/32</t>
        </is>
      </c>
      <c r="L1723" s="23" t="inlineStr">
        <is>
          <t>мяг</t>
        </is>
      </c>
      <c r="M1723" s="23" t="n">
        <v>158</v>
      </c>
      <c r="N1723" s="23" t="n">
        <v>2015</v>
      </c>
      <c r="O1723" s="23" t="n">
        <v>76</v>
      </c>
      <c r="P1723" s="23" t="n"/>
      <c r="Q1723" s="23" t="n"/>
      <c r="R1723" s="25" t="n"/>
      <c r="S1723" s="26">
        <f>HYPERLINK("http://www.cnpol.ru/covers/16075.jpg","фото на сайте")</f>
        <v/>
      </c>
    </row>
    <row r="1724" ht="50.1" customHeight="1" s="3">
      <c r="A1724" s="23" t="n"/>
      <c r="B1724" s="24" t="inlineStr">
        <is>
          <t>17020</t>
        </is>
      </c>
      <c r="C1724" s="23" t="inlineStr">
        <is>
          <t>ЛР</t>
        </is>
      </c>
      <c r="D1724" s="23" t="inlineStr">
        <is>
          <t>Блейк М.</t>
        </is>
      </c>
      <c r="E1724" s="23" t="inlineStr">
        <is>
          <t>Уроки любви для повесы</t>
        </is>
      </c>
      <c r="F1724" s="23" t="n">
        <v>654</v>
      </c>
      <c r="G1724" s="23" t="n">
        <v>94</v>
      </c>
      <c r="H1724" s="23" t="n">
        <v>10</v>
      </c>
      <c r="I1724" s="23" t="n">
        <v>30</v>
      </c>
      <c r="J1724" s="23" t="inlineStr">
        <is>
          <t>978-5-227-07039-5</t>
        </is>
      </c>
      <c r="K1724" s="23" t="inlineStr">
        <is>
          <t>70x100 1/32</t>
        </is>
      </c>
      <c r="L1724" s="23" t="inlineStr">
        <is>
          <t>мяг</t>
        </is>
      </c>
      <c r="M1724" s="23" t="n">
        <v>158</v>
      </c>
      <c r="N1724" s="23" t="n">
        <v>2016</v>
      </c>
      <c r="O1724" s="23" t="n">
        <v>76</v>
      </c>
      <c r="P1724" s="23" t="n"/>
      <c r="Q1724" s="23" t="n"/>
      <c r="R1724" s="25" t="n"/>
      <c r="S1724" s="26">
        <f>HYPERLINK("http://www.cnpol.ru/covers/17020.jpg","фото на сайте")</f>
        <v/>
      </c>
    </row>
    <row r="1725" ht="50.1" customHeight="1" s="3">
      <c r="A1725" s="23" t="n"/>
      <c r="B1725" s="24" t="inlineStr">
        <is>
          <t>16223</t>
        </is>
      </c>
      <c r="C1725" s="23" t="inlineStr">
        <is>
          <t>ЛР</t>
        </is>
      </c>
      <c r="D1725" s="23" t="inlineStr">
        <is>
          <t>Милберн М.</t>
        </is>
      </c>
      <c r="E1725" s="23" t="inlineStr">
        <is>
          <t>Уроки плейбоя</t>
        </is>
      </c>
      <c r="F1725" s="23" t="n">
        <v>549</v>
      </c>
      <c r="G1725" s="23" t="n">
        <v>94</v>
      </c>
      <c r="H1725" s="23" t="n">
        <v>10</v>
      </c>
      <c r="I1725" s="23" t="n">
        <v>30</v>
      </c>
      <c r="J1725" s="23" t="inlineStr">
        <is>
          <t>978-5-227-06239-0</t>
        </is>
      </c>
      <c r="K1725" s="23" t="inlineStr">
        <is>
          <t>70x100 1/32</t>
        </is>
      </c>
      <c r="L1725" s="23" t="inlineStr">
        <is>
          <t>мяг</t>
        </is>
      </c>
      <c r="M1725" s="23" t="n">
        <v>158</v>
      </c>
      <c r="N1725" s="23" t="n">
        <v>2015</v>
      </c>
      <c r="O1725" s="23" t="n">
        <v>76</v>
      </c>
      <c r="P1725" s="23" t="n"/>
      <c r="Q1725" s="23" t="n"/>
      <c r="R1725" s="25" t="n"/>
      <c r="S1725" s="26">
        <f>HYPERLINK("http://www.cnpol.ru/covers/16223.jpg","фото на сайте")</f>
        <v/>
      </c>
    </row>
    <row r="1726" ht="50.1" customHeight="1" s="3">
      <c r="A1726" s="23" t="n"/>
      <c r="B1726" s="24" t="inlineStr">
        <is>
          <t>18924</t>
        </is>
      </c>
      <c r="C1726" s="23" t="inlineStr">
        <is>
          <t>ЛР</t>
        </is>
      </c>
      <c r="D1726" s="23" t="inlineStr">
        <is>
          <t>Беннет Д.</t>
        </is>
      </c>
      <c r="E1726" s="23" t="inlineStr">
        <is>
          <t>Ускользающее притяжение</t>
        </is>
      </c>
      <c r="F1726" s="23" t="n">
        <v>937</v>
      </c>
      <c r="G1726" s="23" t="n">
        <v>94</v>
      </c>
      <c r="H1726" s="23" t="n">
        <v>10</v>
      </c>
      <c r="I1726" s="23" t="n">
        <v>30</v>
      </c>
      <c r="J1726" s="23" t="inlineStr">
        <is>
          <t>978-5-227-08775-1</t>
        </is>
      </c>
      <c r="K1726" s="23" t="inlineStr">
        <is>
          <t>70x100 1/32</t>
        </is>
      </c>
      <c r="L1726" s="23" t="inlineStr">
        <is>
          <t>мяг</t>
        </is>
      </c>
      <c r="M1726" s="23" t="n">
        <v>160</v>
      </c>
      <c r="N1726" s="23" t="n">
        <v>2019</v>
      </c>
      <c r="O1726" s="23" t="n">
        <v>76</v>
      </c>
      <c r="P1726" s="23" t="n"/>
      <c r="Q1726" s="23" t="n"/>
      <c r="R1726" s="25" t="n"/>
      <c r="S1726" s="26">
        <f>HYPERLINK("http://www.cnpol.ru/covers/18924.jpg","фото на сайте")</f>
        <v/>
      </c>
    </row>
    <row r="1727" ht="50.1" customHeight="1" s="3">
      <c r="A1727" s="23" t="n"/>
      <c r="B1727" s="24" t="inlineStr">
        <is>
          <t>20822</t>
        </is>
      </c>
      <c r="C1727" s="23" t="inlineStr">
        <is>
          <t>ЛР</t>
        </is>
      </c>
      <c r="D1727" s="23" t="inlineStr">
        <is>
          <t>Кеннеди С.</t>
        </is>
      </c>
      <c r="E1727" s="23" t="inlineStr">
        <is>
          <t>Услышь свое сердце</t>
        </is>
      </c>
      <c r="F1727" s="23" t="n">
        <v>1153</v>
      </c>
      <c r="G1727" s="23" t="n">
        <v>94</v>
      </c>
      <c r="H1727" s="23" t="n">
        <v>10</v>
      </c>
      <c r="I1727" s="23" t="n">
        <v>30</v>
      </c>
      <c r="J1727" s="23" t="inlineStr">
        <is>
          <t>978-5-227-10371-0</t>
        </is>
      </c>
      <c r="K1727" s="23" t="inlineStr">
        <is>
          <t>70x100 1/32</t>
        </is>
      </c>
      <c r="L1727" s="23" t="inlineStr">
        <is>
          <t>мяг</t>
        </is>
      </c>
      <c r="M1727" s="23" t="n">
        <v>159</v>
      </c>
      <c r="N1727" s="23" t="n">
        <v>2023</v>
      </c>
      <c r="O1727" s="23" t="n">
        <v>76</v>
      </c>
      <c r="P1727" s="23" t="n"/>
      <c r="Q1727" s="23" t="n"/>
      <c r="R1727" s="25" t="inlineStr">
        <is>
          <t>Получив задание редакции, Аделин Харлоу отправляется в родной городок взять интервью у Колтера Уорда, в которого она была тайно влюблена в школьные годы. Вспыхнувшая между ними страсть быстро перерождается в глубокие чувства. Но ситуация осложняется тем, что Колтер не готов оставить семейное ранчо, а Аделин не намерена покидать Нью­Йорк. Смогут ли они достигнуть компромисса и обрести счастье?</t>
        </is>
      </c>
      <c r="S1727" s="26">
        <f>HYPERLINK("http://www.cnpol.ru/covers/20822.jpg","фото на сайте")</f>
        <v/>
      </c>
    </row>
    <row r="1728" ht="50.1" customHeight="1" s="3">
      <c r="A1728" s="23" t="n"/>
      <c r="B1728" s="24" t="inlineStr">
        <is>
          <t>20220</t>
        </is>
      </c>
      <c r="C1728" s="23" t="inlineStr">
        <is>
          <t>ЛР</t>
        </is>
      </c>
      <c r="D1728" s="23" t="inlineStr">
        <is>
          <t>Шеперд К.</t>
        </is>
      </c>
      <c r="E1728" s="23" t="inlineStr">
        <is>
          <t>Утонуть в его глазах</t>
        </is>
      </c>
      <c r="F1728" s="23" t="n">
        <v>1093</v>
      </c>
      <c r="G1728" s="23" t="n">
        <v>94</v>
      </c>
      <c r="H1728" s="23" t="n">
        <v>10</v>
      </c>
      <c r="I1728" s="23" t="n">
        <v>30</v>
      </c>
      <c r="J1728" s="23" t="inlineStr">
        <is>
          <t>978-5-227-09750-7</t>
        </is>
      </c>
      <c r="K1728" s="23" t="inlineStr">
        <is>
          <t>70x100 1/32</t>
        </is>
      </c>
      <c r="L1728" s="23" t="inlineStr">
        <is>
          <t>мяг</t>
        </is>
      </c>
      <c r="M1728" s="23" t="n">
        <v>159</v>
      </c>
      <c r="N1728" s="23" t="n">
        <v>2022</v>
      </c>
      <c r="O1728" s="23" t="n">
        <v>76</v>
      </c>
      <c r="P1728" s="23" t="n"/>
      <c r="Q1728" s="23" t="n"/>
      <c r="R1728" s="25" t="n"/>
      <c r="S1728" s="26">
        <f>HYPERLINK("http://www.cnpol.ru/covers/20220.jpg","фото на сайте")</f>
        <v/>
      </c>
    </row>
    <row r="1729" ht="50.1" customHeight="1" s="3">
      <c r="A1729" s="23" t="n"/>
      <c r="B1729" s="24" t="inlineStr">
        <is>
          <t>18255</t>
        </is>
      </c>
      <c r="C1729" s="23" t="inlineStr">
        <is>
          <t>ЛР</t>
        </is>
      </c>
      <c r="D1729" s="23" t="inlineStr">
        <is>
          <t>Бехари Т.</t>
        </is>
      </c>
      <c r="E1729" s="23" t="inlineStr">
        <is>
          <t>Феерия чувств</t>
        </is>
      </c>
      <c r="F1729" s="23" t="n">
        <v>827</v>
      </c>
      <c r="G1729" s="23" t="n">
        <v>94</v>
      </c>
      <c r="H1729" s="23" t="n">
        <v>10</v>
      </c>
      <c r="I1729" s="23" t="n">
        <v>30</v>
      </c>
      <c r="J1729" s="23" t="inlineStr">
        <is>
          <t>978-5-227-08221-3</t>
        </is>
      </c>
      <c r="K1729" s="23" t="inlineStr">
        <is>
          <t>70x100 1/32</t>
        </is>
      </c>
      <c r="L1729" s="23" t="inlineStr">
        <is>
          <t>мяг</t>
        </is>
      </c>
      <c r="M1729" s="23" t="n">
        <v>160</v>
      </c>
      <c r="N1729" s="23" t="n">
        <v>2018</v>
      </c>
      <c r="O1729" s="23" t="n">
        <v>76</v>
      </c>
      <c r="P1729" s="23" t="n"/>
      <c r="Q1729" s="23" t="n"/>
      <c r="R1729" s="25" t="n"/>
      <c r="S1729" s="26">
        <f>HYPERLINK("http://www.cnpol.ru/covers/18255.jpg","фото на сайте")</f>
        <v/>
      </c>
    </row>
    <row r="1730" ht="50.1" customHeight="1" s="3">
      <c r="A1730" s="23" t="n"/>
      <c r="B1730" s="24" t="inlineStr">
        <is>
          <t>19526</t>
        </is>
      </c>
      <c r="C1730" s="23" t="inlineStr">
        <is>
          <t>ЛР</t>
        </is>
      </c>
      <c r="D1730" s="23" t="inlineStr">
        <is>
          <t>Стивенс С.</t>
        </is>
      </c>
      <c r="E1730" s="23" t="inlineStr">
        <is>
          <t>Фейерверк желаний</t>
        </is>
      </c>
      <c r="F1730" s="23" t="n">
        <v>1019</v>
      </c>
      <c r="G1730" s="23" t="n">
        <v>94</v>
      </c>
      <c r="H1730" s="23" t="n">
        <v>10</v>
      </c>
      <c r="I1730" s="23" t="n">
        <v>30</v>
      </c>
      <c r="J1730" s="23" t="inlineStr">
        <is>
          <t>978-5-227-09178-9</t>
        </is>
      </c>
      <c r="K1730" s="23" t="inlineStr">
        <is>
          <t>70x100 1/32</t>
        </is>
      </c>
      <c r="L1730" s="23" t="inlineStr">
        <is>
          <t>мяг</t>
        </is>
      </c>
      <c r="M1730" s="23" t="n">
        <v>160</v>
      </c>
      <c r="N1730" s="23" t="n">
        <v>2021</v>
      </c>
      <c r="O1730" s="23" t="n">
        <v>76</v>
      </c>
      <c r="P1730" s="23" t="n"/>
      <c r="Q1730" s="23" t="n"/>
      <c r="R1730" s="25" t="n"/>
      <c r="S1730" s="26">
        <f>HYPERLINK("http://www.cnpol.ru/covers/19526.jpg","фото на сайте")</f>
        <v/>
      </c>
    </row>
    <row r="1731" ht="50.1" customHeight="1" s="3">
      <c r="A1731" s="23" t="n"/>
      <c r="B1731" s="24" t="inlineStr">
        <is>
          <t>18972</t>
        </is>
      </c>
      <c r="C1731" s="23" t="inlineStr">
        <is>
          <t>ЛР</t>
        </is>
      </c>
      <c r="D1731" s="23" t="inlineStr">
        <is>
          <t>Томас Р.</t>
        </is>
      </c>
      <c r="E1731" s="23" t="inlineStr">
        <is>
          <t>Финал курортной сказки</t>
        </is>
      </c>
      <c r="F1731" s="23" t="n">
        <v>947</v>
      </c>
      <c r="G1731" s="23" t="n">
        <v>94</v>
      </c>
      <c r="H1731" s="23" t="n">
        <v>10</v>
      </c>
      <c r="I1731" s="23" t="n">
        <v>30</v>
      </c>
      <c r="J1731" s="23" t="inlineStr">
        <is>
          <t>978-5-227-08838-3</t>
        </is>
      </c>
      <c r="K1731" s="23" t="inlineStr">
        <is>
          <t>70x100 1/32</t>
        </is>
      </c>
      <c r="L1731" s="23" t="inlineStr">
        <is>
          <t>мяг</t>
        </is>
      </c>
      <c r="M1731" s="23" t="n">
        <v>160</v>
      </c>
      <c r="N1731" s="23" t="n">
        <v>2019</v>
      </c>
      <c r="O1731" s="23" t="n">
        <v>76</v>
      </c>
      <c r="P1731" s="23" t="n"/>
      <c r="Q1731" s="23" t="n"/>
      <c r="R1731" s="25" t="n"/>
      <c r="S1731" s="26">
        <f>HYPERLINK("http://www.cnpol.ru/covers/18972.jpg","фото на сайте")</f>
        <v/>
      </c>
    </row>
    <row r="1732" ht="50.1" customHeight="1" s="3">
      <c r="A1732" s="23" t="n"/>
      <c r="B1732" s="24" t="inlineStr">
        <is>
          <t>16030</t>
        </is>
      </c>
      <c r="C1732" s="23" t="inlineStr">
        <is>
          <t>ЛР</t>
        </is>
      </c>
      <c r="D1732" s="23" t="inlineStr">
        <is>
          <t>Кендрик Ш.</t>
        </is>
      </c>
      <c r="E1732" s="23" t="inlineStr">
        <is>
          <t>Хватит и взгляда</t>
        </is>
      </c>
      <c r="F1732" s="23" t="n">
        <v>520</v>
      </c>
      <c r="G1732" s="23" t="n">
        <v>94</v>
      </c>
      <c r="H1732" s="23" t="n">
        <v>10</v>
      </c>
      <c r="I1732" s="23" t="n">
        <v>30</v>
      </c>
      <c r="J1732" s="23" t="inlineStr">
        <is>
          <t>978-5-227-05949-9</t>
        </is>
      </c>
      <c r="K1732" s="23" t="inlineStr">
        <is>
          <t>70x100 1/32</t>
        </is>
      </c>
      <c r="L1732" s="23" t="inlineStr">
        <is>
          <t>мяг</t>
        </is>
      </c>
      <c r="M1732" s="23" t="n">
        <v>158</v>
      </c>
      <c r="N1732" s="23" t="n">
        <v>2015</v>
      </c>
      <c r="O1732" s="23" t="n">
        <v>76</v>
      </c>
      <c r="P1732" s="23" t="n"/>
      <c r="Q1732" s="23" t="n"/>
      <c r="R1732" s="25" t="n"/>
      <c r="S1732" s="26">
        <f>HYPERLINK("http://www.cnpol.ru/covers/16030.jpg","фото на сайте")</f>
        <v/>
      </c>
    </row>
    <row r="1733" ht="50.1" customHeight="1" s="3">
      <c r="A1733" s="23" t="n"/>
      <c r="B1733" s="24" t="inlineStr">
        <is>
          <t>19050</t>
        </is>
      </c>
      <c r="C1733" s="23" t="inlineStr">
        <is>
          <t>ЛР</t>
        </is>
      </c>
      <c r="D1733" s="23" t="inlineStr">
        <is>
          <t>Пемброк С.</t>
        </is>
      </c>
      <c r="E1733" s="23" t="inlineStr">
        <is>
          <t>Хозяйка острова любви</t>
        </is>
      </c>
      <c r="F1733" s="23" t="n">
        <v>961</v>
      </c>
      <c r="G1733" s="23" t="n">
        <v>94</v>
      </c>
      <c r="H1733" s="23" t="n">
        <v>10</v>
      </c>
      <c r="I1733" s="23" t="n">
        <v>30</v>
      </c>
      <c r="J1733" s="23" t="inlineStr">
        <is>
          <t>978-5-227-08914-4</t>
        </is>
      </c>
      <c r="K1733" s="23" t="inlineStr">
        <is>
          <t>70x100 1/32</t>
        </is>
      </c>
      <c r="L1733" s="23" t="inlineStr">
        <is>
          <t>мяг</t>
        </is>
      </c>
      <c r="M1733" s="23" t="n">
        <v>160</v>
      </c>
      <c r="N1733" s="23" t="n">
        <v>2020</v>
      </c>
      <c r="O1733" s="23" t="n">
        <v>76</v>
      </c>
      <c r="P1733" s="23" t="n"/>
      <c r="Q1733" s="23" t="n"/>
      <c r="R1733" s="25" t="n"/>
      <c r="S1733" s="26">
        <f>HYPERLINK("http://www.cnpol.ru/covers/19050.jpg","фото на сайте")</f>
        <v/>
      </c>
    </row>
    <row r="1734" ht="50.1" customHeight="1" s="3">
      <c r="A1734" s="23" t="n"/>
      <c r="B1734" s="24" t="inlineStr">
        <is>
          <t>20151</t>
        </is>
      </c>
      <c r="C1734" s="23" t="inlineStr">
        <is>
          <t>ЛР</t>
        </is>
      </c>
      <c r="D1734" s="23" t="inlineStr">
        <is>
          <t>Хьюит К.</t>
        </is>
      </c>
      <c r="E1734" s="23" t="inlineStr">
        <is>
          <t>Хочу быть твоей</t>
        </is>
      </c>
      <c r="F1734" s="23" t="n">
        <v>1085</v>
      </c>
      <c r="G1734" s="23" t="n">
        <v>94</v>
      </c>
      <c r="H1734" s="23" t="n">
        <v>10</v>
      </c>
      <c r="I1734" s="23" t="n">
        <v>30</v>
      </c>
      <c r="J1734" s="23" t="inlineStr">
        <is>
          <t>978-5-227-09603-6</t>
        </is>
      </c>
      <c r="K1734" s="23" t="inlineStr">
        <is>
          <t>70x100 1/32</t>
        </is>
      </c>
      <c r="L1734" s="23" t="inlineStr">
        <is>
          <t>мяг</t>
        </is>
      </c>
      <c r="M1734" s="23" t="n">
        <v>159</v>
      </c>
      <c r="N1734" s="23" t="n">
        <v>2022</v>
      </c>
      <c r="O1734" s="23" t="n">
        <v>76</v>
      </c>
      <c r="P1734" s="23" t="n"/>
      <c r="Q1734" s="23" t="n"/>
      <c r="R1734" s="25" t="n"/>
      <c r="S1734" s="26">
        <f>HYPERLINK("http://www.cnpol.ru/covers/20151.jpg","фото на сайте")</f>
        <v/>
      </c>
    </row>
    <row r="1735" ht="50.1" customHeight="1" s="3">
      <c r="A1735" s="23" t="n"/>
      <c r="B1735" s="24" t="inlineStr">
        <is>
          <t>17901</t>
        </is>
      </c>
      <c r="C1735" s="23" t="inlineStr">
        <is>
          <t>ЛР</t>
        </is>
      </c>
      <c r="D1735" s="23" t="inlineStr">
        <is>
          <t>Фэй Д.</t>
        </is>
      </c>
      <c r="E1735" s="23" t="inlineStr">
        <is>
          <t>Хранительница пламенного сердца</t>
        </is>
      </c>
      <c r="F1735" s="23" t="n">
        <v>782</v>
      </c>
      <c r="G1735" s="23" t="n">
        <v>94</v>
      </c>
      <c r="H1735" s="23" t="n">
        <v>10</v>
      </c>
      <c r="I1735" s="23" t="n">
        <v>30</v>
      </c>
      <c r="J1735" s="23" t="inlineStr">
        <is>
          <t>978-5-227-07988-6</t>
        </is>
      </c>
      <c r="K1735" s="23" t="inlineStr">
        <is>
          <t>70x100 1/32</t>
        </is>
      </c>
      <c r="L1735" s="23" t="inlineStr">
        <is>
          <t>мяг</t>
        </is>
      </c>
      <c r="M1735" s="23" t="n">
        <v>160</v>
      </c>
      <c r="N1735" s="23" t="n">
        <v>2018</v>
      </c>
      <c r="O1735" s="23" t="n">
        <v>76</v>
      </c>
      <c r="P1735" s="23" t="n"/>
      <c r="Q1735" s="23" t="n"/>
      <c r="R1735" s="25" t="n"/>
      <c r="S1735" s="26">
        <f>HYPERLINK("http://www.cnpol.ru/covers/17901.jpg","фото на сайте")</f>
        <v/>
      </c>
    </row>
    <row r="1736" ht="50.1" customHeight="1" s="3">
      <c r="A1736" s="23" t="n"/>
      <c r="B1736" s="24" t="inlineStr">
        <is>
          <t>12592</t>
        </is>
      </c>
      <c r="C1736" s="23" t="inlineStr">
        <is>
          <t>ЛР</t>
        </is>
      </c>
      <c r="D1736" s="23" t="inlineStr">
        <is>
          <t>Мартон С.</t>
        </is>
      </c>
      <c r="E1736" s="23" t="inlineStr">
        <is>
          <t>Цвет страсти</t>
        </is>
      </c>
      <c r="F1736" s="23" t="n">
        <v>74</v>
      </c>
      <c r="G1736" s="23" t="n">
        <v>94</v>
      </c>
      <c r="H1736" s="23" t="n">
        <v>10</v>
      </c>
      <c r="I1736" s="23" t="n">
        <v>30</v>
      </c>
      <c r="J1736" s="23" t="inlineStr">
        <is>
          <t>978-5-227-02731-3</t>
        </is>
      </c>
      <c r="K1736" s="23" t="inlineStr">
        <is>
          <t>70x100 1/32</t>
        </is>
      </c>
      <c r="L1736" s="23" t="inlineStr">
        <is>
          <t>мяг</t>
        </is>
      </c>
      <c r="M1736" s="23" t="n">
        <v>158</v>
      </c>
      <c r="N1736" s="23" t="n">
        <v>2011</v>
      </c>
      <c r="O1736" s="23" t="n">
        <v>78</v>
      </c>
      <c r="P1736" s="23" t="n"/>
      <c r="Q1736" s="23" t="n"/>
      <c r="R1736" s="25" t="n"/>
      <c r="S1736" s="26">
        <f>HYPERLINK("http://www.cnpol.ru/covers/12592.jpg","фото на сайте")</f>
        <v/>
      </c>
    </row>
    <row r="1737" ht="50.1" customHeight="1" s="3">
      <c r="A1737" s="23" t="n"/>
      <c r="B1737" s="24" t="inlineStr">
        <is>
          <t>16576</t>
        </is>
      </c>
      <c r="C1737" s="23" t="inlineStr">
        <is>
          <t>ЛР</t>
        </is>
      </c>
      <c r="D1737" s="23" t="inlineStr">
        <is>
          <t>Андерсон С.</t>
        </is>
      </c>
      <c r="E1737" s="23" t="inlineStr">
        <is>
          <t>Целуй меня в ответ</t>
        </is>
      </c>
      <c r="F1737" s="23" t="n">
        <v>594</v>
      </c>
      <c r="G1737" s="23" t="n">
        <v>94</v>
      </c>
      <c r="H1737" s="23" t="n">
        <v>10</v>
      </c>
      <c r="I1737" s="23" t="n">
        <v>30</v>
      </c>
      <c r="J1737" s="23" t="inlineStr">
        <is>
          <t>978-5-227-06490-5</t>
        </is>
      </c>
      <c r="K1737" s="23" t="inlineStr">
        <is>
          <t>70x100 1/32</t>
        </is>
      </c>
      <c r="L1737" s="23" t="inlineStr">
        <is>
          <t>мяг</t>
        </is>
      </c>
      <c r="M1737" s="23" t="n">
        <v>160</v>
      </c>
      <c r="N1737" s="23" t="n">
        <v>2016</v>
      </c>
      <c r="O1737" s="23" t="n">
        <v>76</v>
      </c>
      <c r="P1737" s="23" t="n"/>
      <c r="Q1737" s="23" t="n"/>
      <c r="R1737" s="25" t="n"/>
      <c r="S1737" s="26">
        <f>HYPERLINK("http://www.cnpol.ru/covers/16576.jpg","фото на сайте")</f>
        <v/>
      </c>
    </row>
    <row r="1738" ht="50.1" customHeight="1" s="3">
      <c r="A1738" s="23" t="n"/>
      <c r="B1738" s="24" t="inlineStr">
        <is>
          <t>17014</t>
        </is>
      </c>
      <c r="C1738" s="23" t="inlineStr">
        <is>
          <t>ЛР</t>
        </is>
      </c>
      <c r="D1738" s="23" t="inlineStr">
        <is>
          <t>Брок Э.</t>
        </is>
      </c>
      <c r="E1738" s="23" t="inlineStr">
        <is>
          <t>Целуй меня крепче</t>
        </is>
      </c>
      <c r="F1738" s="23" t="n">
        <v>652</v>
      </c>
      <c r="G1738" s="23" t="n">
        <v>94</v>
      </c>
      <c r="H1738" s="23" t="n">
        <v>10</v>
      </c>
      <c r="I1738" s="23" t="n">
        <v>30</v>
      </c>
      <c r="J1738" s="23" t="inlineStr">
        <is>
          <t>978-5-227-07037-1</t>
        </is>
      </c>
      <c r="K1738" s="23" t="inlineStr">
        <is>
          <t>70x100 1/32</t>
        </is>
      </c>
      <c r="L1738" s="23" t="inlineStr">
        <is>
          <t>мяг</t>
        </is>
      </c>
      <c r="M1738" s="23" t="n">
        <v>160</v>
      </c>
      <c r="N1738" s="23" t="n">
        <v>2016</v>
      </c>
      <c r="O1738" s="23" t="n">
        <v>76</v>
      </c>
      <c r="P1738" s="23" t="n"/>
      <c r="Q1738" s="23" t="n"/>
      <c r="R1738" s="25" t="n"/>
      <c r="S1738" s="26">
        <f>HYPERLINK("http://www.cnpol.ru/covers/17014.jpg","фото на сайте")</f>
        <v/>
      </c>
    </row>
    <row r="1739" ht="50.1" customHeight="1" s="3">
      <c r="A1739" s="23" t="n"/>
      <c r="B1739" s="24" t="inlineStr">
        <is>
          <t>16280</t>
        </is>
      </c>
      <c r="C1739" s="23" t="inlineStr">
        <is>
          <t>ЛР</t>
        </is>
      </c>
      <c r="D1739" s="23" t="inlineStr">
        <is>
          <t>Лукас Д.</t>
        </is>
      </c>
      <c r="E1739" s="23" t="inlineStr">
        <is>
          <t>Цена его коварства</t>
        </is>
      </c>
      <c r="F1739" s="23" t="n">
        <v>556</v>
      </c>
      <c r="G1739" s="23" t="n">
        <v>94</v>
      </c>
      <c r="H1739" s="23" t="n">
        <v>10</v>
      </c>
      <c r="I1739" s="23" t="n">
        <v>30</v>
      </c>
      <c r="J1739" s="23" t="inlineStr">
        <is>
          <t>978-5-227-06187-4</t>
        </is>
      </c>
      <c r="K1739" s="23" t="inlineStr">
        <is>
          <t>70x100 1/32</t>
        </is>
      </c>
      <c r="L1739" s="23" t="inlineStr">
        <is>
          <t>мяг</t>
        </is>
      </c>
      <c r="M1739" s="23" t="n">
        <v>158</v>
      </c>
      <c r="N1739" s="23" t="n">
        <v>2015</v>
      </c>
      <c r="O1739" s="23" t="n">
        <v>76</v>
      </c>
      <c r="P1739" s="23" t="n"/>
      <c r="Q1739" s="23" t="n"/>
      <c r="R1739" s="25" t="n"/>
      <c r="S1739" s="26">
        <f>HYPERLINK("http://www.cnpol.ru/covers/16280.jpg","фото на сайте")</f>
        <v/>
      </c>
    </row>
    <row r="1740" ht="50.1" customHeight="1" s="3">
      <c r="A1740" s="23" t="n"/>
      <c r="B1740" s="24" t="inlineStr">
        <is>
          <t>15642</t>
        </is>
      </c>
      <c r="C1740" s="23" t="inlineStr">
        <is>
          <t>ЛР</t>
        </is>
      </c>
      <c r="D1740" s="23" t="inlineStr">
        <is>
          <t>Бэрд Ж.</t>
        </is>
      </c>
      <c r="E1740" s="23" t="inlineStr">
        <is>
          <t>Цена ее невинности</t>
        </is>
      </c>
      <c r="F1740" s="23" t="n">
        <v>473</v>
      </c>
      <c r="G1740" s="23" t="n">
        <v>94</v>
      </c>
      <c r="H1740" s="23" t="n">
        <v>10</v>
      </c>
      <c r="I1740" s="23" t="n">
        <v>30</v>
      </c>
      <c r="J1740" s="23" t="inlineStr">
        <is>
          <t>978-5-227-05058-8</t>
        </is>
      </c>
      <c r="K1740" s="23" t="inlineStr">
        <is>
          <t>70x100 1/32</t>
        </is>
      </c>
      <c r="L1740" s="23" t="inlineStr">
        <is>
          <t>мяг</t>
        </is>
      </c>
      <c r="M1740" s="23" t="n">
        <v>158</v>
      </c>
      <c r="N1740" s="23" t="n">
        <v>2014</v>
      </c>
      <c r="O1740" s="23" t="n">
        <v>76</v>
      </c>
      <c r="P1740" s="23" t="n"/>
      <c r="Q1740" s="23" t="n"/>
      <c r="R1740" s="25" t="n"/>
      <c r="S1740" s="26">
        <f>HYPERLINK("http://www.cnpol.ru/covers/15642.jpg","фото на сайте")</f>
        <v/>
      </c>
    </row>
    <row r="1741" ht="50.1" customHeight="1" s="3">
      <c r="A1741" s="23" t="n"/>
      <c r="B1741" s="24" t="inlineStr">
        <is>
          <t>18578</t>
        </is>
      </c>
      <c r="C1741" s="23" t="inlineStr">
        <is>
          <t>ЛР</t>
        </is>
      </c>
      <c r="D1741" s="23" t="inlineStr">
        <is>
          <t>Бут К.</t>
        </is>
      </c>
      <c r="E1741" s="23" t="inlineStr">
        <is>
          <t>Цунами неумолимой страсти</t>
        </is>
      </c>
      <c r="F1741" s="23" t="n">
        <v>881</v>
      </c>
      <c r="G1741" s="23" t="n">
        <v>94</v>
      </c>
      <c r="H1741" s="23" t="n">
        <v>10</v>
      </c>
      <c r="I1741" s="23" t="n">
        <v>30</v>
      </c>
      <c r="J1741" s="23" t="inlineStr">
        <is>
          <t>978-5-227-08441-5</t>
        </is>
      </c>
      <c r="K1741" s="23" t="inlineStr">
        <is>
          <t>70x100 1/32</t>
        </is>
      </c>
      <c r="L1741" s="23" t="inlineStr">
        <is>
          <t>мяг</t>
        </is>
      </c>
      <c r="M1741" s="23" t="n">
        <v>160</v>
      </c>
      <c r="N1741" s="23" t="n">
        <v>2019</v>
      </c>
      <c r="O1741" s="23" t="n">
        <v>76</v>
      </c>
      <c r="P1741" s="23" t="n"/>
      <c r="Q1741" s="23" t="n"/>
      <c r="R1741" s="25" t="n"/>
      <c r="S1741" s="26">
        <f>HYPERLINK("http://www.cnpol.ru/covers/18578.jpg","фото на сайте")</f>
        <v/>
      </c>
    </row>
    <row r="1742" ht="50.1" customHeight="1" s="3">
      <c r="A1742" s="23" t="n"/>
      <c r="B1742" s="24" t="inlineStr">
        <is>
          <t>16888</t>
        </is>
      </c>
      <c r="C1742" s="23" t="inlineStr">
        <is>
          <t>ЛР</t>
        </is>
      </c>
      <c r="D1742" s="23" t="inlineStr">
        <is>
          <t>Милберн М.</t>
        </is>
      </c>
      <c r="E1742" s="23" t="inlineStr">
        <is>
          <t>Чего ты ждешь?</t>
        </is>
      </c>
      <c r="F1742" s="23" t="n">
        <v>637</v>
      </c>
      <c r="G1742" s="23" t="n">
        <v>94</v>
      </c>
      <c r="H1742" s="23" t="n">
        <v>10</v>
      </c>
      <c r="I1742" s="23" t="n">
        <v>30</v>
      </c>
      <c r="J1742" s="23" t="inlineStr">
        <is>
          <t>978-5-227-06828-6</t>
        </is>
      </c>
      <c r="K1742" s="23" t="inlineStr">
        <is>
          <t>70x100 1/32</t>
        </is>
      </c>
      <c r="L1742" s="23" t="inlineStr">
        <is>
          <t>мяг</t>
        </is>
      </c>
      <c r="M1742" s="23" t="n">
        <v>160</v>
      </c>
      <c r="N1742" s="23" t="n">
        <v>2016</v>
      </c>
      <c r="O1742" s="23" t="n">
        <v>76</v>
      </c>
      <c r="P1742" s="23" t="n"/>
      <c r="Q1742" s="23" t="n"/>
      <c r="R1742" s="25" t="n"/>
      <c r="S1742" s="26">
        <f>HYPERLINK("http://www.cnpol.ru/covers/16888.jpg","фото на сайте")</f>
        <v/>
      </c>
    </row>
    <row r="1743" ht="50.1" customHeight="1" s="3">
      <c r="A1743" s="23" t="n"/>
      <c r="B1743" s="24" t="inlineStr">
        <is>
          <t>16377</t>
        </is>
      </c>
      <c r="C1743" s="23" t="inlineStr">
        <is>
          <t>ЛР</t>
        </is>
      </c>
      <c r="D1743" s="23" t="inlineStr">
        <is>
          <t>Фэй Д.</t>
        </is>
      </c>
      <c r="E1743" s="23" t="inlineStr">
        <is>
          <t>Чемпион по разбиванию сердец</t>
        </is>
      </c>
      <c r="F1743" s="23" t="n">
        <v>570</v>
      </c>
      <c r="G1743" s="23" t="n">
        <v>94</v>
      </c>
      <c r="H1743" s="23" t="n">
        <v>10</v>
      </c>
      <c r="I1743" s="23" t="n">
        <v>30</v>
      </c>
      <c r="J1743" s="23" t="inlineStr">
        <is>
          <t>978-5-227-06252-9</t>
        </is>
      </c>
      <c r="K1743" s="23" t="inlineStr">
        <is>
          <t>70x100 1/32</t>
        </is>
      </c>
      <c r="L1743" s="23" t="inlineStr">
        <is>
          <t>мяг</t>
        </is>
      </c>
      <c r="M1743" s="23" t="n">
        <v>158</v>
      </c>
      <c r="N1743" s="23" t="n">
        <v>2015</v>
      </c>
      <c r="O1743" s="23" t="n">
        <v>76</v>
      </c>
      <c r="P1743" s="23" t="n"/>
      <c r="Q1743" s="23" t="n"/>
      <c r="R1743" s="25" t="n"/>
      <c r="S1743" s="26">
        <f>HYPERLINK("http://www.cnpol.ru/covers/16377.jpg","фото на сайте")</f>
        <v/>
      </c>
    </row>
    <row r="1744" ht="50.1" customHeight="1" s="3">
      <c r="A1744" s="23" t="n"/>
      <c r="B1744" s="24" t="inlineStr">
        <is>
          <t>16468</t>
        </is>
      </c>
      <c r="C1744" s="23" t="inlineStr">
        <is>
          <t>ЛР</t>
        </is>
      </c>
      <c r="D1744" s="23" t="inlineStr">
        <is>
          <t>Лоренс К.</t>
        </is>
      </c>
      <c r="E1744" s="23" t="inlineStr">
        <is>
          <t>Что скрывает ночь?</t>
        </is>
      </c>
      <c r="F1744" s="23" t="n">
        <v>584</v>
      </c>
      <c r="G1744" s="23" t="n">
        <v>94</v>
      </c>
      <c r="H1744" s="23" t="n">
        <v>10</v>
      </c>
      <c r="I1744" s="23" t="n">
        <v>30</v>
      </c>
      <c r="J1744" s="23" t="inlineStr">
        <is>
          <t>978-5-227-06392-2</t>
        </is>
      </c>
      <c r="K1744" s="23" t="inlineStr">
        <is>
          <t>70x100 1/32</t>
        </is>
      </c>
      <c r="L1744" s="23" t="inlineStr">
        <is>
          <t>мяг</t>
        </is>
      </c>
      <c r="M1744" s="23" t="n">
        <v>158</v>
      </c>
      <c r="N1744" s="23" t="n">
        <v>2016</v>
      </c>
      <c r="O1744" s="23" t="n">
        <v>76</v>
      </c>
      <c r="P1744" s="23" t="n"/>
      <c r="Q1744" s="23" t="n"/>
      <c r="R1744" s="25" t="n"/>
      <c r="S1744" s="26">
        <f>HYPERLINK("http://www.cnpol.ru/covers/16468.jpg","фото на сайте")</f>
        <v/>
      </c>
    </row>
    <row r="1745" ht="50.1" customHeight="1" s="3">
      <c r="A1745" s="23" t="n"/>
      <c r="B1745" s="24" t="inlineStr">
        <is>
          <t>15873</t>
        </is>
      </c>
      <c r="C1745" s="23" t="inlineStr">
        <is>
          <t>ЛР</t>
        </is>
      </c>
      <c r="D1745" s="23" t="inlineStr">
        <is>
          <t>Лэнг К.</t>
        </is>
      </c>
      <c r="E1745" s="23" t="inlineStr">
        <is>
          <t>Что случилось в Вегасе...</t>
        </is>
      </c>
      <c r="F1745" s="23" t="n">
        <v>498</v>
      </c>
      <c r="G1745" s="23" t="n">
        <v>94</v>
      </c>
      <c r="H1745" s="23" t="n">
        <v>10</v>
      </c>
      <c r="I1745" s="23" t="n">
        <v>30</v>
      </c>
      <c r="J1745" s="23" t="inlineStr">
        <is>
          <t>978-5-227-05830-0</t>
        </is>
      </c>
      <c r="K1745" s="23" t="inlineStr">
        <is>
          <t>70x108 1/32</t>
        </is>
      </c>
      <c r="L1745" s="23" t="inlineStr">
        <is>
          <t>мяг</t>
        </is>
      </c>
      <c r="M1745" s="23" t="n">
        <v>158</v>
      </c>
      <c r="N1745" s="23" t="n">
        <v>2015</v>
      </c>
      <c r="O1745" s="23" t="n">
        <v>76</v>
      </c>
      <c r="P1745" s="23" t="n"/>
      <c r="Q1745" s="23" t="n"/>
      <c r="R1745" s="25" t="n"/>
      <c r="S1745" s="26">
        <f>HYPERLINK("http://www.cnpol.ru/covers/15873.jpg","фото на сайте")</f>
        <v/>
      </c>
    </row>
    <row r="1746" ht="50.1" customHeight="1" s="3">
      <c r="A1746" s="23" t="n"/>
      <c r="B1746" s="24" t="inlineStr">
        <is>
          <t>17080</t>
        </is>
      </c>
      <c r="C1746" s="23" t="inlineStr">
        <is>
          <t>ЛР</t>
        </is>
      </c>
      <c r="D1746" s="23" t="inlineStr">
        <is>
          <t>Джамп Ш.</t>
        </is>
      </c>
      <c r="E1746" s="23" t="inlineStr">
        <is>
          <t>Чувственное приключение</t>
        </is>
      </c>
      <c r="F1746" s="23" t="n">
        <v>660</v>
      </c>
      <c r="G1746" s="23" t="n">
        <v>94</v>
      </c>
      <c r="H1746" s="23" t="n">
        <v>10</v>
      </c>
      <c r="I1746" s="23" t="n">
        <v>30</v>
      </c>
      <c r="J1746" s="23" t="inlineStr">
        <is>
          <t>978-5-227-07069-2</t>
        </is>
      </c>
      <c r="K1746" s="23" t="inlineStr">
        <is>
          <t>70x100 1/32</t>
        </is>
      </c>
      <c r="L1746" s="23" t="inlineStr">
        <is>
          <t>мяг</t>
        </is>
      </c>
      <c r="M1746" s="23" t="n">
        <v>160</v>
      </c>
      <c r="N1746" s="23" t="n">
        <v>2016</v>
      </c>
      <c r="O1746" s="23" t="n">
        <v>76</v>
      </c>
      <c r="P1746" s="23" t="n"/>
      <c r="Q1746" s="23" t="n"/>
      <c r="R1746" s="25" t="n"/>
      <c r="S1746" s="26">
        <f>HYPERLINK("http://www.cnpol.ru/covers/17080.jpg","фото на сайте")</f>
        <v/>
      </c>
    </row>
    <row r="1747" ht="50.1" customHeight="1" s="3">
      <c r="A1747" s="23" t="n"/>
      <c r="B1747" s="24" t="inlineStr">
        <is>
          <t>19858</t>
        </is>
      </c>
      <c r="C1747" s="23" t="inlineStr">
        <is>
          <t>ЛР</t>
        </is>
      </c>
      <c r="D1747" s="23" t="inlineStr">
        <is>
          <t>Фей Д.</t>
        </is>
      </c>
      <c r="E1747" s="23" t="inlineStr">
        <is>
          <t>Чувственный рождественский сюрприз</t>
        </is>
      </c>
      <c r="F1747" s="23" t="n">
        <v>1052</v>
      </c>
      <c r="G1747" s="23" t="n">
        <v>94</v>
      </c>
      <c r="H1747" s="23" t="n">
        <v>10</v>
      </c>
      <c r="I1747" s="23" t="n">
        <v>30</v>
      </c>
      <c r="J1747" s="23" t="inlineStr">
        <is>
          <t>978-5-227-09417-9</t>
        </is>
      </c>
      <c r="K1747" s="23" t="inlineStr">
        <is>
          <t>70x100 1/32</t>
        </is>
      </c>
      <c r="L1747" s="23" t="inlineStr">
        <is>
          <t>мяг</t>
        </is>
      </c>
      <c r="M1747" s="23" t="n">
        <v>159</v>
      </c>
      <c r="N1747" s="23" t="n">
        <v>2021</v>
      </c>
      <c r="O1747" s="23" t="n">
        <v>76</v>
      </c>
      <c r="P1747" s="23" t="n"/>
      <c r="Q1747" s="23" t="n"/>
      <c r="R1747" s="25" t="n"/>
      <c r="S1747" s="26">
        <f>HYPERLINK("http://www.cnpol.ru/covers/19858.jpg","фото на сайте")</f>
        <v/>
      </c>
    </row>
    <row r="1748" ht="50.1" customHeight="1" s="3">
      <c r="A1748" s="23" t="n"/>
      <c r="B1748" s="24" t="inlineStr">
        <is>
          <t>16748</t>
        </is>
      </c>
      <c r="C1748" s="23" t="inlineStr">
        <is>
          <t>ЛР</t>
        </is>
      </c>
      <c r="D1748" s="23" t="inlineStr">
        <is>
          <t>Уилсон С.</t>
        </is>
      </c>
      <c r="E1748" s="23" t="inlineStr">
        <is>
          <t>Чудеса возможны</t>
        </is>
      </c>
      <c r="F1748" s="23" t="n">
        <v>617</v>
      </c>
      <c r="G1748" s="23" t="n">
        <v>94</v>
      </c>
      <c r="H1748" s="23" t="n">
        <v>10</v>
      </c>
      <c r="I1748" s="23" t="n">
        <v>30</v>
      </c>
      <c r="J1748" s="23" t="inlineStr">
        <is>
          <t>978-5-227-06738-8</t>
        </is>
      </c>
      <c r="K1748" s="23" t="inlineStr">
        <is>
          <t>70x100 1/32</t>
        </is>
      </c>
      <c r="L1748" s="23" t="inlineStr">
        <is>
          <t>мяг</t>
        </is>
      </c>
      <c r="M1748" s="23" t="n">
        <v>160</v>
      </c>
      <c r="N1748" s="23" t="n">
        <v>2016</v>
      </c>
      <c r="O1748" s="23" t="n">
        <v>76</v>
      </c>
      <c r="P1748" s="23" t="n"/>
      <c r="Q1748" s="23" t="n"/>
      <c r="R1748" s="25" t="n"/>
      <c r="S1748" s="26">
        <f>HYPERLINK("http://www.cnpol.ru/covers/16748.jpg","фото на сайте")</f>
        <v/>
      </c>
    </row>
    <row r="1749" ht="50.1" customHeight="1" s="3">
      <c r="A1749" s="23" t="n"/>
      <c r="B1749" s="24" t="inlineStr">
        <is>
          <t>18315</t>
        </is>
      </c>
      <c r="C1749" s="23" t="inlineStr">
        <is>
          <t>ЛР</t>
        </is>
      </c>
      <c r="D1749" s="23" t="inlineStr">
        <is>
          <t>Эйтс М.</t>
        </is>
      </c>
      <c r="E1749" s="23" t="inlineStr">
        <is>
          <t>Чудовище в плену красавицы</t>
        </is>
      </c>
      <c r="F1749" s="23" t="n">
        <v>836</v>
      </c>
      <c r="G1749" s="23" t="n">
        <v>94</v>
      </c>
      <c r="H1749" s="23" t="n">
        <v>10</v>
      </c>
      <c r="I1749" s="23" t="n">
        <v>30</v>
      </c>
      <c r="J1749" s="23" t="inlineStr">
        <is>
          <t>978-5-227-08246-6</t>
        </is>
      </c>
      <c r="K1749" s="23" t="inlineStr">
        <is>
          <t>70x100 1/32</t>
        </is>
      </c>
      <c r="L1749" s="23" t="inlineStr">
        <is>
          <t>мяг</t>
        </is>
      </c>
      <c r="M1749" s="23" t="n">
        <v>160</v>
      </c>
      <c r="N1749" s="23" t="n">
        <v>2018</v>
      </c>
      <c r="O1749" s="23" t="n">
        <v>76</v>
      </c>
      <c r="P1749" s="23" t="n"/>
      <c r="Q1749" s="23" t="n"/>
      <c r="R1749" s="25" t="n"/>
      <c r="S1749" s="26">
        <f>HYPERLINK("http://www.cnpol.ru/covers/18315.jpg","фото на сайте")</f>
        <v/>
      </c>
    </row>
    <row r="1750" ht="50.1" customHeight="1" s="3">
      <c r="A1750" s="23" t="n"/>
      <c r="B1750" s="24" t="inlineStr">
        <is>
          <t>18989</t>
        </is>
      </c>
      <c r="C1750" s="23" t="inlineStr">
        <is>
          <t>ЛР</t>
        </is>
      </c>
      <c r="D1750" s="23" t="inlineStr">
        <is>
          <t>Коллинз Д.</t>
        </is>
      </c>
      <c r="E1750" s="23" t="inlineStr">
        <is>
          <t>Шантаж с оттенком страсти</t>
        </is>
      </c>
      <c r="F1750" s="23" t="n">
        <v>949</v>
      </c>
      <c r="G1750" s="23" t="n">
        <v>94</v>
      </c>
      <c r="H1750" s="23" t="n">
        <v>10</v>
      </c>
      <c r="I1750" s="23" t="n">
        <v>30</v>
      </c>
      <c r="J1750" s="23" t="inlineStr">
        <is>
          <t>978-5-227-08840-6</t>
        </is>
      </c>
      <c r="K1750" s="23" t="inlineStr">
        <is>
          <t>70x100 1/32</t>
        </is>
      </c>
      <c r="L1750" s="23" t="inlineStr">
        <is>
          <t>мяг</t>
        </is>
      </c>
      <c r="M1750" s="23" t="n">
        <v>160</v>
      </c>
      <c r="N1750" s="23" t="n">
        <v>2019</v>
      </c>
      <c r="O1750" s="23" t="n">
        <v>76</v>
      </c>
      <c r="P1750" s="23" t="n"/>
      <c r="Q1750" s="23" t="n"/>
      <c r="R1750" s="25" t="n"/>
      <c r="S1750" s="26">
        <f>HYPERLINK("http://www.cnpol.ru/covers/18989.jpg","фото на сайте")</f>
        <v/>
      </c>
    </row>
    <row r="1751" ht="50.1" customHeight="1" s="3">
      <c r="A1751" s="23" t="n"/>
      <c r="B1751" s="24" t="inlineStr">
        <is>
          <t>18939</t>
        </is>
      </c>
      <c r="C1751" s="23" t="inlineStr">
        <is>
          <t>ЛР</t>
        </is>
      </c>
      <c r="D1751" s="23" t="inlineStr">
        <is>
          <t>Олвард Д.</t>
        </is>
      </c>
      <c r="E1751" s="23" t="inlineStr">
        <is>
          <t>Шафер и свадебная фея</t>
        </is>
      </c>
      <c r="F1751" s="23" t="n">
        <v>941</v>
      </c>
      <c r="G1751" s="23" t="n">
        <v>94</v>
      </c>
      <c r="H1751" s="23" t="n">
        <v>10</v>
      </c>
      <c r="I1751" s="23" t="n">
        <v>30</v>
      </c>
      <c r="J1751" s="23" t="inlineStr">
        <is>
          <t>978-5-227-08791-1</t>
        </is>
      </c>
      <c r="K1751" s="23" t="inlineStr">
        <is>
          <t>70x100 1/32</t>
        </is>
      </c>
      <c r="L1751" s="23" t="inlineStr">
        <is>
          <t>мяг</t>
        </is>
      </c>
      <c r="M1751" s="23" t="n">
        <v>160</v>
      </c>
      <c r="N1751" s="23" t="n">
        <v>2019</v>
      </c>
      <c r="O1751" s="23" t="n">
        <v>76</v>
      </c>
      <c r="P1751" s="23" t="n"/>
      <c r="Q1751" s="23" t="n"/>
      <c r="R1751" s="25" t="n"/>
      <c r="S1751" s="26">
        <f>HYPERLINK("http://www.cnpol.ru/covers/18939.jpg","фото на сайте")</f>
        <v/>
      </c>
    </row>
    <row r="1752" ht="50.1" customHeight="1" s="3">
      <c r="A1752" s="23" t="n"/>
      <c r="B1752" s="24" t="inlineStr">
        <is>
          <t>16130</t>
        </is>
      </c>
      <c r="C1752" s="23" t="inlineStr">
        <is>
          <t>ЛР</t>
        </is>
      </c>
      <c r="D1752" s="23" t="inlineStr">
        <is>
          <t>Шоу Ш.</t>
        </is>
      </c>
      <c r="E1752" s="23" t="inlineStr">
        <is>
          <t>Щедрое сердце</t>
        </is>
      </c>
      <c r="F1752" s="23" t="n">
        <v>534</v>
      </c>
      <c r="G1752" s="23" t="n">
        <v>94</v>
      </c>
      <c r="H1752" s="23" t="n">
        <v>10</v>
      </c>
      <c r="I1752" s="23" t="n">
        <v>30</v>
      </c>
      <c r="J1752" s="23" t="inlineStr">
        <is>
          <t>978-5-227-06114-0</t>
        </is>
      </c>
      <c r="K1752" s="23" t="inlineStr">
        <is>
          <t>70x100 1/32</t>
        </is>
      </c>
      <c r="L1752" s="23" t="inlineStr">
        <is>
          <t>мяг</t>
        </is>
      </c>
      <c r="M1752" s="23" t="n">
        <v>158</v>
      </c>
      <c r="N1752" s="23" t="n">
        <v>2015</v>
      </c>
      <c r="O1752" s="23" t="n">
        <v>76</v>
      </c>
      <c r="P1752" s="23" t="n"/>
      <c r="Q1752" s="23" t="n"/>
      <c r="R1752" s="25" t="n"/>
      <c r="S1752" s="26">
        <f>HYPERLINK("http://www.cnpol.ru/covers/16130.jpg","фото на сайте")</f>
        <v/>
      </c>
    </row>
    <row r="1753" ht="50.1" customHeight="1" s="3">
      <c r="A1753" s="23" t="n"/>
      <c r="B1753" s="24" t="inlineStr">
        <is>
          <t>17463</t>
        </is>
      </c>
      <c r="C1753" s="23" t="inlineStr">
        <is>
          <t>ЛР</t>
        </is>
      </c>
      <c r="D1753" s="23" t="inlineStr">
        <is>
          <t>Грин Э.</t>
        </is>
      </c>
      <c r="E1753" s="23" t="inlineStr">
        <is>
          <t>Экзамен для плейбоя</t>
        </is>
      </c>
      <c r="F1753" s="23" t="n">
        <v>714</v>
      </c>
      <c r="G1753" s="23" t="n">
        <v>94</v>
      </c>
      <c r="H1753" s="23" t="n">
        <v>10</v>
      </c>
      <c r="I1753" s="23" t="n">
        <v>30</v>
      </c>
      <c r="J1753" s="23" t="inlineStr">
        <is>
          <t>978-5-227-07470-6</t>
        </is>
      </c>
      <c r="K1753" s="23" t="inlineStr">
        <is>
          <t>70x100 1/32</t>
        </is>
      </c>
      <c r="L1753" s="23" t="inlineStr">
        <is>
          <t>мяг</t>
        </is>
      </c>
      <c r="M1753" s="23" t="n">
        <v>160</v>
      </c>
      <c r="N1753" s="23" t="n">
        <v>2017</v>
      </c>
      <c r="O1753" s="23" t="n">
        <v>76</v>
      </c>
      <c r="P1753" s="23" t="n"/>
      <c r="Q1753" s="23" t="n"/>
      <c r="R1753" s="25" t="n"/>
      <c r="S1753" s="26">
        <f>HYPERLINK("http://www.cnpol.ru/covers/17463.jpg","фото на сайте")</f>
        <v/>
      </c>
    </row>
    <row r="1754" ht="50.1" customHeight="1" s="3">
      <c r="A1754" s="23" t="n"/>
      <c r="B1754" s="24" t="inlineStr">
        <is>
          <t>18637</t>
        </is>
      </c>
      <c r="C1754" s="23" t="inlineStr">
        <is>
          <t>ЛР</t>
        </is>
      </c>
      <c r="D1754" s="23" t="inlineStr">
        <is>
          <t>Сингх Н.</t>
        </is>
      </c>
      <c r="E1754" s="23" t="inlineStr">
        <is>
          <t>Экзотическое искушение</t>
        </is>
      </c>
      <c r="F1754" s="23" t="n">
        <v>888</v>
      </c>
      <c r="G1754" s="23" t="n">
        <v>94</v>
      </c>
      <c r="H1754" s="23" t="n">
        <v>10</v>
      </c>
      <c r="I1754" s="23" t="n">
        <v>30</v>
      </c>
      <c r="J1754" s="23" t="inlineStr">
        <is>
          <t>978-5-227-08512-2</t>
        </is>
      </c>
      <c r="K1754" s="23" t="inlineStr">
        <is>
          <t>70x100 1/32</t>
        </is>
      </c>
      <c r="L1754" s="23" t="inlineStr">
        <is>
          <t>мяг</t>
        </is>
      </c>
      <c r="M1754" s="23" t="n">
        <v>160</v>
      </c>
      <c r="N1754" s="23" t="n">
        <v>2019</v>
      </c>
      <c r="O1754" s="23" t="n">
        <v>78</v>
      </c>
      <c r="P1754" s="23" t="n"/>
      <c r="Q1754" s="23" t="n"/>
      <c r="R1754" s="25" t="n"/>
      <c r="S1754" s="26">
        <f>HYPERLINK("http://www.cnpol.ru/covers/18637.jpg","фото на сайте")</f>
        <v/>
      </c>
    </row>
    <row r="1755" ht="50.1" customHeight="1" s="3">
      <c r="A1755" s="23" t="n"/>
      <c r="B1755" s="24" t="inlineStr">
        <is>
          <t>19146</t>
        </is>
      </c>
      <c r="C1755" s="23" t="inlineStr">
        <is>
          <t>ЛР</t>
        </is>
      </c>
      <c r="D1755" s="23" t="inlineStr">
        <is>
          <t>Смарт М.</t>
        </is>
      </c>
      <c r="E1755" s="23" t="inlineStr">
        <is>
          <t>Эксклюзивное соблазнение</t>
        </is>
      </c>
      <c r="F1755" s="23" t="n">
        <v>974</v>
      </c>
      <c r="G1755" s="23" t="n">
        <v>94</v>
      </c>
      <c r="H1755" s="23" t="n">
        <v>10</v>
      </c>
      <c r="I1755" s="23" t="n">
        <v>30</v>
      </c>
      <c r="J1755" s="23" t="inlineStr">
        <is>
          <t>978-5-227-08963-2</t>
        </is>
      </c>
      <c r="K1755" s="23" t="inlineStr">
        <is>
          <t>70x100 1/32</t>
        </is>
      </c>
      <c r="L1755" s="23" t="inlineStr">
        <is>
          <t>мяг</t>
        </is>
      </c>
      <c r="M1755" s="23" t="n">
        <v>160</v>
      </c>
      <c r="N1755" s="23" t="n">
        <v>2020</v>
      </c>
      <c r="O1755" s="23" t="n">
        <v>76</v>
      </c>
      <c r="P1755" s="23" t="n"/>
      <c r="Q1755" s="23" t="n"/>
      <c r="R1755" s="25" t="n"/>
      <c r="S1755" s="26">
        <f>HYPERLINK("http://www.cnpol.ru/covers/19146.jpg","фото на сайте")</f>
        <v/>
      </c>
    </row>
    <row r="1756" ht="50.1" customHeight="1" s="3">
      <c r="A1756" s="23" t="n"/>
      <c r="B1756" s="24" t="inlineStr">
        <is>
          <t>16466</t>
        </is>
      </c>
      <c r="C1756" s="23" t="inlineStr">
        <is>
          <t>ЛР</t>
        </is>
      </c>
      <c r="D1756" s="23" t="inlineStr">
        <is>
          <t>Хейворд Дженнифер</t>
        </is>
      </c>
      <c r="E1756" s="23" t="inlineStr">
        <is>
          <t>Это и есть любовь?</t>
        </is>
      </c>
      <c r="F1756" s="23" t="n">
        <v>582</v>
      </c>
      <c r="G1756" s="23" t="n">
        <v>94</v>
      </c>
      <c r="H1756" s="23" t="n">
        <v>10</v>
      </c>
      <c r="I1756" s="23" t="n">
        <v>30</v>
      </c>
      <c r="J1756" s="23" t="inlineStr">
        <is>
          <t>978-5-227-06390-8</t>
        </is>
      </c>
      <c r="K1756" s="23" t="inlineStr">
        <is>
          <t>70x100 1/32</t>
        </is>
      </c>
      <c r="L1756" s="23" t="inlineStr">
        <is>
          <t>мяг</t>
        </is>
      </c>
      <c r="M1756" s="23" t="n">
        <v>158</v>
      </c>
      <c r="N1756" s="23" t="n">
        <v>2016</v>
      </c>
      <c r="O1756" s="23" t="n">
        <v>76</v>
      </c>
      <c r="P1756" s="23" t="n"/>
      <c r="Q1756" s="23" t="n"/>
      <c r="R1756" s="25" t="n"/>
      <c r="S1756" s="26">
        <f>HYPERLINK("http://www.cnpol.ru/covers/16466.jpg","фото на сайте")</f>
        <v/>
      </c>
    </row>
    <row r="1757" ht="50.1" customHeight="1" s="3">
      <c r="A1757" s="23" t="n"/>
      <c r="B1757" s="24" t="inlineStr">
        <is>
          <t>15876</t>
        </is>
      </c>
      <c r="C1757" s="23" t="inlineStr">
        <is>
          <t>ЛР</t>
        </is>
      </c>
      <c r="D1757" s="23" t="inlineStr">
        <is>
          <t>Блейк М.</t>
        </is>
      </c>
      <c r="E1757" s="23" t="inlineStr">
        <is>
          <t>Это только начало</t>
        </is>
      </c>
      <c r="F1757" s="23" t="n">
        <v>501</v>
      </c>
      <c r="G1757" s="23" t="n">
        <v>94</v>
      </c>
      <c r="H1757" s="23" t="n">
        <v>10</v>
      </c>
      <c r="I1757" s="23" t="n">
        <v>30</v>
      </c>
      <c r="J1757" s="23" t="inlineStr">
        <is>
          <t>978-5-227-05833-1</t>
        </is>
      </c>
      <c r="K1757" s="23" t="inlineStr">
        <is>
          <t>70x100 1/32</t>
        </is>
      </c>
      <c r="L1757" s="23" t="inlineStr">
        <is>
          <t>мяг</t>
        </is>
      </c>
      <c r="M1757" s="23" t="n">
        <v>158</v>
      </c>
      <c r="N1757" s="23" t="n">
        <v>2015</v>
      </c>
      <c r="O1757" s="23" t="n">
        <v>78</v>
      </c>
      <c r="P1757" s="23" t="n"/>
      <c r="Q1757" s="23" t="n"/>
      <c r="R1757" s="25" t="n"/>
      <c r="S1757" s="26">
        <f>HYPERLINK("http://www.cnpol.ru/covers/15876.jpg","фото на сайте")</f>
        <v/>
      </c>
    </row>
    <row r="1758" ht="50.1" customHeight="1" s="3">
      <c r="A1758" s="23" t="n"/>
      <c r="B1758" s="24" t="inlineStr">
        <is>
          <t>16168</t>
        </is>
      </c>
      <c r="C1758" s="23" t="inlineStr">
        <is>
          <t>ЛР</t>
        </is>
      </c>
      <c r="D1758" s="23" t="inlineStr">
        <is>
          <t>Блейк М.</t>
        </is>
      </c>
      <c r="E1758" s="23" t="inlineStr">
        <is>
          <t>Я тебя узнала</t>
        </is>
      </c>
      <c r="F1758" s="23" t="n">
        <v>544</v>
      </c>
      <c r="G1758" s="23" t="n">
        <v>94</v>
      </c>
      <c r="H1758" s="23" t="n">
        <v>10</v>
      </c>
      <c r="I1758" s="23" t="n">
        <v>30</v>
      </c>
      <c r="J1758" s="23" t="inlineStr">
        <is>
          <t>978-5-227-06143-0</t>
        </is>
      </c>
      <c r="K1758" s="23" t="inlineStr">
        <is>
          <t>70x100 1/32</t>
        </is>
      </c>
      <c r="L1758" s="23" t="inlineStr">
        <is>
          <t>мяг</t>
        </is>
      </c>
      <c r="M1758" s="23" t="n">
        <v>158</v>
      </c>
      <c r="N1758" s="23" t="n">
        <v>2015</v>
      </c>
      <c r="O1758" s="23" t="n">
        <v>76</v>
      </c>
      <c r="P1758" s="23" t="n"/>
      <c r="Q1758" s="23" t="n"/>
      <c r="R1758" s="25" t="n"/>
      <c r="S1758" s="26">
        <f>HYPERLINK("http://www.cnpol.ru/covers/16168.jpg","фото на сайте")</f>
        <v/>
      </c>
    </row>
    <row r="1759" ht="50.1" customHeight="1" s="3">
      <c r="A1759" s="23" t="n"/>
      <c r="B1759" s="24" t="inlineStr">
        <is>
          <t>16861</t>
        </is>
      </c>
      <c r="C1759" s="23" t="inlineStr">
        <is>
          <t>ЛР СО</t>
        </is>
      </c>
      <c r="D1759" s="23" t="inlineStr">
        <is>
          <t>Грин Э.</t>
        </is>
      </c>
      <c r="E1759" s="23" t="inlineStr">
        <is>
          <t>Алхимия страсти</t>
        </is>
      </c>
      <c r="F1759" s="23" t="n">
        <v>176</v>
      </c>
      <c r="G1759" s="23" t="n">
        <v>102</v>
      </c>
      <c r="H1759" s="23" t="n">
        <v>10</v>
      </c>
      <c r="I1759" s="23" t="n">
        <v>30</v>
      </c>
      <c r="J1759" s="23" t="inlineStr">
        <is>
          <t>978-5-227-06829-3</t>
        </is>
      </c>
      <c r="K1759" s="23" t="inlineStr">
        <is>
          <t>70x100 1/32</t>
        </is>
      </c>
      <c r="L1759" s="23" t="inlineStr">
        <is>
          <t>мяг</t>
        </is>
      </c>
      <c r="M1759" s="23" t="n">
        <v>160</v>
      </c>
      <c r="N1759" s="23" t="n">
        <v>2016</v>
      </c>
      <c r="O1759" s="23" t="n">
        <v>76</v>
      </c>
      <c r="P1759" s="23" t="n"/>
      <c r="Q1759" s="23" t="n"/>
      <c r="R1759" s="25" t="inlineStr">
        <is>
          <t>Алекс Сен-Круа живет в ожидании момента, когда сможет вернуть себе трон. А пока развлекается тем, что проводит время с первыми красавицами Парижа. Но однажды на его пути появляется Лейла Веруджес – прекрасная владелица парфюмерного магазинчика, которая быстро затмевает всех его бывших любовниц. Надеясь лишь на кратковременное развлечение, Алекс неожиданно влюбляется в Лейлу...</t>
        </is>
      </c>
      <c r="S1759" s="26">
        <f>HYPERLINK("http://www.cnpol.ru/covers/16861.jpg","фото на сайте")</f>
        <v/>
      </c>
    </row>
    <row r="1760" ht="50.1" customHeight="1" s="3">
      <c r="A1760" s="23" t="n"/>
      <c r="B1760" s="24" t="inlineStr">
        <is>
          <t>20541</t>
        </is>
      </c>
      <c r="C1760" s="23" t="inlineStr">
        <is>
          <t>ЛР СО</t>
        </is>
      </c>
      <c r="D1760" s="23" t="inlineStr">
        <is>
          <t>Бут К.</t>
        </is>
      </c>
      <c r="E1760" s="23" t="inlineStr">
        <is>
          <t>Анонимное искушение</t>
        </is>
      </c>
      <c r="F1760" s="23" t="n">
        <v>422</v>
      </c>
      <c r="G1760" s="23" t="n">
        <v>102</v>
      </c>
      <c r="H1760" s="23" t="n">
        <v>10</v>
      </c>
      <c r="I1760" s="23" t="n">
        <v>30</v>
      </c>
      <c r="J1760" s="23" t="inlineStr">
        <is>
          <t>978-5-227-10181-5</t>
        </is>
      </c>
      <c r="K1760" s="23" t="inlineStr">
        <is>
          <t>70x100 1/32</t>
        </is>
      </c>
      <c r="L1760" s="23" t="inlineStr">
        <is>
          <t>мяг</t>
        </is>
      </c>
      <c r="M1760" s="23" t="n">
        <v>159</v>
      </c>
      <c r="N1760" s="23" t="n">
        <v>2023</v>
      </c>
      <c r="O1760" s="23" t="n">
        <v>76</v>
      </c>
      <c r="P1760" s="23" t="n"/>
      <c r="Q1760" s="23" t="n"/>
      <c r="R1760" s="25" t="inlineStr">
        <is>
          <t>Паркер Салливан — сексуальный, успешный и богатый спортивный агент. Он без устали работает и развлекается от души. Хлоя — первая женщина, которая поняла, почему он избегает серьезных отношений. После многих неудачных браков ее матери, в том числе с отцом Паркера, она тоже разочаровалась в мужчинах. Пока они пытаются найти твердую почву в волнах бушующей страсти, анонимный шантажист под именем «Маленькая черная книга» угрожает их отношениям...</t>
        </is>
      </c>
      <c r="S1760" s="26">
        <f>HYPERLINK("http://www.cnpol.ru/covers/20541.jpg","фото на сайте")</f>
        <v/>
      </c>
    </row>
    <row r="1761" ht="50.1" customHeight="1" s="3">
      <c r="A1761" s="23" t="n"/>
      <c r="B1761" s="24" t="inlineStr">
        <is>
          <t>18566</t>
        </is>
      </c>
      <c r="C1761" s="23" t="inlineStr">
        <is>
          <t>ЛР СО</t>
        </is>
      </c>
      <c r="D1761" s="23" t="inlineStr">
        <is>
          <t>Данлоп Б.</t>
        </is>
      </c>
      <c r="E1761" s="23" t="inlineStr">
        <is>
          <t>Атака искушением</t>
        </is>
      </c>
      <c r="F1761" s="23" t="n">
        <v>300</v>
      </c>
      <c r="G1761" s="23" t="n">
        <v>102</v>
      </c>
      <c r="H1761" s="23" t="n">
        <v>10</v>
      </c>
      <c r="I1761" s="23" t="n">
        <v>30</v>
      </c>
      <c r="J1761" s="23" t="inlineStr">
        <is>
          <t>978-5-227-08444-6</t>
        </is>
      </c>
      <c r="K1761" s="23" t="inlineStr">
        <is>
          <t>70x100 1/32</t>
        </is>
      </c>
      <c r="L1761" s="23" t="inlineStr">
        <is>
          <t>мяг</t>
        </is>
      </c>
      <c r="M1761" s="23" t="n">
        <v>160</v>
      </c>
      <c r="N1761" s="23" t="n">
        <v>2019</v>
      </c>
      <c r="O1761" s="23" t="n">
        <v>78</v>
      </c>
      <c r="P1761" s="23" t="n"/>
      <c r="Q1761" s="23" t="n"/>
      <c r="R1761" s="25" t="inlineStr">
        <is>
          <t>Успешный банкир и вдовец Ти Джей Бауэр узнает, что у него есть сын, родившийся от случайной связи почти десять лет назад. Он приходит в ярость, что мать ребенка, Сэйдж Костас, посмела скрывать от него правду, и ищет выход из сложившейся ситуации. Обстоятельства вынуждают его решиться на неординарный поступок и предложить Сэйдж брак по расчету, чтобы вместе воспитывать их сына. Но вспыхнувшая с новой силой страсть к жене путает все его планы…</t>
        </is>
      </c>
      <c r="S1761" s="26">
        <f>HYPERLINK("http://www.cnpol.ru/covers/18566.jpg","фото на сайте")</f>
        <v/>
      </c>
    </row>
    <row r="1762" ht="50.1" customHeight="1" s="3">
      <c r="A1762" s="23" t="n"/>
      <c r="B1762" s="24" t="inlineStr">
        <is>
          <t>17560</t>
        </is>
      </c>
      <c r="C1762" s="23" t="inlineStr">
        <is>
          <t>ЛР СО</t>
        </is>
      </c>
      <c r="D1762" s="23" t="inlineStr">
        <is>
          <t>Линдсей И.</t>
        </is>
      </c>
      <c r="E1762" s="23" t="inlineStr">
        <is>
          <t>Богиня чувственных наслаждений</t>
        </is>
      </c>
      <c r="F1762" s="23" t="n">
        <v>225</v>
      </c>
      <c r="G1762" s="23" t="n">
        <v>102</v>
      </c>
      <c r="H1762" s="23" t="n">
        <v>10</v>
      </c>
      <c r="I1762" s="23" t="n">
        <v>30</v>
      </c>
      <c r="J1762" s="23" t="inlineStr">
        <is>
          <t>978-5-227-07587-1</t>
        </is>
      </c>
      <c r="K1762" s="23" t="inlineStr">
        <is>
          <t>70x100 1/32</t>
        </is>
      </c>
      <c r="L1762" s="23" t="inlineStr">
        <is>
          <t>мяг</t>
        </is>
      </c>
      <c r="M1762" s="23" t="n">
        <v>160</v>
      </c>
      <c r="N1762" s="23" t="n">
        <v>2017</v>
      </c>
      <c r="O1762" s="23" t="n">
        <v>76</v>
      </c>
      <c r="P1762" s="23" t="n"/>
      <c r="Q1762" s="23" t="n"/>
      <c r="R1762" s="25" t="inlineStr">
        <is>
          <t>Король Рокко чувствует, что в стране зреет заговор против него. По закону он обязан жениться и обзавестись наследником, чтобы сохранить трон. Но он никак не может определиться с кандидаткой в жены: ни одна из потенциальных невест не вызывает у него ни­каких чувств, а брак без любви он считает неприемлемым. Между заботами о государстве и подданных король решает ненадолго насладиться обществом куртизанки — обольстительной, уверенной в себе и своем обаянии, роковой и желанной Оттавии. Рокко уверен, что сможет заполучить ее в первый же день. Но каково же было его удивление, когда Оттавия представила контракт, согласно которому близость между ними исключена…</t>
        </is>
      </c>
      <c r="S1762" s="26">
        <f>HYPERLINK("http://www.cnpol.ru/covers/17560.jpg","фото на сайте")</f>
        <v/>
      </c>
    </row>
    <row r="1763" ht="50.1" customHeight="1" s="3">
      <c r="A1763" s="23" t="inlineStr">
        <is>
          <t>Н</t>
        </is>
      </c>
      <c r="B1763" s="24" t="inlineStr">
        <is>
          <t>21130</t>
        </is>
      </c>
      <c r="C1763" s="23" t="inlineStr">
        <is>
          <t>ЛР СО</t>
        </is>
      </c>
      <c r="D1763" s="23" t="inlineStr">
        <is>
          <t>Эрвин С.</t>
        </is>
      </c>
      <c r="E1763" s="23" t="inlineStr">
        <is>
          <t>Больше чем страсть</t>
        </is>
      </c>
      <c r="F1763" s="23" t="n">
        <v>445</v>
      </c>
      <c r="G1763" s="23" t="n">
        <v>102</v>
      </c>
      <c r="H1763" s="23" t="n">
        <v>10</v>
      </c>
      <c r="I1763" s="23" t="n">
        <v>30</v>
      </c>
      <c r="J1763" s="23" t="inlineStr">
        <is>
          <t>978-5-227-10626-1</t>
        </is>
      </c>
      <c r="K1763" s="23" t="inlineStr">
        <is>
          <t>70x100 1/32</t>
        </is>
      </c>
      <c r="L1763" s="23" t="inlineStr">
        <is>
          <t>мяг</t>
        </is>
      </c>
      <c r="M1763" s="23" t="n">
        <v>159</v>
      </c>
      <c r="N1763" s="23" t="n">
        <v>2024</v>
      </c>
      <c r="O1763" s="23" t="n">
        <v>76</v>
      </c>
      <c r="P1763" s="23" t="n"/>
      <c r="Q1763" s="23" t="n"/>
      <c r="R1763" s="25" t="inlineStr">
        <is>
          <t>Новые родственники красавицы Анны Стратфорд оказываются состоятельными бизнесменами из могущественного клана Лохлиннов. Ей предстоит выполнить поручение семьи, чтобы претендовать на завещание своего богатого деда. Совершенно не сведущей в подобных делах девушке предстоит продать парк аттракционов компании-конкуренту. Кажется, при этом ее пытаются обмануть все вокруг, в том числе и харизматичный Иэн Блэкберн, глава той самой компании-конкурента...</t>
        </is>
      </c>
      <c r="S1763" s="26">
        <f>HYPERLINK("http://www.cnpol.ru/covers/21130.jpg","фото на сайте")</f>
        <v/>
      </c>
    </row>
    <row r="1764" ht="50.1" customHeight="1" s="3">
      <c r="A1764" s="23" t="n"/>
      <c r="B1764" s="24" t="inlineStr">
        <is>
          <t>16749</t>
        </is>
      </c>
      <c r="C1764" s="23" t="inlineStr">
        <is>
          <t>ЛР СО</t>
        </is>
      </c>
      <c r="D1764" s="23" t="inlineStr">
        <is>
          <t>Биварли Э.</t>
        </is>
      </c>
      <c r="E1764" s="23" t="inlineStr">
        <is>
          <t>Босс в подарочной упаковке</t>
        </is>
      </c>
      <c r="F1764" s="23" t="n">
        <v>169</v>
      </c>
      <c r="G1764" s="23" t="n">
        <v>102</v>
      </c>
      <c r="H1764" s="23" t="n">
        <v>10</v>
      </c>
      <c r="I1764" s="23" t="n">
        <v>30</v>
      </c>
      <c r="J1764" s="23" t="inlineStr">
        <is>
          <t>978-5-227-06744-9</t>
        </is>
      </c>
      <c r="K1764" s="23" t="inlineStr">
        <is>
          <t>70x100 1/32</t>
        </is>
      </c>
      <c r="L1764" s="23" t="inlineStr">
        <is>
          <t>мяг</t>
        </is>
      </c>
      <c r="M1764" s="23" t="n">
        <v>160</v>
      </c>
      <c r="N1764" s="23" t="n">
        <v>2016</v>
      </c>
      <c r="O1764" s="23" t="n">
        <v>76</v>
      </c>
      <c r="P1764" s="23" t="n"/>
      <c r="Q1764" s="23" t="n"/>
      <c r="R1764" s="25" t="inlineStr">
        <is>
          <t>Мать­одиночка Клара Истон внезапно узнает, что ее бывший любовник – богатый наследник. После смерти он завещает своему сыну огромное состояние. Клара едет в Нью­Йорк с малышом, чтобы познакомиться с его новой семьей, и неожиданно встречает брата­близнеца покойного мужа…</t>
        </is>
      </c>
      <c r="S1764" s="26">
        <f>HYPERLINK("http://www.cnpol.ru/covers/16749.jpg","фото на сайте")</f>
        <v/>
      </c>
    </row>
    <row r="1765" ht="50.1" customHeight="1" s="3">
      <c r="A1765" s="23" t="n"/>
      <c r="B1765" s="24" t="inlineStr">
        <is>
          <t>17885</t>
        </is>
      </c>
      <c r="C1765" s="23" t="inlineStr">
        <is>
          <t>ЛР СО</t>
        </is>
      </c>
      <c r="D1765" s="23" t="inlineStr">
        <is>
          <t>Лоренс А.</t>
        </is>
      </c>
      <c r="E1765" s="23" t="inlineStr">
        <is>
          <t>Будет жарко до утра</t>
        </is>
      </c>
      <c r="F1765" s="23" t="n">
        <v>251</v>
      </c>
      <c r="G1765" s="23" t="n">
        <v>102</v>
      </c>
      <c r="H1765" s="23" t="n">
        <v>10</v>
      </c>
      <c r="I1765" s="23" t="n">
        <v>30</v>
      </c>
      <c r="J1765" s="23" t="inlineStr">
        <is>
          <t>978-5-227-07791-2</t>
        </is>
      </c>
      <c r="K1765" s="23" t="inlineStr">
        <is>
          <t>70x100 1/32</t>
        </is>
      </c>
      <c r="L1765" s="23" t="inlineStr">
        <is>
          <t>мяг</t>
        </is>
      </c>
      <c r="M1765" s="23" t="n">
        <v>160</v>
      </c>
      <c r="N1765" s="23" t="n">
        <v>2017</v>
      </c>
      <c r="O1765" s="23" t="n">
        <v>76</v>
      </c>
      <c r="P1765" s="23" t="n"/>
      <c r="Q1765" s="23" t="n"/>
      <c r="R1765" s="25" t="inlineStr">
        <is>
          <t>Калани Бишоп — настоящий друг: ради прекрасной танцовщицы Ланы Хейл он готов на подвиги. Поэтому согласился жениться на ней, чтобы получить опеку над ее племянницей — непутевые ро­дители девчушки нарушили закон и арестованы. Молодые люди договорились о фиктивном браке, в котором близость, разумеется, исключалась. Но друзья не учли того, что оба молоды, темпераментны и, сами того не сознавая, давно влюблены друг в друга. Медовый месяц стал настоящим. Однако мать девочки вскоре освободили, а значит, отпала необходимость изображать супружескую пару. И что же теперь, развод?</t>
        </is>
      </c>
      <c r="S1765" s="26">
        <f>HYPERLINK("http://www.cnpol.ru/covers/17885.jpg","фото на сайте")</f>
        <v/>
      </c>
    </row>
    <row r="1766" ht="50.1" customHeight="1" s="3">
      <c r="A1766" s="23" t="n"/>
      <c r="B1766" s="24" t="inlineStr">
        <is>
          <t>19503</t>
        </is>
      </c>
      <c r="C1766" s="23" t="inlineStr">
        <is>
          <t>ЛР СО</t>
        </is>
      </c>
      <c r="D1766" s="23" t="inlineStr">
        <is>
          <t>Чайлд М.</t>
        </is>
      </c>
      <c r="E1766" s="23" t="inlineStr">
        <is>
          <t>Будь моим мужем!</t>
        </is>
      </c>
      <c r="F1766" s="23" t="n">
        <v>366</v>
      </c>
      <c r="G1766" s="23" t="n">
        <v>102</v>
      </c>
      <c r="H1766" s="23" t="n">
        <v>10</v>
      </c>
      <c r="I1766" s="23" t="n">
        <v>30</v>
      </c>
      <c r="J1766" s="23" t="inlineStr">
        <is>
          <t>978-5-227-09156-7</t>
        </is>
      </c>
      <c r="K1766" s="23" t="inlineStr">
        <is>
          <t>70x100 1/32</t>
        </is>
      </c>
      <c r="L1766" s="23" t="inlineStr">
        <is>
          <t>мяг</t>
        </is>
      </c>
      <c r="M1766" s="23" t="n">
        <v>160</v>
      </c>
      <c r="N1766" s="23" t="n">
        <v>2021</v>
      </c>
      <c r="O1766" s="23" t="n">
        <v>76</v>
      </c>
      <c r="P1766" s="23" t="n"/>
      <c r="Q1766" s="23" t="n"/>
      <c r="R1766" s="25" t="inlineStr">
        <is>
          <t>Каден и Эмма встречались с колледжа и любили друг друга до беспамятства, но, как только речь зашла о браке и детях, Эмма сбежала в Голливуд в надежде стать актрисой. Спустя пять лет она возвращается в Монтану с разбитыми мечтами и маленьким ребенком на руках. За это время Каден разбогател, отстроил ранчо, но так и не смог забыть первую любовь. Хватит ли им сил преодолеть неприязнь и обиды?..</t>
        </is>
      </c>
      <c r="S1766" s="26">
        <f>HYPERLINK("http://www.cnpol.ru/covers/19503.jpg","фото на сайте")</f>
        <v/>
      </c>
    </row>
    <row r="1767" ht="50.1" customHeight="1" s="3">
      <c r="A1767" s="23" t="n"/>
      <c r="B1767" s="24" t="inlineStr">
        <is>
          <t>16921</t>
        </is>
      </c>
      <c r="C1767" s="23" t="inlineStr">
        <is>
          <t>ЛР СО</t>
        </is>
      </c>
      <c r="D1767" s="23" t="inlineStr">
        <is>
          <t>Беннет Д.</t>
        </is>
      </c>
      <c r="E1767" s="23" t="inlineStr">
        <is>
          <t>Бывших плейбоев не бывает</t>
        </is>
      </c>
      <c r="F1767" s="23" t="n">
        <v>181</v>
      </c>
      <c r="G1767" s="23" t="n">
        <v>102</v>
      </c>
      <c r="H1767" s="23" t="n">
        <v>10</v>
      </c>
      <c r="I1767" s="23" t="n">
        <v>30</v>
      </c>
      <c r="J1767" s="23" t="inlineStr">
        <is>
          <t>978-5-227-06922-1</t>
        </is>
      </c>
      <c r="K1767" s="23" t="inlineStr">
        <is>
          <t>70x100 1/32</t>
        </is>
      </c>
      <c r="L1767" s="23" t="inlineStr">
        <is>
          <t>мяг</t>
        </is>
      </c>
      <c r="M1767" s="23" t="n">
        <v>160</v>
      </c>
      <c r="N1767" s="23" t="n">
        <v>2016</v>
      </c>
      <c r="O1767" s="23" t="n">
        <v>76</v>
      </c>
      <c r="P1767" s="23" t="n"/>
      <c r="Q1767" s="23" t="n"/>
      <c r="R1767" s="25" t="inlineStr">
        <is>
          <t>После смерти отца Брэйден О’Ши возглавляет семейный бизнес. Он славится репутацией жесткого и бескомпромиссного дельца. Исполняя последнюю волю умершего, Брэйден начинает поиски пропавшей семейной реликвии, что приводит его в объятия красавицы Зары Перкинс. Они влюбляются друг в друга, но вскоре Зара обнаруживает, что Брэйден с самого первого дня их знакомства использовал ее в своих целях, чтобы пробраться в ее дом и найти в нем утерянное сокровище.</t>
        </is>
      </c>
      <c r="S1767" s="26">
        <f>HYPERLINK("http://www.cnpol.ru/covers/16921.jpg","фото на сайте")</f>
        <v/>
      </c>
    </row>
    <row r="1768" ht="50.1" customHeight="1" s="3">
      <c r="A1768" s="23" t="n"/>
      <c r="B1768" s="24" t="inlineStr">
        <is>
          <t>17649</t>
        </is>
      </c>
      <c r="C1768" s="23" t="inlineStr">
        <is>
          <t>ЛР СО</t>
        </is>
      </c>
      <c r="D1768" s="23" t="inlineStr">
        <is>
          <t>Андерсон С.</t>
        </is>
      </c>
      <c r="E1768" s="23" t="inlineStr">
        <is>
          <t>В водовороте сладострастия</t>
        </is>
      </c>
      <c r="F1768" s="23" t="n">
        <v>233</v>
      </c>
      <c r="G1768" s="23" t="n">
        <v>102</v>
      </c>
      <c r="H1768" s="23" t="n">
        <v>10</v>
      </c>
      <c r="I1768" s="23" t="n">
        <v>30</v>
      </c>
      <c r="J1768" s="23" t="inlineStr">
        <is>
          <t>978-5-227-07687-8</t>
        </is>
      </c>
      <c r="K1768" s="23" t="inlineStr">
        <is>
          <t>70x100 1/32</t>
        </is>
      </c>
      <c r="L1768" s="23" t="inlineStr">
        <is>
          <t>мяг</t>
        </is>
      </c>
      <c r="M1768" s="23" t="n">
        <v>160</v>
      </c>
      <c r="N1768" s="23" t="n">
        <v>2017</v>
      </c>
      <c r="O1768" s="23" t="n">
        <v>76</v>
      </c>
      <c r="P1768" s="23" t="n"/>
      <c r="Q1768" s="23" t="n"/>
      <c r="R1768" s="25" t="inlineStr">
        <is>
          <t>Когда­то, будучи политическим консультантом, Дэниел Ли смешал с грязью имя дочери своего противника и тем самым обеспечил победу своему кандидату. Теперь, когда Кристина Мюррей снова оказывается на сцене, Дэниела начинают мучить угрызения совести за то, что он превратил ее жизнь в настоящий кошмар. Он решает помочь Кристине, ставшей заложницей обстоятельств, и увозит ее вместе с ее маленьким ребенком в Чикаго, подальше от журналистов. Там между ними вспыхивает роман, но вскоре оказывается, что их чувства обречены…</t>
        </is>
      </c>
      <c r="S1768" s="26">
        <f>HYPERLINK("http://www.cnpol.ru/covers/17649.jpg","фото на сайте")</f>
        <v/>
      </c>
    </row>
    <row r="1769" ht="50.1" customHeight="1" s="3">
      <c r="A1769" s="23" t="n"/>
      <c r="B1769" s="24" t="inlineStr">
        <is>
          <t>17465</t>
        </is>
      </c>
      <c r="C1769" s="23" t="inlineStr">
        <is>
          <t>ЛР СО</t>
        </is>
      </c>
      <c r="D1769" s="23" t="inlineStr">
        <is>
          <t>Данлоп Б.</t>
        </is>
      </c>
      <c r="E1769" s="23" t="inlineStr">
        <is>
          <t>В добровольном плену соблазна</t>
        </is>
      </c>
      <c r="F1769" s="23" t="n">
        <v>218</v>
      </c>
      <c r="G1769" s="23" t="n">
        <v>102</v>
      </c>
      <c r="H1769" s="23" t="n">
        <v>10</v>
      </c>
      <c r="I1769" s="23" t="n">
        <v>30</v>
      </c>
      <c r="J1769" s="23" t="inlineStr">
        <is>
          <t>978-5-227-07478-2</t>
        </is>
      </c>
      <c r="K1769" s="23" t="inlineStr">
        <is>
          <t>70x100 1/32</t>
        </is>
      </c>
      <c r="L1769" s="23" t="inlineStr">
        <is>
          <t>мяг</t>
        </is>
      </c>
      <c r="M1769" s="23" t="n">
        <v>160</v>
      </c>
      <c r="N1769" s="23" t="n">
        <v>2017</v>
      </c>
      <c r="O1769" s="23" t="n">
        <v>76</v>
      </c>
      <c r="P1769" s="23" t="n"/>
      <c r="Q1769" s="23" t="n"/>
      <c r="R1769" s="25" t="inlineStr">
        <is>
          <t>Амбер — красивая молодая целеустремленная девушка — работает секретарем в огромной компании Диксона Такера. Внезапно ее босс уезжает, бросив компанию на произвол судьбы. Брату Диксона, Лоуренсу, нравится Амбер, и не в силах справиться со своей властной натурой, он требует от нее признаться, куда уехал Диксон. Амбер отказывается выдавать секрет босса. Она обещает помогать Лоуренсу в поисках брата, но заявляет, что между ними не будет романтических отношений. Сможет ли Лоуренс устоять против чар привлекательной секретарши?</t>
        </is>
      </c>
      <c r="S1769" s="26">
        <f>HYPERLINK("http://www.cnpol.ru/covers/17465.jpg","фото на сайте")</f>
        <v/>
      </c>
    </row>
    <row r="1770" ht="50.1" customHeight="1" s="3">
      <c r="A1770" s="23" t="n"/>
      <c r="B1770" s="24" t="inlineStr">
        <is>
          <t>18891</t>
        </is>
      </c>
      <c r="C1770" s="23" t="inlineStr">
        <is>
          <t>ЛР СО</t>
        </is>
      </c>
      <c r="D1770" s="23" t="inlineStr">
        <is>
          <t>Вуд Джосс</t>
        </is>
      </c>
      <c r="E1770" s="23" t="inlineStr">
        <is>
          <t>В капкане случайной страсти</t>
        </is>
      </c>
      <c r="F1770" s="23" t="n">
        <v>326</v>
      </c>
      <c r="G1770" s="23" t="n">
        <v>102</v>
      </c>
      <c r="H1770" s="23" t="n">
        <v>10</v>
      </c>
      <c r="I1770" s="23" t="n">
        <v>30</v>
      </c>
      <c r="J1770" s="23" t="inlineStr">
        <is>
          <t>978-5-227-08776-8</t>
        </is>
      </c>
      <c r="K1770" s="23" t="inlineStr">
        <is>
          <t>70x100 1/32</t>
        </is>
      </c>
      <c r="L1770" s="23" t="inlineStr">
        <is>
          <t>мяг</t>
        </is>
      </c>
      <c r="M1770" s="23" t="n">
        <v>160</v>
      </c>
      <c r="N1770" s="23" t="n">
        <v>2019</v>
      </c>
      <c r="O1770" s="23" t="n">
        <v>76</v>
      </c>
      <c r="P1770" s="23" t="n"/>
      <c r="Q1770" s="23" t="n"/>
      <c r="R1770" s="25" t="inlineStr">
        <is>
          <t>Чтобы накопить денег на ЭКО, Дарби Броган устраивается на работу к архитектору Джуду Хантли. Тот берет ее при условии, что она поможет ему заботиться о его племяннице. После двух условленных недель Дарби понимает, что влюбилась в Джуда и привязалась к маленькой Джекки. Но Хантли слишком дорожит своей свободой и не готов создать семью.</t>
        </is>
      </c>
      <c r="S1770" s="26">
        <f>HYPERLINK("http://www.cnpol.ru/covers/18891.jpg","фото на сайте")</f>
        <v/>
      </c>
    </row>
    <row r="1771" ht="50.1" customHeight="1" s="3">
      <c r="A1771" s="23" t="n"/>
      <c r="B1771" s="24" t="inlineStr">
        <is>
          <t>17523</t>
        </is>
      </c>
      <c r="C1771" s="23" t="inlineStr">
        <is>
          <t>ЛР СО</t>
        </is>
      </c>
      <c r="D1771" s="23" t="inlineStr">
        <is>
          <t>Биссел А.</t>
        </is>
      </c>
      <c r="E1771" s="23" t="inlineStr">
        <is>
          <t>В объятиях мстительного мачо</t>
        </is>
      </c>
      <c r="F1771" s="23" t="n">
        <v>222</v>
      </c>
      <c r="G1771" s="23" t="n">
        <v>102</v>
      </c>
      <c r="H1771" s="23" t="n">
        <v>10</v>
      </c>
      <c r="I1771" s="23" t="n">
        <v>30</v>
      </c>
      <c r="J1771" s="23" t="inlineStr">
        <is>
          <t>978-5-227-07584-0</t>
        </is>
      </c>
      <c r="K1771" s="23" t="inlineStr">
        <is>
          <t>70x100 1/32</t>
        </is>
      </c>
      <c r="L1771" s="23" t="inlineStr">
        <is>
          <t>мяг</t>
        </is>
      </c>
      <c r="M1771" s="23" t="n">
        <v>160</v>
      </c>
      <c r="N1771" s="23" t="n">
        <v>2017</v>
      </c>
      <c r="O1771" s="23" t="n">
        <v>76</v>
      </c>
      <c r="P1771" s="23" t="n"/>
      <c r="Q1771" s="23" t="n"/>
      <c r="R1771" s="25" t="inlineStr">
        <is>
          <t>Для того чтобы спасти компанию своего отца, Хелена Шоу отправляется к итальянскому миллионеру Леонардо Винченти, с которым ее когда­то связывали романтические отношения. Но вместо доброго, понимающего и заботливого Лео она видит перед собой мстительного, хладнокровного и безжалостного дельца. Леонардо соглашается пойти ей навстречу при условии, что на вечеринку его друга они придут вдвоем. Хелена отвечает согласием, хотя и понимает: эта игра не для нее, потому что чувства к бывшему любовнику еще живы. Сможет ли Хелена справиться со своими эмоциями? Ведь больше всего на свете она боится в очередной раз остаться с разбитым сердцем…</t>
        </is>
      </c>
      <c r="S1771" s="26">
        <f>HYPERLINK("http://www.cnpol.ru/covers/17523.jpg","фото на сайте")</f>
        <v/>
      </c>
    </row>
    <row r="1772" ht="50.1" customHeight="1" s="3">
      <c r="A1772" s="23" t="n"/>
      <c r="B1772" s="24" t="inlineStr">
        <is>
          <t>18990</t>
        </is>
      </c>
      <c r="C1772" s="23" t="inlineStr">
        <is>
          <t>ЛР СО</t>
        </is>
      </c>
      <c r="D1772" s="23" t="inlineStr">
        <is>
          <t>Вейд Д.</t>
        </is>
      </c>
      <c r="E1772" s="23" t="inlineStr">
        <is>
          <t>В омуте запретных чувств</t>
        </is>
      </c>
      <c r="F1772" s="23" t="n">
        <v>335</v>
      </c>
      <c r="G1772" s="23" t="n">
        <v>102</v>
      </c>
      <c r="H1772" s="23" t="n">
        <v>10</v>
      </c>
      <c r="I1772" s="23" t="n">
        <v>30</v>
      </c>
      <c r="J1772" s="23" t="inlineStr">
        <is>
          <t>978-5-227-08886-4</t>
        </is>
      </c>
      <c r="K1772" s="23" t="inlineStr">
        <is>
          <t>70x100 1/32</t>
        </is>
      </c>
      <c r="L1772" s="23" t="inlineStr">
        <is>
          <t>мяг</t>
        </is>
      </c>
      <c r="M1772" s="23" t="n">
        <v>160</v>
      </c>
      <c r="N1772" s="23" t="n">
        <v>2019</v>
      </c>
      <c r="O1772" s="23" t="n">
        <v>76</v>
      </c>
      <c r="P1772" s="23" t="n"/>
      <c r="Q1772" s="23" t="n"/>
      <c r="R1772" s="25" t="inlineStr">
        <is>
          <t>Айви Харден проработала ассистенткой Пакстона Маклемора уже полтора года, пряча от него свои чувства, но однажды она уступает эмоциям и становится его любовницей. Айви старательно скрывает от босса свою истинную личность, а вскоре обнаруживает, что беременна…</t>
        </is>
      </c>
      <c r="S1772" s="26">
        <f>HYPERLINK("http://www.cnpol.ru/covers/18990.jpg","фото на сайте")</f>
        <v/>
      </c>
    </row>
    <row r="1773" ht="50.1" customHeight="1" s="3">
      <c r="A1773" s="23" t="n"/>
      <c r="B1773" s="24" t="inlineStr">
        <is>
          <t>17740</t>
        </is>
      </c>
      <c r="C1773" s="23" t="inlineStr">
        <is>
          <t>ЛР СО</t>
        </is>
      </c>
      <c r="D1773" s="23" t="inlineStr">
        <is>
          <t>Беннет Д.</t>
        </is>
      </c>
      <c r="E1773" s="23" t="inlineStr">
        <is>
          <t>В омуте колдовских глаз</t>
        </is>
      </c>
      <c r="F1773" s="23" t="n">
        <v>241</v>
      </c>
      <c r="G1773" s="23" t="n">
        <v>102</v>
      </c>
      <c r="H1773" s="23" t="n">
        <v>10</v>
      </c>
      <c r="I1773" s="23" t="n">
        <v>30</v>
      </c>
      <c r="J1773" s="23" t="inlineStr">
        <is>
          <t>978-5-227-07730-1</t>
        </is>
      </c>
      <c r="K1773" s="23" t="inlineStr">
        <is>
          <t>70x100 1/32</t>
        </is>
      </c>
      <c r="L1773" s="23" t="inlineStr">
        <is>
          <t>мяг</t>
        </is>
      </c>
      <c r="M1773" s="23" t="n">
        <v>160</v>
      </c>
      <c r="N1773" s="23" t="n">
        <v>2017</v>
      </c>
      <c r="O1773" s="23" t="n">
        <v>76</v>
      </c>
      <c r="P1773" s="23" t="n"/>
      <c r="Q1773" s="23" t="n"/>
      <c r="R1773" s="25" t="inlineStr">
        <is>
          <t>Кольт Эллиот, привлекательный и в то же время хитрый делец, решает завладеть фермой своего соседа. Когда дочь владельца ранчо Аннабель умоляет его спасти ее родовое гнездо, он дает девушке работу, чтобы она могла выплатить долг своего отца. И теперь у Кольта появляется новая цель - соблазнить эту рыжеволосую красавицу. Он готов на все, чтобы добиться своего, но должен выбрать что­то одно: или Аннабель, или ее ранчо…</t>
        </is>
      </c>
      <c r="S1773" s="26">
        <f>HYPERLINK("http://www.cnpol.ru/covers/17740.jpg","фото на сайте")</f>
        <v/>
      </c>
    </row>
    <row r="1774" ht="50.1" customHeight="1" s="3">
      <c r="A1774" s="23" t="n"/>
      <c r="B1774" s="24" t="inlineStr">
        <is>
          <t>17086</t>
        </is>
      </c>
      <c r="C1774" s="23" t="inlineStr">
        <is>
          <t>ЛР СО</t>
        </is>
      </c>
      <c r="D1774" s="23" t="inlineStr">
        <is>
          <t>Монро Л.</t>
        </is>
      </c>
      <c r="E1774" s="23" t="inlineStr">
        <is>
          <t>В плену запретной страсти</t>
        </is>
      </c>
      <c r="F1774" s="23" t="n">
        <v>193</v>
      </c>
      <c r="G1774" s="23" t="n">
        <v>102</v>
      </c>
      <c r="H1774" s="23" t="n">
        <v>10</v>
      </c>
      <c r="I1774" s="23" t="n">
        <v>30</v>
      </c>
      <c r="J1774" s="23" t="inlineStr">
        <is>
          <t>978-5-227-07078-4</t>
        </is>
      </c>
      <c r="K1774" s="23" t="inlineStr">
        <is>
          <t>70x100 1/32</t>
        </is>
      </c>
      <c r="L1774" s="23" t="inlineStr">
        <is>
          <t>мяг</t>
        </is>
      </c>
      <c r="M1774" s="23" t="n">
        <v>160</v>
      </c>
      <c r="N1774" s="23" t="n">
        <v>2016</v>
      </c>
      <c r="O1774" s="23" t="n">
        <v>76</v>
      </c>
      <c r="P1774" s="23" t="n"/>
      <c r="Q1774" s="23" t="n"/>
      <c r="R1774" s="25" t="inlineStr">
        <is>
          <t>Лия Амари устроилась горничной в отель «Чатсфилд», только чтобы исполнить волю покойной матери и найти своего отца, Джина Чатсфилда. Их встреча проходит неудачно, и в этот момент расстроенная Лия знакомится с эмиром Зиина Сахра Саидом. Саид поддается порыву страсти, не представляя, какими непредсказуемыми последствиями может обернуться для него единственная ночь с очаровательной незнакомкой...</t>
        </is>
      </c>
      <c r="S1774" s="26">
        <f>HYPERLINK("http://www.cnpol.ru/covers/17086.jpg","фото на сайте")</f>
        <v/>
      </c>
    </row>
    <row r="1775" ht="50.1" customHeight="1" s="3">
      <c r="A1775" s="23" t="n"/>
      <c r="B1775" s="24" t="inlineStr">
        <is>
          <t>18827</t>
        </is>
      </c>
      <c r="C1775" s="23" t="inlineStr">
        <is>
          <t>ЛР СО</t>
        </is>
      </c>
      <c r="D1775" s="23" t="inlineStr">
        <is>
          <t>Беннет Д.</t>
        </is>
      </c>
      <c r="E1775" s="23" t="inlineStr">
        <is>
          <t>В ритме смелых желаний</t>
        </is>
      </c>
      <c r="F1775" s="23" t="n">
        <v>320</v>
      </c>
      <c r="G1775" s="23" t="n">
        <v>102</v>
      </c>
      <c r="H1775" s="23" t="n">
        <v>10</v>
      </c>
      <c r="I1775" s="23" t="n">
        <v>30</v>
      </c>
      <c r="J1775" s="23" t="inlineStr">
        <is>
          <t>978-5-227-08701-0</t>
        </is>
      </c>
      <c r="K1775" s="23" t="inlineStr">
        <is>
          <t>70x100 1/32</t>
        </is>
      </c>
      <c r="L1775" s="23" t="inlineStr">
        <is>
          <t>мяг</t>
        </is>
      </c>
      <c r="M1775" s="23" t="n">
        <v>160</v>
      </c>
      <c r="N1775" s="23" t="n">
        <v>2019</v>
      </c>
      <c r="O1775" s="23" t="n">
        <v>76</v>
      </c>
      <c r="P1775" s="23" t="n"/>
      <c r="Q1775" s="23" t="n"/>
      <c r="R1775" s="25" t="inlineStr">
        <is>
          <t>Скарлетт Паттерсон приехала в дом Бью Эллиота, чтобы помочь этому красавцу из Голливуда присмотреть за его дочерью, пока не вернется постоянная няня малышки. Она настроена на переезд в другой город и начало новой жизни, но влечение к Бью путает ей все карты. Скарлетт влюбляется в Эллиота, и перед ней встает выбор: уехать и забыть его или остаться и бороться за свое счастье…</t>
        </is>
      </c>
      <c r="S1775" s="26">
        <f>HYPERLINK("http://www.cnpol.ru/covers/18827.jpg","фото на сайте")</f>
        <v/>
      </c>
    </row>
    <row r="1776" ht="50.1" customHeight="1" s="3">
      <c r="A1776" s="23" t="n"/>
      <c r="B1776" s="24" t="inlineStr">
        <is>
          <t>19006</t>
        </is>
      </c>
      <c r="C1776" s="23" t="inlineStr">
        <is>
          <t>ЛР СО</t>
        </is>
      </c>
      <c r="D1776" s="23" t="inlineStr">
        <is>
          <t>Шилд К.</t>
        </is>
      </c>
      <c r="E1776" s="23" t="inlineStr">
        <is>
          <t>В сетях жаркой мести</t>
        </is>
      </c>
      <c r="F1776" s="23" t="n">
        <v>337</v>
      </c>
      <c r="G1776" s="23" t="n">
        <v>102</v>
      </c>
      <c r="H1776" s="23" t="n">
        <v>10</v>
      </c>
      <c r="I1776" s="23" t="n">
        <v>30</v>
      </c>
      <c r="J1776" s="23" t="inlineStr">
        <is>
          <t>978-5-227-08888-8</t>
        </is>
      </c>
      <c r="K1776" s="23" t="inlineStr">
        <is>
          <t>70x100 1/32</t>
        </is>
      </c>
      <c r="L1776" s="23" t="inlineStr">
        <is>
          <t>мяг</t>
        </is>
      </c>
      <c r="M1776" s="23" t="n">
        <v>160</v>
      </c>
      <c r="N1776" s="23" t="n">
        <v>2020</v>
      </c>
      <c r="O1776" s="23" t="n">
        <v>76</v>
      </c>
      <c r="P1776" s="23" t="n"/>
      <c r="Q1776" s="23" t="n"/>
      <c r="R1776" s="25" t="inlineStr">
        <is>
          <t>После тяжелого развода Зоуи Олстон не ищет новых отношений, но встреча с неотразимым Райаном Дейли переворачивает все с ног на голову. Внезапно вспыхнувшая страсть перерождается в глубокое чувство. Но захочет ли Райан быть с женщиной, которая собирается разрушить политическую карьеру его сестры?</t>
        </is>
      </c>
      <c r="S1776" s="26">
        <f>HYPERLINK("http://www.cnpol.ru/covers/19006.jpg","фото на сайте")</f>
        <v/>
      </c>
    </row>
    <row r="1777" ht="50.1" customHeight="1" s="3">
      <c r="A1777" s="23" t="n"/>
      <c r="B1777" s="24" t="inlineStr">
        <is>
          <t>18847</t>
        </is>
      </c>
      <c r="C1777" s="23" t="inlineStr">
        <is>
          <t>ЛР СО</t>
        </is>
      </c>
      <c r="D1777" s="23" t="inlineStr">
        <is>
          <t>Рок Джоанна</t>
        </is>
      </c>
      <c r="E1777" s="23" t="inlineStr">
        <is>
          <t>В сетях жгучего влечения</t>
        </is>
      </c>
      <c r="F1777" s="23" t="n">
        <v>322</v>
      </c>
      <c r="G1777" s="23" t="n">
        <v>102</v>
      </c>
      <c r="H1777" s="23" t="n">
        <v>10</v>
      </c>
      <c r="I1777" s="23" t="n">
        <v>30</v>
      </c>
      <c r="J1777" s="23" t="inlineStr">
        <is>
          <t>978-5-227-08732-4</t>
        </is>
      </c>
      <c r="K1777" s="23" t="inlineStr">
        <is>
          <t>70x100 1/32</t>
        </is>
      </c>
      <c r="L1777" s="23" t="inlineStr">
        <is>
          <t>мяг</t>
        </is>
      </c>
      <c r="M1777" s="23" t="n">
        <v>160</v>
      </c>
      <c r="N1777" s="23" t="n">
        <v>2019</v>
      </c>
      <c r="O1777" s="23" t="n">
        <v>76</v>
      </c>
      <c r="P1777" s="23" t="n"/>
      <c r="Q1777" s="23" t="n"/>
      <c r="R1777" s="25" t="inlineStr">
        <is>
          <t>Лидия Уокер понятия не имела, как сможет расплатиться с Джеймсом Харрисом, которому ее легкомысленная сестра задолжала сто тысяч долларов. Явившись к нему на переговоры, Лидия очаровала не только Джеймса, но и его племянника Тедди, с которым не могла справиться ни одна няня. Любящий дядюшка, готовый на все ради осиротевшего малыша, предлагает Лидии отработать долг в качестве няни. Более чем щедрое предложение смутило девушку, но «долг — платежом красен», к тому же она совершенно не в состоянии была сопротивляться обаянию обоих мужчин: малыша Тедди  и его красавца дяди…</t>
        </is>
      </c>
      <c r="S1777" s="26">
        <f>HYPERLINK("http://www.cnpol.ru/covers/18847.jpg","фото на сайте")</f>
        <v/>
      </c>
    </row>
    <row r="1778" ht="50.1" customHeight="1" s="3">
      <c r="A1778" s="23" t="n"/>
      <c r="B1778" s="24" t="inlineStr">
        <is>
          <t>18688</t>
        </is>
      </c>
      <c r="C1778" s="23" t="inlineStr">
        <is>
          <t>ЛР СО</t>
        </is>
      </c>
      <c r="D1778" s="23" t="inlineStr">
        <is>
          <t>Бут К.</t>
        </is>
      </c>
      <c r="E1778" s="23" t="inlineStr">
        <is>
          <t>В шаге от соблазна</t>
        </is>
      </c>
      <c r="F1778" s="23" t="n">
        <v>309</v>
      </c>
      <c r="G1778" s="23" t="n">
        <v>102</v>
      </c>
      <c r="H1778" s="23" t="n">
        <v>10</v>
      </c>
      <c r="I1778" s="23" t="n">
        <v>30</v>
      </c>
      <c r="J1778" s="23" t="inlineStr">
        <is>
          <t>978-5-227-08554-2</t>
        </is>
      </c>
      <c r="K1778" s="23" t="inlineStr">
        <is>
          <t>70x100 1/32</t>
        </is>
      </c>
      <c r="L1778" s="23" t="inlineStr">
        <is>
          <t>мяг</t>
        </is>
      </c>
      <c r="M1778" s="23" t="n">
        <v>160</v>
      </c>
      <c r="N1778" s="23" t="n">
        <v>2019</v>
      </c>
      <c r="O1778" s="23" t="n">
        <v>78</v>
      </c>
      <c r="P1778" s="23" t="n"/>
      <c r="Q1778" s="23" t="n"/>
      <c r="R1778" s="25" t="inlineStr">
        <is>
          <t>Лили и Ной работают вместе уже два года. И два года таят чувства друг к другу, чтобы не разрушить деловые отношения. Но по иронии судьбы именно бизнес толкает их в объятия друг к другу: чтобы заключить выгодную сделку, сулящую огромную прибыль, они становятся женихом и невестой…</t>
        </is>
      </c>
      <c r="S1778" s="26">
        <f>HYPERLINK("http://www.cnpol.ru/covers/18688.jpg","фото на сайте")</f>
        <v/>
      </c>
    </row>
    <row r="1779" ht="50.1" customHeight="1" s="3">
      <c r="A1779" s="23" t="n"/>
      <c r="B1779" s="24" t="inlineStr">
        <is>
          <t>16578</t>
        </is>
      </c>
      <c r="C1779" s="23" t="inlineStr">
        <is>
          <t>ЛР СО</t>
        </is>
      </c>
      <c r="D1779" s="23" t="inlineStr">
        <is>
          <t>Гейтс О.</t>
        </is>
      </c>
      <c r="E1779" s="23" t="inlineStr">
        <is>
          <t>Вероломная обольстительница</t>
        </is>
      </c>
      <c r="F1779" s="23" t="n">
        <v>158</v>
      </c>
      <c r="G1779" s="23" t="n">
        <v>102</v>
      </c>
      <c r="H1779" s="23" t="n">
        <v>10</v>
      </c>
      <c r="I1779" s="23" t="n">
        <v>30</v>
      </c>
      <c r="J1779" s="23" t="inlineStr">
        <is>
          <t>978-5-227-06495-0</t>
        </is>
      </c>
      <c r="K1779" s="23" t="inlineStr">
        <is>
          <t>70x100 1/32</t>
        </is>
      </c>
      <c r="L1779" s="23" t="inlineStr">
        <is>
          <t>мяг</t>
        </is>
      </c>
      <c r="M1779" s="23" t="n">
        <v>160</v>
      </c>
      <c r="N1779" s="23" t="n">
        <v>2016</v>
      </c>
      <c r="O1779" s="23" t="n">
        <v>76</v>
      </c>
      <c r="P1779" s="23" t="n"/>
      <c r="Q1779" s="23" t="n"/>
      <c r="R1779" s="25" t="inlineStr">
        <is>
          <t>Элиана полюбила красавца­миллионера Рафаэля, но тот оказался врагом ее отца. Между двумя мужчинами, которых она любит больше всего на свете, стоит кровавая тайна прошлого. Сумеет ли Элиана сохранить любовь и доказать, что ее отец — не предатель?</t>
        </is>
      </c>
      <c r="S1779" s="26">
        <f>HYPERLINK("http://www.cnpol.ru/covers/16578.jpg","фото на сайте")</f>
        <v/>
      </c>
    </row>
    <row r="1780" ht="50.1" customHeight="1" s="3">
      <c r="A1780" s="23" t="n"/>
      <c r="B1780" s="24" t="inlineStr">
        <is>
          <t>16630</t>
        </is>
      </c>
      <c r="C1780" s="23" t="inlineStr">
        <is>
          <t>ЛР СО</t>
        </is>
      </c>
      <c r="D1780" s="23" t="inlineStr">
        <is>
          <t>Кокс М.</t>
        </is>
      </c>
      <c r="E1780" s="23" t="inlineStr">
        <is>
          <t>Вкус греха</t>
        </is>
      </c>
      <c r="F1780" s="23" t="n">
        <v>161</v>
      </c>
      <c r="G1780" s="23" t="n">
        <v>102</v>
      </c>
      <c r="H1780" s="23" t="n">
        <v>10</v>
      </c>
      <c r="I1780" s="23" t="n">
        <v>30</v>
      </c>
      <c r="J1780" s="23" t="inlineStr">
        <is>
          <t>978-5-227-06536-0</t>
        </is>
      </c>
      <c r="K1780" s="23" t="inlineStr">
        <is>
          <t>70x100 1/32</t>
        </is>
      </c>
      <c r="L1780" s="23" t="inlineStr">
        <is>
          <t>мяг</t>
        </is>
      </c>
      <c r="M1780" s="23" t="n">
        <v>160</v>
      </c>
      <c r="N1780" s="23" t="n">
        <v>2016</v>
      </c>
      <c r="O1780" s="23" t="n">
        <v>76</v>
      </c>
      <c r="P1780" s="23" t="n"/>
      <c r="Q1780" s="23" t="n"/>
      <c r="R1780" s="25" t="inlineStr">
        <is>
          <t>Миллиардер Джин, наделенный невероятной харизмой и амбициозностью, всегда получает то, чего хочет. Он собирается завладеть зданием антикварного магазина и открыть там новый ресторан. Но сначала ему нужно расположить к себе Роуз, сотрудницу этого магазина. Зная, какое влияние Роуз имеет на своего начальника, Джин делает ей выгодное деловое предложение. Но сможет ли Джин диктовать ей свои условия в любви?</t>
        </is>
      </c>
      <c r="S1780" s="26">
        <f>HYPERLINK("http://www.cnpol.ru/covers/16630.jpg","фото на сайте")</f>
        <v/>
      </c>
    </row>
    <row r="1781" ht="50.1" customHeight="1" s="3">
      <c r="A1781" s="23" t="n"/>
      <c r="B1781" s="24" t="inlineStr">
        <is>
          <t>16118</t>
        </is>
      </c>
      <c r="C1781" s="23" t="inlineStr">
        <is>
          <t>ЛР СО</t>
        </is>
      </c>
      <c r="D1781" s="23" t="inlineStr">
        <is>
          <t>Шилд К.</t>
        </is>
      </c>
      <c r="E1781" s="23" t="inlineStr">
        <is>
          <t>Вкус соблазна</t>
        </is>
      </c>
      <c r="F1781" s="23" t="n">
        <v>127</v>
      </c>
      <c r="G1781" s="23" t="n">
        <v>102</v>
      </c>
      <c r="H1781" s="23" t="n">
        <v>10</v>
      </c>
      <c r="I1781" s="23" t="n">
        <v>30</v>
      </c>
      <c r="J1781" s="23" t="inlineStr">
        <is>
          <t>978-5-227-06107-2</t>
        </is>
      </c>
      <c r="K1781" s="23" t="inlineStr">
        <is>
          <t>70x100 1/32</t>
        </is>
      </c>
      <c r="L1781" s="23" t="inlineStr">
        <is>
          <t>мяг</t>
        </is>
      </c>
      <c r="M1781" s="23" t="n">
        <v>158</v>
      </c>
      <c r="N1781" s="23" t="n">
        <v>2015</v>
      </c>
      <c r="O1781" s="23" t="n">
        <v>76</v>
      </c>
      <c r="P1781" s="23" t="n"/>
      <c r="Q1781" s="23" t="n"/>
      <c r="R1781" s="25" t="inlineStr">
        <is>
          <t>Харпер Фонтейн вынуждена нанять Эштона Крофта, потому что прекрасно знает – он лучший в мире шеф­повар. А еще он неорганизованный, безответственный… да просто невыносимый! Харпер ненавидит себя за то, что втайне в него влюблена.</t>
        </is>
      </c>
      <c r="S1781" s="26">
        <f>HYPERLINK("http://www.cnpol.ru/covers/16118.jpg","фото на сайте")</f>
        <v/>
      </c>
    </row>
    <row r="1782" ht="50.1" customHeight="1" s="3">
      <c r="A1782" s="23" t="n"/>
      <c r="B1782" s="24" t="inlineStr">
        <is>
          <t>16091</t>
        </is>
      </c>
      <c r="C1782" s="23" t="inlineStr">
        <is>
          <t>ЛР СО</t>
        </is>
      </c>
      <c r="D1782" s="23" t="inlineStr">
        <is>
          <t>Паркер</t>
        </is>
      </c>
      <c r="E1782" s="23" t="inlineStr">
        <is>
          <t>Во власти женщины</t>
        </is>
      </c>
      <c r="F1782" s="23" t="n">
        <v>125</v>
      </c>
      <c r="G1782" s="23" t="n">
        <v>102</v>
      </c>
      <c r="H1782" s="23" t="n">
        <v>10</v>
      </c>
      <c r="I1782" s="23" t="n">
        <v>30</v>
      </c>
      <c r="J1782" s="23" t="inlineStr">
        <is>
          <t>978-5-227-06066-2</t>
        </is>
      </c>
      <c r="K1782" s="23" t="inlineStr">
        <is>
          <t>70x100 1/32</t>
        </is>
      </c>
      <c r="L1782" s="23" t="inlineStr">
        <is>
          <t>мяг</t>
        </is>
      </c>
      <c r="M1782" s="23" t="n">
        <v>158</v>
      </c>
      <c r="N1782" s="23" t="n">
        <v>2015</v>
      </c>
      <c r="O1782" s="23" t="n">
        <v>76</v>
      </c>
      <c r="P1782" s="23" t="n"/>
      <c r="Q1782" s="23" t="n"/>
      <c r="R1782" s="25" t="inlineStr">
        <is>
          <t>Миллиардер Никандро Карвальо одержим идеей кровной мести: глава элитного клуба «Ку виртус» Антонио Мериси когда­то жестоко расправился с его родителями. Ник решает соблазнить дочь Антонио, Олимпию, не предполагая, что совсем скоро ему самому предстоит стать объектом для ее экспериментов.</t>
        </is>
      </c>
      <c r="S1782" s="26">
        <f>HYPERLINK("http://www.cnpol.ru/covers/16091.jpg","фото на сайте")</f>
        <v/>
      </c>
    </row>
    <row r="1783" ht="50.1" customHeight="1" s="3">
      <c r="A1783" s="23" t="n"/>
      <c r="B1783" s="24" t="inlineStr">
        <is>
          <t>16920</t>
        </is>
      </c>
      <c r="C1783" s="23" t="inlineStr">
        <is>
          <t>ЛР СО</t>
        </is>
      </c>
      <c r="D1783" s="23" t="inlineStr">
        <is>
          <t>Харди К.</t>
        </is>
      </c>
      <c r="E1783" s="23" t="inlineStr">
        <is>
          <t>Во власти искушения</t>
        </is>
      </c>
      <c r="F1783" s="23" t="n">
        <v>180</v>
      </c>
      <c r="G1783" s="23" t="n">
        <v>102</v>
      </c>
      <c r="H1783" s="23" t="n">
        <v>10</v>
      </c>
      <c r="I1783" s="23" t="n">
        <v>30</v>
      </c>
      <c r="J1783" s="23" t="inlineStr">
        <is>
          <t>978-5-227-06849-1</t>
        </is>
      </c>
      <c r="K1783" s="23" t="inlineStr">
        <is>
          <t>70x100 1/32</t>
        </is>
      </c>
      <c r="L1783" s="23" t="inlineStr">
        <is>
          <t>мяг</t>
        </is>
      </c>
      <c r="M1783" s="23" t="n">
        <v>160</v>
      </c>
      <c r="N1783" s="23" t="n">
        <v>2016</v>
      </c>
      <c r="O1783" s="23" t="n">
        <v>76</v>
      </c>
      <c r="P1783" s="23" t="n"/>
      <c r="Q1783" s="23" t="n"/>
      <c r="R1783" s="25" t="inlineStr">
        <is>
          <t>Адвокат Ник Кеннеди сталкивается с необходимостью позировать для календаря, который создается с благотворительной целью, почти обнаженным. Но отказать в просьбе членам семьи он не может. Он приходит на съемку, едва свыкнувшись с мыслью о неотвратимости происходящего, и обнаруживает, что фотограф Эс Джей Томпсон, от которого он получил несколько писем, вовсе не мужчина, как он ошибочно предположил, а привлекательная молодая женщина. Ситуация осложняется еще и тем, что впервые за несколько лет уеди­ненного образа жизни его влечет к ней с невероятной и необъяснимой силой. Готов ли он к новым отношениям? Или боль, поселившаяся в сердце после пережитого, все еще сильна, как и страх совершить новую ошибку?</t>
        </is>
      </c>
      <c r="S1783" s="26">
        <f>HYPERLINK("http://www.cnpol.ru/covers/16920.jpg","фото на сайте")</f>
        <v/>
      </c>
    </row>
    <row r="1784" ht="50.1" customHeight="1" s="3">
      <c r="A1784" s="23" t="n"/>
      <c r="B1784" s="24" t="inlineStr">
        <is>
          <t>20640</t>
        </is>
      </c>
      <c r="C1784" s="23" t="inlineStr">
        <is>
          <t>ЛР СО</t>
        </is>
      </c>
      <c r="D1784" s="23" t="inlineStr">
        <is>
          <t>Пэмми Т.</t>
        </is>
      </c>
      <c r="E1784" s="23" t="inlineStr">
        <is>
          <t>Возрожденная страсть</t>
        </is>
      </c>
      <c r="F1784" s="23" t="n">
        <v>427</v>
      </c>
      <c r="G1784" s="23" t="n">
        <v>102</v>
      </c>
      <c r="H1784" s="23" t="n">
        <v>10</v>
      </c>
      <c r="I1784" s="23" t="n">
        <v>30</v>
      </c>
      <c r="J1784" s="23" t="inlineStr">
        <is>
          <t>978-5-227-10245-4</t>
        </is>
      </c>
      <c r="K1784" s="23" t="inlineStr">
        <is>
          <t>70x100 1/32</t>
        </is>
      </c>
      <c r="L1784" s="23" t="inlineStr">
        <is>
          <t>мяг</t>
        </is>
      </c>
      <c r="M1784" s="23" t="n">
        <v>159</v>
      </c>
      <c r="N1784" s="23" t="n">
        <v>2023</v>
      </c>
      <c r="O1784" s="23" t="n">
        <v>76</v>
      </c>
      <c r="P1784" s="23" t="n"/>
      <c r="Q1784" s="23" t="n"/>
      <c r="R1784" s="25" t="inlineStr">
        <is>
          <t>Эни Рааваль всегда верила звездам. Они никогда ее не подводили. И в тот день, когда астрологический прогноз пообещал ей сказочные перемены в жизни, она смело шагнула навстречу своим желаниям и оказалась в страстных объятиях потрясающе красивого незнакомца. Эни кажется, что Саймон ее истинная судьба. Однако мрачная тайна, которая мучает женщину больше десяти лет, не позволяет ей быть по­настоящему счастливой…</t>
        </is>
      </c>
      <c r="S1784" s="26">
        <f>HYPERLINK("http://www.cnpol.ru/covers/20640.jpg","фото на сайте")</f>
        <v/>
      </c>
    </row>
    <row r="1785" ht="50.1" customHeight="1" s="3">
      <c r="A1785" s="23" t="n"/>
      <c r="B1785" s="24" t="inlineStr">
        <is>
          <t>16349</t>
        </is>
      </c>
      <c r="C1785" s="23" t="inlineStr">
        <is>
          <t>ЛР СО</t>
        </is>
      </c>
      <c r="D1785" s="23" t="inlineStr">
        <is>
          <t>Мейнард Д.</t>
        </is>
      </c>
      <c r="E1785" s="23" t="inlineStr">
        <is>
          <t>Волшебная встреча</t>
        </is>
      </c>
      <c r="F1785" s="23" t="n">
        <v>143</v>
      </c>
      <c r="G1785" s="23" t="n">
        <v>102</v>
      </c>
      <c r="H1785" s="23" t="n">
        <v>10</v>
      </c>
      <c r="I1785" s="23" t="n">
        <v>30</v>
      </c>
      <c r="J1785" s="23" t="inlineStr">
        <is>
          <t>978-5-227-06254-3</t>
        </is>
      </c>
      <c r="K1785" s="23" t="inlineStr">
        <is>
          <t>70x100 1/32</t>
        </is>
      </c>
      <c r="L1785" s="23" t="inlineStr">
        <is>
          <t>мяг</t>
        </is>
      </c>
      <c r="M1785" s="23" t="n">
        <v>158</v>
      </c>
      <c r="N1785" s="23" t="n">
        <v>2015</v>
      </c>
      <c r="O1785" s="23" t="n">
        <v>76</v>
      </c>
      <c r="P1785" s="23" t="n"/>
      <c r="Q1785" s="23" t="n"/>
      <c r="R1785" s="25" t="inlineStr">
        <is>
          <t>Лео Кавалло вынужден ненадолго оставить бизнес и поселиться в небольшом доме у подножия гор. Местный воздух и удаление от города должны помочь ему восстановить здоровье. Работа для него на первом месте, а здесь, в горах, нет даже Интернета. Единственным утешением ему становится хозяйка дома — молодая и одинокая Фиби…</t>
        </is>
      </c>
      <c r="S1785" s="26">
        <f>HYPERLINK("http://www.cnpol.ru/covers/16349.jpg","фото на сайте")</f>
        <v/>
      </c>
    </row>
    <row r="1786" ht="50.1" customHeight="1" s="3">
      <c r="A1786" s="23" t="n"/>
      <c r="B1786" s="24" t="inlineStr">
        <is>
          <t>17380</t>
        </is>
      </c>
      <c r="C1786" s="23" t="inlineStr">
        <is>
          <t>ЛР СО</t>
        </is>
      </c>
      <c r="D1786" s="23" t="inlineStr">
        <is>
          <t>Блейк М.</t>
        </is>
      </c>
      <c r="E1786" s="23" t="inlineStr">
        <is>
          <t>Волшебная сила любви</t>
        </is>
      </c>
      <c r="F1786" s="23" t="n">
        <v>212</v>
      </c>
      <c r="G1786" s="23" t="n">
        <v>102</v>
      </c>
      <c r="H1786" s="23" t="n">
        <v>10</v>
      </c>
      <c r="I1786" s="23" t="n">
        <v>30</v>
      </c>
      <c r="J1786" s="23" t="inlineStr">
        <is>
          <t>978-5-227-07432-4</t>
        </is>
      </c>
      <c r="K1786" s="23" t="inlineStr">
        <is>
          <t>70x100 1/32</t>
        </is>
      </c>
      <c r="L1786" s="23" t="inlineStr">
        <is>
          <t>мяг</t>
        </is>
      </c>
      <c r="M1786" s="23" t="n">
        <v>160</v>
      </c>
      <c r="N1786" s="23" t="n">
        <v>2017</v>
      </c>
      <c r="O1786" s="23" t="n">
        <v>76</v>
      </c>
      <c r="P1786" s="23" t="n"/>
      <c r="Q1786" s="23" t="n"/>
      <c r="R1786" s="25" t="n"/>
      <c r="S1786" s="26">
        <f>HYPERLINK("http://www.cnpol.ru/covers/17380.jpg","фото на сайте")</f>
        <v/>
      </c>
    </row>
    <row r="1787" ht="50.1" customHeight="1" s="3">
      <c r="A1787" s="23" t="n"/>
      <c r="B1787" s="24" t="inlineStr">
        <is>
          <t>17412</t>
        </is>
      </c>
      <c r="C1787" s="23" t="inlineStr">
        <is>
          <t>ЛР СО</t>
        </is>
      </c>
      <c r="D1787" s="23" t="inlineStr">
        <is>
          <t>Брок Э.</t>
        </is>
      </c>
      <c r="E1787" s="23" t="inlineStr">
        <is>
          <t>Волшебное время для двоих</t>
        </is>
      </c>
      <c r="F1787" s="23" t="n">
        <v>214</v>
      </c>
      <c r="G1787" s="23" t="n">
        <v>102</v>
      </c>
      <c r="H1787" s="23" t="n">
        <v>10</v>
      </c>
      <c r="I1787" s="23" t="n">
        <v>30</v>
      </c>
      <c r="J1787" s="23" t="inlineStr">
        <is>
          <t>978-5-227-07457-7</t>
        </is>
      </c>
      <c r="K1787" s="23" t="inlineStr">
        <is>
          <t>70x100 1/32</t>
        </is>
      </c>
      <c r="L1787" s="23" t="inlineStr">
        <is>
          <t>мяг</t>
        </is>
      </c>
      <c r="M1787" s="23" t="n">
        <v>160</v>
      </c>
      <c r="N1787" s="23" t="n">
        <v>2017</v>
      </c>
      <c r="O1787" s="23" t="n">
        <v>76</v>
      </c>
      <c r="P1787" s="23" t="n"/>
      <c r="Q1787" s="23" t="n"/>
      <c r="R1787" s="25" t="inlineStr">
        <is>
          <t>Бизнес­леди Изабель Спайсер, собираясь воплотить в жизнь деловой проект, обращается за помощью к миллиардеру Орландо Кассано. Но вместо того чтобы сосредоточиться на работе, она погрузилась в пучину страсти, забыв обо всем. Каково же было удивление Изабель, когда она узнала, что всего лишь одна прекрасная ночь с незабываемым мужчиной положила конец ее прежним планам.</t>
        </is>
      </c>
      <c r="S1787" s="26">
        <f>HYPERLINK("http://www.cnpol.ru/covers/17412.jpg","фото на сайте")</f>
        <v/>
      </c>
    </row>
    <row r="1788" ht="50.1" customHeight="1" s="3">
      <c r="A1788" s="23" t="n"/>
      <c r="B1788" s="24" t="inlineStr">
        <is>
          <t>18834</t>
        </is>
      </c>
      <c r="C1788" s="23" t="inlineStr">
        <is>
          <t>ЛР СО</t>
        </is>
      </c>
      <c r="D1788" s="23" t="inlineStr">
        <is>
          <t>Чайлд М.</t>
        </is>
      </c>
      <c r="E1788" s="23" t="inlineStr">
        <is>
          <t>Волшебство его ласк</t>
        </is>
      </c>
      <c r="F1788" s="23" t="n">
        <v>321</v>
      </c>
      <c r="G1788" s="23" t="n">
        <v>102</v>
      </c>
      <c r="H1788" s="23" t="n">
        <v>10</v>
      </c>
      <c r="I1788" s="23" t="n">
        <v>30</v>
      </c>
      <c r="J1788" s="23" t="inlineStr">
        <is>
          <t>978-5-227-08702-7</t>
        </is>
      </c>
      <c r="K1788" s="23" t="inlineStr">
        <is>
          <t>70x100 1/32</t>
        </is>
      </c>
      <c r="L1788" s="23" t="inlineStr">
        <is>
          <t>мяг</t>
        </is>
      </c>
      <c r="M1788" s="23" t="n">
        <v>160</v>
      </c>
      <c r="N1788" s="23" t="n">
        <v>2019</v>
      </c>
      <c r="O1788" s="23" t="n">
        <v>76</v>
      </c>
      <c r="P1788" s="23" t="n"/>
      <c r="Q1788" s="23" t="n"/>
      <c r="R1788" s="25" t="inlineStr">
        <is>
          <t>Владелец компании по производству игрушек Уэсли Джексон готовит слияние с крупной корпорацией. Но сделка срывается, когда аноним распространяет в Интернете сведения о том, что у Уэсли есть дочь. Уэсли решает найти своего ребенка и женщину, бросившую его пять лет назад…</t>
        </is>
      </c>
      <c r="S1788" s="26">
        <f>HYPERLINK("http://www.cnpol.ru/covers/18834.jpg","фото на сайте")</f>
        <v/>
      </c>
    </row>
    <row r="1789" ht="50.1" customHeight="1" s="3">
      <c r="A1789" s="23" t="n"/>
      <c r="B1789" s="24" t="inlineStr">
        <is>
          <t>16775</t>
        </is>
      </c>
      <c r="C1789" s="23" t="inlineStr">
        <is>
          <t>ЛР СО</t>
        </is>
      </c>
      <c r="D1789" s="23" t="inlineStr">
        <is>
          <t>Селмер М.</t>
        </is>
      </c>
      <c r="E1789" s="23" t="inlineStr">
        <is>
          <t>Воплощение греха</t>
        </is>
      </c>
      <c r="F1789" s="23" t="n">
        <v>171</v>
      </c>
      <c r="G1789" s="23" t="n">
        <v>102</v>
      </c>
      <c r="H1789" s="23" t="n">
        <v>10</v>
      </c>
      <c r="I1789" s="23" t="n">
        <v>30</v>
      </c>
      <c r="J1789" s="23" t="inlineStr">
        <is>
          <t>978-5-227-06746-3</t>
        </is>
      </c>
      <c r="K1789" s="23" t="inlineStr">
        <is>
          <t>70x100 1/32</t>
        </is>
      </c>
      <c r="L1789" s="23" t="inlineStr">
        <is>
          <t>мяг</t>
        </is>
      </c>
      <c r="M1789" s="23" t="n">
        <v>160</v>
      </c>
      <c r="N1789" s="23" t="n">
        <v>2016</v>
      </c>
      <c r="O1789" s="23" t="n">
        <v>76</v>
      </c>
      <c r="P1789" s="23" t="n"/>
      <c r="Q1789" s="23" t="n"/>
      <c r="R1789" s="25" t="inlineStr">
        <is>
          <t>Джереми умирает от передозировки наркотиков, оставив жену Холли, сыновей­близнецов и огромный долг. У Холли нет денег и работы, ее вместе с грудными детьми вот­вот выселят из квартиры, и что делать дальше – совершенно непонятно. Когда она совсем уже отчаялась, на пороге ее дома появляется настолько неожиданный гость, что она теряет сознание от потрясения…</t>
        </is>
      </c>
      <c r="S1789" s="26">
        <f>HYPERLINK("http://www.cnpol.ru/covers/16775.jpg","фото на сайте")</f>
        <v/>
      </c>
    </row>
    <row r="1790" ht="50.1" customHeight="1" s="3">
      <c r="A1790" s="23" t="n"/>
      <c r="B1790" s="24" t="inlineStr">
        <is>
          <t>17477</t>
        </is>
      </c>
      <c r="C1790" s="23" t="inlineStr">
        <is>
          <t>ЛР СО</t>
        </is>
      </c>
      <c r="D1790" s="23" t="inlineStr">
        <is>
          <t>Беннет Д.</t>
        </is>
      </c>
      <c r="E1790" s="23" t="inlineStr">
        <is>
          <t>Воспламенить былые чувства</t>
        </is>
      </c>
      <c r="F1790" s="23" t="n">
        <v>220</v>
      </c>
      <c r="G1790" s="23" t="n">
        <v>102</v>
      </c>
      <c r="H1790" s="23" t="n">
        <v>10</v>
      </c>
      <c r="I1790" s="23" t="n">
        <v>30</v>
      </c>
      <c r="J1790" s="23" t="inlineStr">
        <is>
          <t>978-5-227-07480-5</t>
        </is>
      </c>
      <c r="K1790" s="23" t="inlineStr">
        <is>
          <t>70x100 1/32</t>
        </is>
      </c>
      <c r="L1790" s="23" t="inlineStr">
        <is>
          <t>мяг</t>
        </is>
      </c>
      <c r="M1790" s="23" t="n">
        <v>160</v>
      </c>
      <c r="N1790" s="23" t="n">
        <v>2017</v>
      </c>
      <c r="O1790" s="23" t="n">
        <v>76</v>
      </c>
      <c r="P1790" s="23" t="n"/>
      <c r="Q1790" s="23" t="n"/>
      <c r="R1790" s="25" t="inlineStr">
        <is>
          <t>Райкер Барретт попал в семью О’Ши еще в детстве. Это означает, что он не имеет права увлекаться своей «младшей сестрой» Лейни, которая с годами из забавной маленькой девочки, с которой он прекрасно проводил время, превратилась в красивую и стройную брюнетку. Райкер отчаянно пытается сдерживать свои чувства, но с каждым днем ему все труднее закрывать глаза на обоюдное влечение. Внезапная командировка сводит Райкера и Лейни в одном номере отеля… Получится ли у них противостоять напору страсти?</t>
        </is>
      </c>
      <c r="S1790" s="26">
        <f>HYPERLINK("http://www.cnpol.ru/covers/17477.jpg","фото на сайте")</f>
        <v/>
      </c>
    </row>
    <row r="1791" ht="50.1" customHeight="1" s="3">
      <c r="A1791" s="23" t="n"/>
      <c r="B1791" s="24" t="inlineStr">
        <is>
          <t>18940</t>
        </is>
      </c>
      <c r="C1791" s="23" t="inlineStr">
        <is>
          <t>ЛР СО</t>
        </is>
      </c>
      <c r="D1791" s="23" t="inlineStr">
        <is>
          <t>Андерсон С.</t>
        </is>
      </c>
      <c r="E1791" s="23" t="inlineStr">
        <is>
          <t>Враги у свадебной арки</t>
        </is>
      </c>
      <c r="F1791" s="23" t="n">
        <v>331</v>
      </c>
      <c r="G1791" s="23" t="n">
        <v>102</v>
      </c>
      <c r="H1791" s="23" t="n">
        <v>10</v>
      </c>
      <c r="I1791" s="23" t="n">
        <v>30</v>
      </c>
      <c r="J1791" s="23" t="inlineStr">
        <is>
          <t>978-5-227-08797-3</t>
        </is>
      </c>
      <c r="K1791" s="23" t="inlineStr">
        <is>
          <t>70x100 1/32</t>
        </is>
      </c>
      <c r="L1791" s="23" t="inlineStr">
        <is>
          <t>мяг</t>
        </is>
      </c>
      <c r="M1791" s="23" t="n">
        <v>160</v>
      </c>
      <c r="N1791" s="23" t="n">
        <v>2019</v>
      </c>
      <c r="O1791" s="23" t="n">
        <v>76</v>
      </c>
      <c r="P1791" s="23" t="n"/>
      <c r="Q1791" s="23" t="n"/>
      <c r="R1791" s="25" t="inlineStr">
        <is>
          <t>Дочь владельца Родео Хлоя получает право управлять компанией отца. У нее много идей, но работники не слушают ее. Ей на помощь приходит Пит Веллингтон, статный, мужественный сын бывшего владельца Родео. Он задумал отнять у Хлои то, что принадлежало его семье, но судьба преподносит сюрпризы...</t>
        </is>
      </c>
      <c r="S1791" s="26">
        <f>HYPERLINK("http://www.cnpol.ru/covers/18940.jpg","фото на сайте")</f>
        <v/>
      </c>
    </row>
    <row r="1792" ht="50.1" customHeight="1" s="3">
      <c r="A1792" s="23" t="n"/>
      <c r="B1792" s="24" t="inlineStr">
        <is>
          <t>16157</t>
        </is>
      </c>
      <c r="C1792" s="23" t="inlineStr">
        <is>
          <t>ЛР СО</t>
        </is>
      </c>
      <c r="D1792" s="23" t="inlineStr">
        <is>
          <t>Харрис Л.Р.</t>
        </is>
      </c>
      <c r="E1792" s="23" t="inlineStr">
        <is>
          <t>Временная жена</t>
        </is>
      </c>
      <c r="F1792" s="23" t="n">
        <v>130</v>
      </c>
      <c r="G1792" s="23" t="n">
        <v>102</v>
      </c>
      <c r="H1792" s="23" t="n">
        <v>10</v>
      </c>
      <c r="I1792" s="23" t="n">
        <v>30</v>
      </c>
      <c r="J1792" s="23" t="inlineStr">
        <is>
          <t>978-5-227-06113-3</t>
        </is>
      </c>
      <c r="K1792" s="23" t="inlineStr">
        <is>
          <t>70x100 1/32</t>
        </is>
      </c>
      <c r="L1792" s="23" t="inlineStr">
        <is>
          <t>мяг</t>
        </is>
      </c>
      <c r="M1792" s="23" t="n">
        <v>158</v>
      </c>
      <c r="N1792" s="23" t="n">
        <v>2015</v>
      </c>
      <c r="O1792" s="23" t="n">
        <v>76</v>
      </c>
      <c r="P1792" s="23" t="n"/>
      <c r="Q1792" s="23" t="n"/>
      <c r="R1792" s="25" t="inlineStr">
        <is>
          <t>Эмили четыре года проработала личным ассистентом принца Кадира, миллионера и любимца женщин. Отец Кадира, король Заид, находится при смерти и хочет, чтобы Кадир сел на трон. Однако молодой принц вовсе не хочет править страной и готов сделать все, лишь бы не стать следующим королем. И помочь ему в этом может только Эмили.</t>
        </is>
      </c>
      <c r="S1792" s="26">
        <f>HYPERLINK("http://www.cnpol.ru/covers/16157.jpg","фото на сайте")</f>
        <v/>
      </c>
    </row>
    <row r="1793" ht="50.1" customHeight="1" s="3">
      <c r="A1793" s="23" t="n"/>
      <c r="B1793" s="24" t="inlineStr">
        <is>
          <t>17642</t>
        </is>
      </c>
      <c r="C1793" s="23" t="inlineStr">
        <is>
          <t>ЛР СО</t>
        </is>
      </c>
      <c r="D1793" s="23" t="inlineStr">
        <is>
          <t>Мейнард Д.</t>
        </is>
      </c>
      <c r="E1793" s="23" t="inlineStr">
        <is>
          <t>Все равно будешь моей</t>
        </is>
      </c>
      <c r="F1793" s="23" t="n">
        <v>232</v>
      </c>
      <c r="G1793" s="23" t="n">
        <v>102</v>
      </c>
      <c r="H1793" s="23" t="n">
        <v>10</v>
      </c>
      <c r="I1793" s="23" t="n">
        <v>30</v>
      </c>
      <c r="J1793" s="23" t="inlineStr">
        <is>
          <t>978-5-227-07686-1</t>
        </is>
      </c>
      <c r="K1793" s="23" t="inlineStr">
        <is>
          <t>70x100 1/32</t>
        </is>
      </c>
      <c r="L1793" s="23" t="inlineStr">
        <is>
          <t>мяг</t>
        </is>
      </c>
      <c r="M1793" s="23" t="n">
        <v>160</v>
      </c>
      <c r="N1793" s="23" t="n">
        <v>2017</v>
      </c>
      <c r="O1793" s="23" t="n">
        <v>76</v>
      </c>
      <c r="P1793" s="23" t="n"/>
      <c r="Q1793" s="23" t="n"/>
      <c r="R1793" s="25" t="inlineStr">
        <is>
          <t>Чемпион по лыжным гонкам Кристофер Каванах после серьезной травмы вынужден прервать свою карьеру и вернуться в родной городок Силвер­Глен. Он рассчитывает на полное спокойствие, которое позволило бы ему восстановиться. Но случайно Кристофер встречает Элли, свою бывшую возлюбленную, которая когда­то сильно ранила его чувства. Кристофер даже не предполагал, что она вернется в Силвер­Глен. Былые чувства вспыхнули вновь, как бы он ни пытался убедить себя в полном их отсутствии. Но Элли уже не та бойкая девушка, какой была раньше: после гибели мужа она изменилась. К тому же у нее на руках остался маленький ребенок…</t>
        </is>
      </c>
      <c r="S1793" s="26">
        <f>HYPERLINK("http://www.cnpol.ru/covers/17642.jpg","фото на сайте")</f>
        <v/>
      </c>
    </row>
    <row r="1794" ht="50.1" customHeight="1" s="3">
      <c r="A1794" s="23" t="n"/>
      <c r="B1794" s="24" t="inlineStr">
        <is>
          <t>16847</t>
        </is>
      </c>
      <c r="C1794" s="23" t="inlineStr">
        <is>
          <t>ЛР СО</t>
        </is>
      </c>
      <c r="D1794" s="23" t="inlineStr">
        <is>
          <t>Лоренс К.</t>
        </is>
      </c>
      <c r="E1794" s="23" t="inlineStr">
        <is>
          <t>Все ради одной ночи</t>
        </is>
      </c>
      <c r="F1794" s="23" t="n">
        <v>175</v>
      </c>
      <c r="G1794" s="23" t="n">
        <v>102</v>
      </c>
      <c r="H1794" s="23" t="n">
        <v>10</v>
      </c>
      <c r="I1794" s="23" t="n">
        <v>30</v>
      </c>
      <c r="J1794" s="23" t="inlineStr">
        <is>
          <t>978-5-227-06794-4</t>
        </is>
      </c>
      <c r="K1794" s="23" t="inlineStr">
        <is>
          <t>70x100 1/32</t>
        </is>
      </c>
      <c r="L1794" s="23" t="inlineStr">
        <is>
          <t>мяг</t>
        </is>
      </c>
      <c r="M1794" s="23" t="n">
        <v>160</v>
      </c>
      <c r="N1794" s="23" t="n">
        <v>2016</v>
      </c>
      <c r="O1794" s="23" t="n">
        <v>76</v>
      </c>
      <c r="P1794" s="23" t="n"/>
      <c r="Q1794" s="23" t="n"/>
      <c r="R1794" s="25" t="inlineStr">
        <is>
          <t>Стоило лишь незаметной Лили Грей однажды взглянуть на элегантного красавца Бенедикта Ворендера, как она сразу же поняла, что безнадежно пропала. Волею случая они сталкиваются вновь, и эта встреча дарит им незабываемые воспоминания о ночи любви. Кроме того, у них появляется общий секрет, который раз и навсегда изменит их жизнь…</t>
        </is>
      </c>
      <c r="S1794" s="26">
        <f>HYPERLINK("http://www.cnpol.ru/covers/16847.jpg","фото на сайте")</f>
        <v/>
      </c>
    </row>
    <row r="1795" ht="50.1" customHeight="1" s="3">
      <c r="A1795" s="23" t="n"/>
      <c r="B1795" s="24" t="inlineStr">
        <is>
          <t>19015</t>
        </is>
      </c>
      <c r="C1795" s="23" t="inlineStr">
        <is>
          <t>ЛР СО</t>
        </is>
      </c>
      <c r="D1795" s="23" t="inlineStr">
        <is>
          <t>Вуд Джосс</t>
        </is>
      </c>
      <c r="E1795" s="23" t="inlineStr">
        <is>
          <t>Всегда быть рядом</t>
        </is>
      </c>
      <c r="F1795" s="23" t="n">
        <v>339</v>
      </c>
      <c r="G1795" s="23" t="n">
        <v>102</v>
      </c>
      <c r="H1795" s="23" t="n">
        <v>10</v>
      </c>
      <c r="I1795" s="23" t="n">
        <v>30</v>
      </c>
      <c r="J1795" s="23" t="inlineStr">
        <is>
          <t>978-5-227-08916-8</t>
        </is>
      </c>
      <c r="K1795" s="23" t="inlineStr">
        <is>
          <t>70x100 1/32</t>
        </is>
      </c>
      <c r="L1795" s="23" t="inlineStr">
        <is>
          <t>мяг</t>
        </is>
      </c>
      <c r="M1795" s="23" t="n">
        <v>160</v>
      </c>
      <c r="N1795" s="23" t="n">
        <v>2020</v>
      </c>
      <c r="O1795" s="23" t="n">
        <v>76</v>
      </c>
      <c r="P1795" s="23" t="n"/>
      <c r="Q1795" s="23" t="n"/>
      <c r="R1795" s="25" t="inlineStr">
        <is>
          <t>Многолетняя вражда бабушки и дедушки однажды не позволила юным влюбленным Дэниелу Клейтону и Алексис Слэйд пожениться. Через десять лет они по­прежнему увлечены друг другом, поэтому решаются тайком ото всех встречаться, чтобы утолить страсть. Однако  вряд ли они предполагали, что последствия их необдуманного шага будут именно такими…</t>
        </is>
      </c>
      <c r="S1795" s="26">
        <f>HYPERLINK("http://www.cnpol.ru/covers/19015.jpg","фото на сайте")</f>
        <v/>
      </c>
    </row>
    <row r="1796" ht="50.1" customHeight="1" s="3">
      <c r="A1796" s="23" t="n"/>
      <c r="B1796" s="24" t="inlineStr">
        <is>
          <t>20894</t>
        </is>
      </c>
      <c r="C1796" s="23" t="inlineStr">
        <is>
          <t>ЛР СО</t>
        </is>
      </c>
      <c r="D1796" s="23" t="inlineStr">
        <is>
          <t>Уильямс А.</t>
        </is>
      </c>
      <c r="E1796" s="23" t="inlineStr">
        <is>
          <t>Всего неделя на страсть</t>
        </is>
      </c>
      <c r="F1796" s="23" t="n">
        <v>436</v>
      </c>
      <c r="G1796" s="23" t="n">
        <v>102</v>
      </c>
      <c r="H1796" s="23" t="n">
        <v>10</v>
      </c>
      <c r="I1796" s="23" t="n">
        <v>30</v>
      </c>
      <c r="J1796" s="23" t="inlineStr">
        <is>
          <t>978-5-227-10375-8</t>
        </is>
      </c>
      <c r="K1796" s="23" t="inlineStr">
        <is>
          <t>70x100 1/32</t>
        </is>
      </c>
      <c r="L1796" s="23" t="inlineStr">
        <is>
          <t>мяг</t>
        </is>
      </c>
      <c r="M1796" s="23" t="n">
        <v>159</v>
      </c>
      <c r="N1796" s="23" t="n">
        <v>2023</v>
      </c>
      <c r="O1796" s="23" t="n">
        <v>76</v>
      </c>
      <c r="P1796" s="23" t="n"/>
      <c r="Q1796" s="23" t="n"/>
      <c r="R1796" s="25" t="inlineStr">
        <is>
          <t>Нико и Грейс давно работают вместе. Казалось бы, люди, которые видят друг друга каждый день, должны быть близки, но все не так просто. Для их отношений есть множество препятствий. Но внезапно у Нико умирает дядя, и они с Грейс отправляются на остров, чтобы решить некоторые проблемы. Вот только эта поездка для каждого закончится по-разному…</t>
        </is>
      </c>
      <c r="S1796" s="26">
        <f>HYPERLINK("http://www.cnpol.ru/covers/20894.jpg","фото на сайте")</f>
        <v/>
      </c>
    </row>
    <row r="1797" ht="50.1" customHeight="1" s="3">
      <c r="A1797" s="23" t="n"/>
      <c r="B1797" s="24" t="inlineStr">
        <is>
          <t>19882</t>
        </is>
      </c>
      <c r="C1797" s="23" t="inlineStr">
        <is>
          <t>ЛР СО</t>
        </is>
      </c>
      <c r="D1797" s="23" t="inlineStr">
        <is>
          <t>Даркинс Э.</t>
        </is>
      </c>
      <c r="E1797" s="23" t="inlineStr">
        <is>
          <t>Вспышка забытых чувств</t>
        </is>
      </c>
      <c r="F1797" s="23" t="n">
        <v>386</v>
      </c>
      <c r="G1797" s="23" t="n">
        <v>102</v>
      </c>
      <c r="H1797" s="23" t="n">
        <v>10</v>
      </c>
      <c r="I1797" s="23" t="n">
        <v>30</v>
      </c>
      <c r="J1797" s="23" t="inlineStr">
        <is>
          <t>978-5-227-09508-4</t>
        </is>
      </c>
      <c r="K1797" s="23" t="inlineStr">
        <is>
          <t>70x100 1/32</t>
        </is>
      </c>
      <c r="L1797" s="23" t="inlineStr">
        <is>
          <t>мяг</t>
        </is>
      </c>
      <c r="M1797" s="23" t="n">
        <v>159</v>
      </c>
      <c r="N1797" s="23" t="n">
        <v>2021</v>
      </c>
      <c r="O1797" s="23" t="n">
        <v>76</v>
      </c>
      <c r="P1797" s="23" t="n"/>
      <c r="Q1797" s="23" t="n"/>
      <c r="R1797" s="25" t="inlineStr">
        <is>
          <t>После страшной аварии Мина потеряла ребенка. И как будто мало такой беды, ее мучили провалы в памяти. Увидев на морском пляже Гая Уильямса, Мина не узнала его, а ведь он когда­то занимал в ее сердце особое место. И все же ее терзало смутное ощущение, что­то знакомое чудилось ей в этом мужчине.  Семь лет Гай считал, что Мина его бросила. И только теперь, когда узнал об аварии, стал догадываться, почему  любимая девушка так внезапно исчезла из его жизни. Сотни раз он повторял себе, что не нужно пытаться вернуть прошлое, но сердце не подчинялось разуму…</t>
        </is>
      </c>
      <c r="S1797" s="26">
        <f>HYPERLINK("http://www.cnpol.ru/covers/19882.jpg","фото на сайте")</f>
        <v/>
      </c>
    </row>
    <row r="1798" ht="50.1" customHeight="1" s="3">
      <c r="A1798" s="23" t="n"/>
      <c r="B1798" s="24" t="inlineStr">
        <is>
          <t>16227</t>
        </is>
      </c>
      <c r="C1798" s="23" t="inlineStr">
        <is>
          <t>ЛР СО</t>
        </is>
      </c>
      <c r="D1798" s="23" t="inlineStr">
        <is>
          <t>Линдсей И.</t>
        </is>
      </c>
      <c r="E1798" s="23" t="inlineStr">
        <is>
          <t>Встретимся вновь</t>
        </is>
      </c>
      <c r="F1798" s="23" t="n">
        <v>136</v>
      </c>
      <c r="G1798" s="23" t="n">
        <v>102</v>
      </c>
      <c r="H1798" s="23" t="n">
        <v>10</v>
      </c>
      <c r="I1798" s="23" t="n">
        <v>30</v>
      </c>
      <c r="J1798" s="23" t="inlineStr">
        <is>
          <t>978-5-227-06167-6</t>
        </is>
      </c>
      <c r="K1798" s="23" t="inlineStr">
        <is>
          <t>70x100 1/32</t>
        </is>
      </c>
      <c r="L1798" s="23" t="inlineStr">
        <is>
          <t>мяг</t>
        </is>
      </c>
      <c r="M1798" s="23" t="n">
        <v>158</v>
      </c>
      <c r="N1798" s="23" t="n">
        <v>2015</v>
      </c>
      <c r="O1798" s="23" t="n">
        <v>76</v>
      </c>
      <c r="P1798" s="23" t="n"/>
      <c r="Q1798" s="23" t="n"/>
      <c r="R1798" s="25" t="inlineStr">
        <is>
          <t>Ронин Маршалл и Элисон Картер провели ночь на Гавайях и внезапно расстались, не зная, что вскоре встретятся вновь при трагических обстоятельствах. Они вынуждены взять под опеку осиротевшего племянника Ронина. Сумеет ли он убедить Эли в том, что она нужна ему больше всего на свете? Ведь тайна, которую она так тщательно скрывает, не позволит им воплотить в жизнь мечту о большой и дружной семье…</t>
        </is>
      </c>
      <c r="S1798" s="26">
        <f>HYPERLINK("http://www.cnpol.ru/covers/16227.jpg","фото на сайте")</f>
        <v/>
      </c>
    </row>
    <row r="1799" ht="50.1" customHeight="1" s="3">
      <c r="A1799" s="23" t="n"/>
      <c r="B1799" s="24" t="inlineStr">
        <is>
          <t>20162</t>
        </is>
      </c>
      <c r="C1799" s="23" t="inlineStr">
        <is>
          <t>ЛР СО</t>
        </is>
      </c>
      <c r="D1799" s="23" t="inlineStr">
        <is>
          <t>Даркинс Э.</t>
        </is>
      </c>
      <c r="E1799" s="23" t="inlineStr">
        <is>
          <t>Второе дыхание любви</t>
        </is>
      </c>
      <c r="F1799" s="23" t="n">
        <v>401</v>
      </c>
      <c r="G1799" s="23" t="n">
        <v>102</v>
      </c>
      <c r="H1799" s="23" t="n">
        <v>10</v>
      </c>
      <c r="I1799" s="23" t="n">
        <v>30</v>
      </c>
      <c r="J1799" s="23" t="inlineStr">
        <is>
          <t>978-5-227-09830-6</t>
        </is>
      </c>
      <c r="K1799" s="23" t="inlineStr">
        <is>
          <t>70x100 1/32</t>
        </is>
      </c>
      <c r="L1799" s="23" t="inlineStr">
        <is>
          <t>мяг</t>
        </is>
      </c>
      <c r="M1799" s="23" t="n">
        <v>159</v>
      </c>
      <c r="N1799" s="23" t="n">
        <v>2022</v>
      </c>
      <c r="O1799" s="23" t="n">
        <v>76</v>
      </c>
      <c r="P1799" s="23" t="n"/>
      <c r="Q1799" s="23" t="n"/>
      <c r="R1799" s="25" t="inlineStr">
        <is>
          <t>Уволенная по сокращению штата, журналистка Маделейн Эверли никак не может найти новую работу. Поэтому, когда лучший друг ее брата Фннн Холтон предлагает ей стать временной няней его детей, она без раздумий соглашается. Внезапно ее начинает влечь к мужчине, которого она знает много лет, но разведенный отец-одиночка не готов к новым отношениям.</t>
        </is>
      </c>
      <c r="S1799" s="26">
        <f>HYPERLINK("http://www.cnpol.ru/covers/20162.jpg","фото на сайте")</f>
        <v/>
      </c>
    </row>
    <row r="1800" ht="50.1" customHeight="1" s="3">
      <c r="A1800" s="23" t="n"/>
      <c r="B1800" s="24" t="inlineStr">
        <is>
          <t>20297</t>
        </is>
      </c>
      <c r="C1800" s="23" t="inlineStr">
        <is>
          <t>ЛР СО</t>
        </is>
      </c>
      <c r="D1800" s="23" t="inlineStr">
        <is>
          <t>Сэндс Ч.</t>
        </is>
      </c>
      <c r="E1800" s="23" t="inlineStr">
        <is>
          <t>Второй шанс для плейбоя</t>
        </is>
      </c>
      <c r="F1800" s="23" t="n">
        <v>406</v>
      </c>
      <c r="G1800" s="23" t="n">
        <v>102</v>
      </c>
      <c r="H1800" s="23" t="n">
        <v>10</v>
      </c>
      <c r="I1800" s="23" t="n">
        <v>30</v>
      </c>
      <c r="J1800" s="23" t="inlineStr">
        <is>
          <t>978-5-227-09928-0</t>
        </is>
      </c>
      <c r="K1800" s="23" t="inlineStr">
        <is>
          <t>70x100 1/32</t>
        </is>
      </c>
      <c r="L1800" s="23" t="inlineStr">
        <is>
          <t>мяг</t>
        </is>
      </c>
      <c r="M1800" s="23" t="n">
        <v>159</v>
      </c>
      <c r="N1800" s="23" t="n">
        <v>2022</v>
      </c>
      <c r="O1800" s="23" t="n">
        <v>76</v>
      </c>
      <c r="P1800" s="23" t="n"/>
      <c r="Q1800" s="23" t="n"/>
      <c r="R1800" s="25" t="inlineStr">
        <is>
          <t>Харпер Доун достигла успеха в профессии: она талантливый шеф-повар. Но в личной жизни ей не везет. Отчаявшись найти любимого в своем окружении, она решается на участие в реалити-шоу «Последний шанс». Но там ее ожидает настоящий провал, когда она отказывается выйти замуж за героя шоу, любимца телезрителей. Осуждаемая фанатами и преследуемая папарацци, она скрывается в деревенском домике своей подруги – в горах у озера. Однако вскоре Харпер обнаруживает, что в этом домике она находится не одна. Туда приехал красавец Кейд Тримэйн, которого тоже мучают свои личные проблемы…</t>
        </is>
      </c>
      <c r="S1800" s="26">
        <f>HYPERLINK("http://www.cnpol.ru/covers/20297.jpg","фото на сайте")</f>
        <v/>
      </c>
    </row>
    <row r="1801" ht="50.1" customHeight="1" s="3">
      <c r="A1801" s="23" t="n"/>
      <c r="B1801" s="24" t="inlineStr">
        <is>
          <t>17712</t>
        </is>
      </c>
      <c r="C1801" s="23" t="inlineStr">
        <is>
          <t>ЛР СО</t>
        </is>
      </c>
      <c r="D1801" s="23" t="inlineStr">
        <is>
          <t>Уайтфезер Ш.</t>
        </is>
      </c>
      <c r="E1801" s="23" t="inlineStr">
        <is>
          <t>Вулкан страсти</t>
        </is>
      </c>
      <c r="F1801" s="23" t="n">
        <v>238</v>
      </c>
      <c r="G1801" s="23" t="n">
        <v>102</v>
      </c>
      <c r="H1801" s="23" t="n">
        <v>10</v>
      </c>
      <c r="I1801" s="23" t="n">
        <v>30</v>
      </c>
      <c r="J1801" s="23" t="inlineStr">
        <is>
          <t>978-5-227-07711-0</t>
        </is>
      </c>
      <c r="K1801" s="23" t="inlineStr">
        <is>
          <t>70x100 1/32</t>
        </is>
      </c>
      <c r="L1801" s="23" t="inlineStr">
        <is>
          <t>мяг</t>
        </is>
      </c>
      <c r="M1801" s="23" t="n">
        <v>160</v>
      </c>
      <c r="N1801" s="23" t="n">
        <v>2017</v>
      </c>
      <c r="O1801" s="23" t="n">
        <v>76</v>
      </c>
      <c r="P1801" s="23" t="n"/>
      <c r="Q1801" s="23" t="n"/>
      <c r="R1801" s="25" t="inlineStr">
        <is>
          <t>Направляясь на собеседование, Меган Куинн сильно нервничает, и это неудивительно. Ведь она только что досрочно освободилась из тюрьмы, а работу ей предложил Гаррет Сноу — бывший владелец фирмы, деньги которой она когда­то присвоила. Для ­Меган остается загадкой, почему человек, чьим доверием она зло­употребила, решил дать ей второй шанс...</t>
        </is>
      </c>
      <c r="S1801" s="26">
        <f>HYPERLINK("http://www.cnpol.ru/covers/17712.jpg","фото на сайте")</f>
        <v/>
      </c>
    </row>
    <row r="1802" ht="50.1" customHeight="1" s="3">
      <c r="A1802" s="23" t="n"/>
      <c r="B1802" s="24" t="inlineStr">
        <is>
          <t>16809</t>
        </is>
      </c>
      <c r="C1802" s="23" t="inlineStr">
        <is>
          <t>ЛР СО</t>
        </is>
      </c>
      <c r="D1802" s="23" t="inlineStr">
        <is>
          <t>Чайлд М.</t>
        </is>
      </c>
      <c r="E1802" s="23" t="inlineStr">
        <is>
          <t>Глаза цвета страсти</t>
        </is>
      </c>
      <c r="F1802" s="23" t="n">
        <v>173</v>
      </c>
      <c r="G1802" s="23" t="n">
        <v>102</v>
      </c>
      <c r="H1802" s="23" t="n">
        <v>10</v>
      </c>
      <c r="I1802" s="23" t="n">
        <v>30</v>
      </c>
      <c r="J1802" s="23" t="inlineStr">
        <is>
          <t>978-5-227-06792-0</t>
        </is>
      </c>
      <c r="K1802" s="23" t="inlineStr">
        <is>
          <t>70x100 1/32</t>
        </is>
      </c>
      <c r="L1802" s="23" t="inlineStr">
        <is>
          <t>мяг</t>
        </is>
      </c>
      <c r="M1802" s="23" t="n">
        <v>160</v>
      </c>
      <c r="N1802" s="23" t="n">
        <v>2016</v>
      </c>
      <c r="O1802" s="23" t="n">
        <v>76</v>
      </c>
      <c r="P1802" s="23" t="n"/>
      <c r="Q1802" s="23" t="n"/>
      <c r="R1802" s="25" t="inlineStr">
        <is>
          <t>Эйне Донован собирается отстоять древний замок, который новый владелец решил превратить в декорацию к своим видеоиграм. Чего она никак не ожидала, так это влечения к своему противнику, Брейди Финну. Они оба не устояли перед соблазном, и одной ночи оказалось достаточно, чтобы Эйне не только забеременела, но и влюбилась в него. Вот только Брейди, похоже, не нужны ни любовь, ни ребенок…</t>
        </is>
      </c>
      <c r="S1802" s="26">
        <f>HYPERLINK("http://www.cnpol.ru/covers/16809.jpg","фото на сайте")</f>
        <v/>
      </c>
    </row>
    <row r="1803" ht="50.1" customHeight="1" s="3">
      <c r="A1803" s="23" t="n"/>
      <c r="B1803" s="24" t="inlineStr">
        <is>
          <t>15273</t>
        </is>
      </c>
      <c r="C1803" s="23" t="inlineStr">
        <is>
          <t>ЛР СО</t>
        </is>
      </c>
      <c r="D1803" s="23" t="inlineStr">
        <is>
          <t>Беннет Д.</t>
        </is>
      </c>
      <c r="E1803" s="23" t="inlineStr">
        <is>
          <t>Голливудская мечта</t>
        </is>
      </c>
      <c r="F1803" s="23" t="n">
        <v>70</v>
      </c>
      <c r="G1803" s="23" t="n">
        <v>102</v>
      </c>
      <c r="H1803" s="23" t="n">
        <v>10</v>
      </c>
      <c r="I1803" s="23" t="n">
        <v>30</v>
      </c>
      <c r="J1803" s="23" t="inlineStr">
        <is>
          <t>978-5-227-05263-6</t>
        </is>
      </c>
      <c r="K1803" s="23" t="inlineStr">
        <is>
          <t>70x100 1/32</t>
        </is>
      </c>
      <c r="L1803" s="23" t="inlineStr">
        <is>
          <t>мяг</t>
        </is>
      </c>
      <c r="M1803" s="23" t="n">
        <v>158</v>
      </c>
      <c r="N1803" s="23" t="n">
        <v>2014</v>
      </c>
      <c r="O1803" s="23" t="n">
        <v>78</v>
      </c>
      <c r="P1803" s="23" t="n"/>
      <c r="Q1803" s="23" t="n"/>
      <c r="R1803" s="25" t="inlineStr">
        <is>
          <t>Келли — простая девушка из Канзаса, мечтающая стать звездой Голливуда. Приехав в Лос­Анджелес, она устраивается на работу в офис лучшего пластического хирурга в городе Ноя Фостера, а через некоторое время получает свою первую роль в кино. И вот, когда ее мечта так близка к исполнению, она попадает в автокатастрофу…</t>
        </is>
      </c>
      <c r="S1803" s="26">
        <f>HYPERLINK("http://www.cnpol.ru/covers/15273.jpg","фото на сайте")</f>
        <v/>
      </c>
    </row>
    <row r="1804" ht="50.1" customHeight="1" s="3">
      <c r="A1804" s="23" t="n"/>
      <c r="B1804" s="24" t="inlineStr">
        <is>
          <t>18676</t>
        </is>
      </c>
      <c r="C1804" s="23" t="inlineStr">
        <is>
          <t>ЛР СО</t>
        </is>
      </c>
      <c r="D1804" s="23" t="inlineStr">
        <is>
          <t>Даймон Х</t>
        </is>
      </c>
      <c r="E1804" s="23" t="inlineStr">
        <is>
          <t>Губительная сила желания</t>
        </is>
      </c>
      <c r="F1804" s="23" t="n">
        <v>308</v>
      </c>
      <c r="G1804" s="23" t="n">
        <v>102</v>
      </c>
      <c r="H1804" s="23" t="n">
        <v>10</v>
      </c>
      <c r="I1804" s="23" t="n">
        <v>30</v>
      </c>
      <c r="J1804" s="23" t="inlineStr">
        <is>
          <t>978-5-227-08553-5</t>
        </is>
      </c>
      <c r="K1804" s="23" t="inlineStr">
        <is>
          <t>70x100 1/32</t>
        </is>
      </c>
      <c r="L1804" s="23" t="inlineStr">
        <is>
          <t>мяг</t>
        </is>
      </c>
      <c r="M1804" s="23" t="n">
        <v>160</v>
      </c>
      <c r="N1804" s="23" t="n">
        <v>2019</v>
      </c>
      <c r="O1804" s="23" t="n">
        <v>78</v>
      </c>
      <c r="P1804" s="23" t="n"/>
      <c r="Q1804" s="23" t="n"/>
      <c r="R1804" s="25" t="inlineStr">
        <is>
          <t>Ханна Уайлд на протяжении долгого времени старается держаться подальше от семейства Джеймсон, которое когда-то знала и которое принесло много горечи ей самой и ее родным. Волею судьбы она снова оказывается в поместье своих врагов, чтобы узнать правду о гибели отца. Между ней и младшим наследником этой состоятельной семьи, Картером, вспыхивает страсть. Узнав ужасные тайны Джеймсонов, Ханна встает перед выбором: промолчать и сохранить отношения с Картером или рассказать правду…</t>
        </is>
      </c>
      <c r="S1804" s="26">
        <f>HYPERLINK("http://www.cnpol.ru/covers/18676.jpg","фото на сайте")</f>
        <v/>
      </c>
    </row>
    <row r="1805" ht="50.1" customHeight="1" s="3">
      <c r="A1805" s="23" t="n"/>
      <c r="B1805" s="24" t="inlineStr">
        <is>
          <t>17726</t>
        </is>
      </c>
      <c r="C1805" s="23" t="inlineStr">
        <is>
          <t>ЛР СО</t>
        </is>
      </c>
      <c r="D1805" s="23" t="inlineStr">
        <is>
          <t>Андерсон С.</t>
        </is>
      </c>
      <c r="E1805" s="23" t="inlineStr">
        <is>
          <t>Даже не думай соблазнить</t>
        </is>
      </c>
      <c r="F1805" s="23" t="n">
        <v>239</v>
      </c>
      <c r="G1805" s="23" t="n">
        <v>102</v>
      </c>
      <c r="H1805" s="23" t="n">
        <v>10</v>
      </c>
      <c r="I1805" s="23" t="n">
        <v>30</v>
      </c>
      <c r="J1805" s="23" t="inlineStr">
        <is>
          <t>978-5-227-07728-8</t>
        </is>
      </c>
      <c r="K1805" s="23" t="inlineStr">
        <is>
          <t>70x100 1/32</t>
        </is>
      </c>
      <c r="L1805" s="23" t="inlineStr">
        <is>
          <t>мяг</t>
        </is>
      </c>
      <c r="M1805" s="23" t="n">
        <v>160</v>
      </c>
      <c r="N1805" s="23" t="n">
        <v>2017</v>
      </c>
      <c r="O1805" s="23" t="n">
        <v>76</v>
      </c>
      <c r="P1805" s="23" t="n"/>
      <c r="Q1805" s="23" t="n"/>
      <c r="R1805" s="25" t="inlineStr">
        <is>
          <t>Бобби и Стелла провели месте чудесную страстную ночь, которая могла бы дать начало их отношениям. Если бы не одно "но"… Стелла очень зависима от мнения своего властного отца, и так получилось, что Бобби - главный его конкурент. Решив, что быстро забудет Бобби, Стелла уходит от него… И вскоре понимает, что беременна. Узнав эту новость, Бобби  решает сделать Стелле предложение. Только убедить ее в правильности этого решения ему совсем не просто…</t>
        </is>
      </c>
      <c r="S1805" s="26">
        <f>HYPERLINK("http://www.cnpol.ru/covers/17726.jpg","фото на сайте")</f>
        <v/>
      </c>
    </row>
    <row r="1806" ht="50.1" customHeight="1" s="3">
      <c r="A1806" s="23" t="n"/>
      <c r="B1806" s="24" t="inlineStr">
        <is>
          <t>17209</t>
        </is>
      </c>
      <c r="C1806" s="23" t="inlineStr">
        <is>
          <t>ЛР СО</t>
        </is>
      </c>
      <c r="D1806" s="23" t="inlineStr">
        <is>
          <t>Шоу Ш.</t>
        </is>
      </c>
      <c r="E1806" s="23" t="inlineStr">
        <is>
          <t>Два скандала и одна свадьба</t>
        </is>
      </c>
      <c r="F1806" s="23" t="n">
        <v>200</v>
      </c>
      <c r="G1806" s="23" t="n">
        <v>102</v>
      </c>
      <c r="H1806" s="23" t="n">
        <v>10</v>
      </c>
      <c r="I1806" s="23" t="n">
        <v>30</v>
      </c>
      <c r="J1806" s="23" t="inlineStr">
        <is>
          <t>978-5-227-07214-6</t>
        </is>
      </c>
      <c r="K1806" s="23" t="inlineStr">
        <is>
          <t>70x100 1/32</t>
        </is>
      </c>
      <c r="L1806" s="23" t="inlineStr">
        <is>
          <t>мяг</t>
        </is>
      </c>
      <c r="M1806" s="23" t="n">
        <v>160</v>
      </c>
      <c r="N1806" s="23" t="n">
        <v>2016</v>
      </c>
      <c r="O1806" s="23" t="n">
        <v>76</v>
      </c>
      <c r="P1806" s="23" t="n"/>
      <c r="Q1806" s="23" t="n"/>
      <c r="R1806" s="25" t="inlineStr">
        <is>
          <t>Их, еще ничего не знающих друг о друге, связала ночь любви в Лондоне. Мина Харт не догадывалась, что судьба столкнула ее с ­Акселем Торесеном, принцем маленького северного княжества Сторвхал. Аксель обвинил ее в том, чего она не совершала. Пылая негодованием, Мина отправилась вслед за ним, чтобы объясниться, и поняла, что влюбилась в Ледяного Принца, как прозвали его подданные…</t>
        </is>
      </c>
      <c r="S1806" s="26">
        <f>HYPERLINK("http://www.cnpol.ru/covers/17209.jpg","фото на сайте")</f>
        <v/>
      </c>
    </row>
    <row r="1807" ht="50.1" customHeight="1" s="3">
      <c r="A1807" s="23" t="n"/>
      <c r="B1807" s="24" t="inlineStr">
        <is>
          <t>18639</t>
        </is>
      </c>
      <c r="C1807" s="23" t="inlineStr">
        <is>
          <t>ЛР СО</t>
        </is>
      </c>
      <c r="D1807" s="23" t="inlineStr">
        <is>
          <t>Чайлд М.</t>
        </is>
      </c>
      <c r="E1807" s="23" t="inlineStr">
        <is>
          <t>Две недели на любовь</t>
        </is>
      </c>
      <c r="F1807" s="23" t="n">
        <v>305</v>
      </c>
      <c r="G1807" s="23" t="n">
        <v>102</v>
      </c>
      <c r="H1807" s="23" t="n">
        <v>10</v>
      </c>
      <c r="I1807" s="23" t="n">
        <v>30</v>
      </c>
      <c r="J1807" s="23" t="inlineStr">
        <is>
          <t>978-5-227-08517-7</t>
        </is>
      </c>
      <c r="K1807" s="23" t="inlineStr">
        <is>
          <t>70x100 1/32</t>
        </is>
      </c>
      <c r="L1807" s="23" t="inlineStr">
        <is>
          <t>мяг</t>
        </is>
      </c>
      <c r="M1807" s="23" t="n">
        <v>160</v>
      </c>
      <c r="N1807" s="23" t="n">
        <v>2019</v>
      </c>
      <c r="O1807" s="23" t="n">
        <v>78</v>
      </c>
      <c r="P1807" s="23" t="n"/>
      <c r="Q1807" s="23" t="n"/>
      <c r="R1807" s="25" t="inlineStr">
        <is>
          <t>После неудачного брака Сиенна Уэст разочаровывается в мужчинах и полностью посвящает себя работе. Но когда в ее доме появляется брат ее бывшего мужа Адам Куинн и просит ее помочь ему с осиротевшим племянником, она соглашается. Адам всегда ей нравился, к тому же речь идет всего лишь о двух неделях. Сиенна даже не подозревает, что за это короткое время ее жизнь изменится навсегда…</t>
        </is>
      </c>
      <c r="S1807" s="26">
        <f>HYPERLINK("http://www.cnpol.ru/covers/18639.jpg","фото на сайте")</f>
        <v/>
      </c>
    </row>
    <row r="1808" ht="50.1" customHeight="1" s="3">
      <c r="A1808" s="23" t="n"/>
      <c r="B1808" s="24" t="inlineStr">
        <is>
          <t>18524</t>
        </is>
      </c>
      <c r="C1808" s="23" t="inlineStr">
        <is>
          <t>ЛР СО</t>
        </is>
      </c>
      <c r="D1808" s="23" t="inlineStr">
        <is>
          <t>Данлоп Б.</t>
        </is>
      </c>
      <c r="E1808" s="23" t="inlineStr">
        <is>
          <t>Двенадцать ночей искушения</t>
        </is>
      </c>
      <c r="F1808" s="23" t="n">
        <v>296</v>
      </c>
      <c r="G1808" s="23" t="n">
        <v>102</v>
      </c>
      <c r="H1808" s="23" t="n">
        <v>10</v>
      </c>
      <c r="I1808" s="23" t="n">
        <v>30</v>
      </c>
      <c r="J1808" s="23" t="inlineStr">
        <is>
          <t>978-5-227-08419-4</t>
        </is>
      </c>
      <c r="K1808" s="23" t="inlineStr">
        <is>
          <t>70x100 1/32</t>
        </is>
      </c>
      <c r="L1808" s="23" t="inlineStr">
        <is>
          <t>мяг</t>
        </is>
      </c>
      <c r="M1808" s="23" t="n">
        <v>160</v>
      </c>
      <c r="N1808" s="23" t="n">
        <v>2019</v>
      </c>
      <c r="O1808" s="23" t="n">
        <v>74</v>
      </c>
      <c r="P1808" s="23" t="n"/>
      <c r="Q1808" s="23" t="n"/>
      <c r="R1808" s="25" t="inlineStr">
        <is>
          <t>После тяжелого развода Мэтт Эмерсон долго приходит в себя. Он встречается с красивыми утонченными женщинами, однако ни одна из них не вызывает у него серьезного интереса. Но как только он начинает общаться с механиком Ташу Лоуэлл, которая обслуживает его яхты, то сразу проникается к ней искренней симпатией. Но как долго продлится это увлечение?</t>
        </is>
      </c>
      <c r="S1808" s="26">
        <f>HYPERLINK("http://www.cnpol.ru/covers/18524.jpg","фото на сайте")</f>
        <v/>
      </c>
    </row>
    <row r="1809" ht="50.1" customHeight="1" s="3">
      <c r="A1809" s="23" t="n"/>
      <c r="B1809" s="24" t="inlineStr">
        <is>
          <t>19103</t>
        </is>
      </c>
      <c r="C1809" s="23" t="inlineStr">
        <is>
          <t>ЛР СО</t>
        </is>
      </c>
      <c r="D1809" s="23" t="inlineStr">
        <is>
          <t>Эванс К.</t>
        </is>
      </c>
      <c r="E1809" s="23" t="inlineStr">
        <is>
          <t>Для нас нет невозможного</t>
        </is>
      </c>
      <c r="F1809" s="23" t="n">
        <v>344</v>
      </c>
      <c r="G1809" s="23" t="n">
        <v>102</v>
      </c>
      <c r="H1809" s="23" t="n">
        <v>10</v>
      </c>
      <c r="I1809" s="23" t="n">
        <v>30</v>
      </c>
      <c r="J1809" s="23" t="inlineStr">
        <is>
          <t>978-5-227-08944-1</t>
        </is>
      </c>
      <c r="K1809" s="23" t="inlineStr">
        <is>
          <t>70x100 1/32</t>
        </is>
      </c>
      <c r="L1809" s="23" t="inlineStr">
        <is>
          <t>мяг</t>
        </is>
      </c>
      <c r="M1809" s="23" t="n">
        <v>160</v>
      </c>
      <c r="N1809" s="23" t="n">
        <v>2020</v>
      </c>
      <c r="O1809" s="23" t="n">
        <v>76</v>
      </c>
      <c r="P1809" s="23" t="n"/>
      <c r="Q1809" s="23" t="n"/>
      <c r="R1809" s="25" t="inlineStr">
        <is>
          <t>Александра Крофт, молодая и энергичная девушка, может рассчитывать в жизни только на себя: у нее нет богатых родственников и влиятельных покровителей. Всего, что у нее есть, она добилась сама. А у нее есть работа ее мечты в крупной компании. Ее начальник по­отечески опекает и поддерживает свою талантливую сотрудницу. Но на безоблачном небе начинают сгущаться черные тучи, когда место прежнего начальника занимает его молодой, неопытный, но очень амбициозный сын. Он поразительно красив, и, на первый взгляд, это его единственное достоинство. Александра чувствует, что ее карьера под угрозой…</t>
        </is>
      </c>
      <c r="S1809" s="26">
        <f>HYPERLINK("http://www.cnpol.ru/covers/19103.jpg","фото на сайте")</f>
        <v/>
      </c>
    </row>
    <row r="1810" ht="50.1" customHeight="1" s="3">
      <c r="A1810" s="23" t="n"/>
      <c r="B1810" s="24" t="inlineStr">
        <is>
          <t>17903</t>
        </is>
      </c>
      <c r="C1810" s="23" t="inlineStr">
        <is>
          <t>ЛР СО</t>
        </is>
      </c>
      <c r="D1810" s="23" t="inlineStr">
        <is>
          <t>Чайлд М.</t>
        </is>
      </c>
      <c r="E1810" s="23" t="inlineStr">
        <is>
          <t>Добавь огня этой ночи</t>
        </is>
      </c>
      <c r="F1810" s="23" t="n">
        <v>252</v>
      </c>
      <c r="G1810" s="23" t="n">
        <v>102</v>
      </c>
      <c r="H1810" s="23" t="n">
        <v>10</v>
      </c>
      <c r="I1810" s="23" t="n">
        <v>30</v>
      </c>
      <c r="J1810" s="23" t="inlineStr">
        <is>
          <t>978-5-227-07996-1</t>
        </is>
      </c>
      <c r="K1810" s="23" t="inlineStr">
        <is>
          <t>70x100 1/32</t>
        </is>
      </c>
      <c r="L1810" s="23" t="inlineStr">
        <is>
          <t>мяг</t>
        </is>
      </c>
      <c r="M1810" s="23" t="n">
        <v>160</v>
      </c>
      <c r="N1810" s="23" t="n">
        <v>2018</v>
      </c>
      <c r="O1810" s="23" t="n">
        <v>76</v>
      </c>
      <c r="P1810" s="23" t="n"/>
      <c r="Q1810" s="23" t="n"/>
      <c r="R1810" s="25" t="inlineStr">
        <is>
          <t>Дизайнер Клара Маршалл знакомится с привлекательным ­мужчиной и проводит с ним страстную ночь. Ей кажется, что она встретила любовь всей своей жизни, однако Майк, узнав, что Клара племянница его конкурента, обвиняет девушку в шпионаже и разрывает отношения. Спустя полгода Клара принимает предложение поработать над интересным проектом для фирмы, занимающейся разработкой компьютерных игр, но неожиданно выясняется, что ее новый босс - Майк!..</t>
        </is>
      </c>
      <c r="S1810" s="26">
        <f>HYPERLINK("http://www.cnpol.ru/covers/17903.jpg","фото на сайте")</f>
        <v/>
      </c>
    </row>
    <row r="1811" ht="50.1" customHeight="1" s="3">
      <c r="A1811" s="23" t="n"/>
      <c r="B1811" s="24" t="inlineStr">
        <is>
          <t>18585</t>
        </is>
      </c>
      <c r="C1811" s="23" t="inlineStr">
        <is>
          <t>ЛР СО</t>
        </is>
      </c>
      <c r="D1811" s="23" t="inlineStr">
        <is>
          <t>Эйтс М.</t>
        </is>
      </c>
      <c r="E1811" s="23" t="inlineStr">
        <is>
          <t>Добейся меня, герой</t>
        </is>
      </c>
      <c r="F1811" s="23" t="n">
        <v>302</v>
      </c>
      <c r="G1811" s="23" t="n">
        <v>102</v>
      </c>
      <c r="H1811" s="23" t="n">
        <v>10</v>
      </c>
      <c r="I1811" s="23" t="n">
        <v>30</v>
      </c>
      <c r="J1811" s="23" t="inlineStr">
        <is>
          <t>978-5-227-08514-6</t>
        </is>
      </c>
      <c r="K1811" s="23" t="inlineStr">
        <is>
          <t>70x100 1/32</t>
        </is>
      </c>
      <c r="L1811" s="23" t="inlineStr">
        <is>
          <t>мяг</t>
        </is>
      </c>
      <c r="M1811" s="23" t="n">
        <v>160</v>
      </c>
      <c r="N1811" s="23" t="n">
        <v>2019</v>
      </c>
      <c r="O1811" s="23" t="n">
        <v>78</v>
      </c>
      <c r="P1811" s="23" t="n"/>
      <c r="Q1811" s="23" t="n"/>
      <c r="R1811" s="25" t="inlineStr">
        <is>
          <t>Джошуа Грейсон, успешный бизнесмен и убежденный холостяк, возмущен тем, что отец решил искать для него жену через объявление в газете. Он подает в газету другое объявление, о поиске неправильной жены. Его план состоит в том, чтобы представить родителям абсолютно неприемлемую кандидатуру и тем самым дать понять отцу, что не надо вмешиваться в жизнь сына. На его объявление откликается Даниэль Келли, весьма подходящая кандидатура для роли «неправильной жены». Несмотря на это, вскоре Джошуа понимает, что его великолепный план рухнул…</t>
        </is>
      </c>
      <c r="S1811" s="26">
        <f>HYPERLINK("http://www.cnpol.ru/covers/18585.jpg","фото на сайте")</f>
        <v/>
      </c>
    </row>
    <row r="1812" ht="50.1" customHeight="1" s="3">
      <c r="A1812" s="23" t="n"/>
      <c r="B1812" s="24" t="inlineStr">
        <is>
          <t>17119</t>
        </is>
      </c>
      <c r="C1812" s="23" t="inlineStr">
        <is>
          <t>ЛР СО</t>
        </is>
      </c>
      <c r="D1812" s="23" t="inlineStr">
        <is>
          <t>Мейнард Д.</t>
        </is>
      </c>
      <c r="E1812" s="23" t="inlineStr">
        <is>
          <t>Дразнящие ласки</t>
        </is>
      </c>
      <c r="F1812" s="23" t="n">
        <v>195</v>
      </c>
      <c r="G1812" s="23" t="n">
        <v>102</v>
      </c>
      <c r="H1812" s="23" t="n">
        <v>10</v>
      </c>
      <c r="I1812" s="23" t="n">
        <v>30</v>
      </c>
      <c r="J1812" s="23" t="inlineStr">
        <is>
          <t>978-5-227-07125-5</t>
        </is>
      </c>
      <c r="K1812" s="23" t="inlineStr">
        <is>
          <t>70x100 1/32</t>
        </is>
      </c>
      <c r="L1812" s="23" t="inlineStr">
        <is>
          <t>мяг</t>
        </is>
      </c>
      <c r="M1812" s="23" t="n">
        <v>160</v>
      </c>
      <c r="N1812" s="23" t="n">
        <v>2016</v>
      </c>
      <c r="O1812" s="23" t="n">
        <v>76</v>
      </c>
      <c r="P1812" s="23" t="n"/>
      <c r="Q1812" s="23" t="n"/>
      <c r="R1812" s="25" t="inlineStr">
        <is>
          <t>Кэссиди Корелли не встречалась с мужчинами до Гэвина Каванаха. После страстной ночи в Лас­Вегасе она поняла, что беременна. Из­за скандала с отцом Кэссиди вынуждена снова встретиться с Гэвином. Он не верит ей и требует сделать тест на отцовство...</t>
        </is>
      </c>
      <c r="S1812" s="26">
        <f>HYPERLINK("http://www.cnpol.ru/covers/17119.jpg","фото на сайте")</f>
        <v/>
      </c>
    </row>
    <row r="1813" ht="50.1" customHeight="1" s="3">
      <c r="A1813" s="23" t="n"/>
      <c r="B1813" s="24" t="inlineStr">
        <is>
          <t>20713</t>
        </is>
      </c>
      <c r="C1813" s="23" t="inlineStr">
        <is>
          <t>ЛР СО</t>
        </is>
      </c>
      <c r="D1813" s="23" t="inlineStr">
        <is>
          <t>Стюарт Р.</t>
        </is>
      </c>
      <c r="E1813" s="23" t="inlineStr">
        <is>
          <t>Дуэт пылающих сердец</t>
        </is>
      </c>
      <c r="F1813" s="23" t="n">
        <v>430</v>
      </c>
      <c r="G1813" s="23" t="n">
        <v>102</v>
      </c>
      <c r="H1813" s="23" t="n">
        <v>10</v>
      </c>
      <c r="I1813" s="23" t="n">
        <v>30</v>
      </c>
      <c r="J1813" s="23" t="inlineStr">
        <is>
          <t>978-5-227-10308-6</t>
        </is>
      </c>
      <c r="K1813" s="23" t="inlineStr">
        <is>
          <t>70x100 1/32</t>
        </is>
      </c>
      <c r="L1813" s="23" t="inlineStr">
        <is>
          <t>мяг</t>
        </is>
      </c>
      <c r="M1813" s="23" t="n">
        <v>159</v>
      </c>
      <c r="N1813" s="23" t="n">
        <v>2023</v>
      </c>
      <c r="O1813" s="23" t="n">
        <v>76</v>
      </c>
      <c r="P1813" s="23" t="n"/>
      <c r="Q1813" s="23" t="n"/>
      <c r="R1813" s="25" t="inlineStr">
        <is>
          <t>Бри Йоханссон сбежала из большого города, чтобы исцелить разбитое сердце работой в деревенской пекарне. В доме тетушки она чувствует себя уютно и привольно. Она считает, что романтические отношения теперь не для нее, пока в их глубинке не появляется известный миллиардер-сердцеед Тео Дюбуа, и Бри понимает, что не только ее маффины и пирожные горячие и сладкие. Красавец, словно сошедший с обложки журнала, пленит кого угодно, однако интригующе циничен в отношении любви...</t>
        </is>
      </c>
      <c r="S1813" s="26">
        <f>HYPERLINK("http://www.cnpol.ru/covers/20713.jpg","фото на сайте")</f>
        <v/>
      </c>
    </row>
    <row r="1814" ht="50.1" customHeight="1" s="3">
      <c r="A1814" s="23" t="n"/>
      <c r="B1814" s="24" t="inlineStr">
        <is>
          <t>19527</t>
        </is>
      </c>
      <c r="C1814" s="23" t="inlineStr">
        <is>
          <t>ЛР СО</t>
        </is>
      </c>
      <c r="D1814" s="23" t="inlineStr">
        <is>
          <t>Беннет Д.</t>
        </is>
      </c>
      <c r="E1814" s="23" t="inlineStr">
        <is>
          <t>Его жадные объятия</t>
        </is>
      </c>
      <c r="F1814" s="23" t="n">
        <v>367</v>
      </c>
      <c r="G1814" s="23" t="n">
        <v>102</v>
      </c>
      <c r="H1814" s="23" t="n">
        <v>10</v>
      </c>
      <c r="I1814" s="23" t="n">
        <v>30</v>
      </c>
      <c r="J1814" s="23" t="inlineStr">
        <is>
          <t>978-5-227-09157-4</t>
        </is>
      </c>
      <c r="K1814" s="23" t="inlineStr">
        <is>
          <t>70x100 1/32</t>
        </is>
      </c>
      <c r="L1814" s="23" t="inlineStr">
        <is>
          <t>мяг</t>
        </is>
      </c>
      <c r="M1814" s="23" t="n">
        <v>160</v>
      </c>
      <c r="N1814" s="23" t="n">
        <v>2021</v>
      </c>
      <c r="O1814" s="23" t="n">
        <v>76</v>
      </c>
      <c r="P1814" s="23" t="n"/>
      <c r="Q1814" s="23" t="n"/>
      <c r="R1814" s="25" t="inlineStr">
        <is>
          <t>Впервые за долгое время Алексе представилась возможность отдохнуть. И пока ее обожаемый малыш побудет под присмотром лучшей подруги, Алекса поживет в хорошем отеле, полюбуется природой и даже научится верховой езде. В отеле она знакомится с наследником огромного состояния Хейсом Элиотом, красивым, но мрачноватым ковбоем. Молодых людей сразу потянуло друг к другу. Сильный шторм стал причиной того, что Алекса и Хейс оказались в его доме отрезанными от всего мира и не смогли сопротивляться охватившей их страсти. В объятиях друг друга они были по­настоящему счастливы, но оба по разным причинам сомневаются в том, что у них может быть совместное будущее…</t>
        </is>
      </c>
      <c r="S1814" s="26">
        <f>HYPERLINK("http://www.cnpol.ru/covers/19527.jpg","фото на сайте")</f>
        <v/>
      </c>
    </row>
    <row r="1815" ht="50.1" customHeight="1" s="3">
      <c r="A1815" s="23" t="n"/>
      <c r="B1815" s="24" t="inlineStr">
        <is>
          <t>20050</t>
        </is>
      </c>
      <c r="C1815" s="23" t="inlineStr">
        <is>
          <t>ЛР СО</t>
        </is>
      </c>
      <c r="D1815" s="23" t="inlineStr">
        <is>
          <t>Райс Х.</t>
        </is>
      </c>
      <c r="E1815" s="23" t="inlineStr">
        <is>
          <t>Его неукротимая муза</t>
        </is>
      </c>
      <c r="F1815" s="23" t="n">
        <v>396</v>
      </c>
      <c r="G1815" s="23" t="n">
        <v>102</v>
      </c>
      <c r="H1815" s="23" t="n">
        <v>10</v>
      </c>
      <c r="I1815" s="23" t="n">
        <v>30</v>
      </c>
      <c r="J1815" s="23" t="inlineStr">
        <is>
          <t>978-5-227-09692-0</t>
        </is>
      </c>
      <c r="K1815" s="23" t="inlineStr">
        <is>
          <t>70x100 1/32</t>
        </is>
      </c>
      <c r="L1815" s="23" t="inlineStr">
        <is>
          <t>мяг</t>
        </is>
      </c>
      <c r="M1815" s="23" t="n">
        <v>159</v>
      </c>
      <c r="N1815" s="23" t="n">
        <v>2022</v>
      </c>
      <c r="O1815" s="23" t="n">
        <v>76</v>
      </c>
      <c r="P1815" s="23" t="n"/>
      <c r="Q1815" s="23" t="n"/>
      <c r="R1815" s="25" t="inlineStr">
        <is>
          <t>Касси Джеймс по заданию своего босса отправляется в США – шпионить за миллиардером Люком Бруссаром. Она должна выяснить, можно ли вкладывать деньги в компанию Люка. Но судьба распоряжается иначе, и Касси, потеряв голову, становится любовницей Бруссара.</t>
        </is>
      </c>
      <c r="S1815" s="26">
        <f>HYPERLINK("http://www.cnpol.ru/covers/20050.jpg","фото на сайте")</f>
        <v/>
      </c>
    </row>
    <row r="1816" ht="50.1" customHeight="1" s="3">
      <c r="A1816" s="23" t="n"/>
      <c r="B1816" s="24" t="inlineStr">
        <is>
          <t>19646</t>
        </is>
      </c>
      <c r="C1816" s="23" t="inlineStr">
        <is>
          <t>ЛР СО</t>
        </is>
      </c>
      <c r="D1816" s="23" t="inlineStr">
        <is>
          <t>Эванс К.</t>
        </is>
      </c>
      <c r="E1816" s="23" t="inlineStr">
        <is>
          <t>Единственная и незаменимая</t>
        </is>
      </c>
      <c r="F1816" s="23" t="n">
        <v>375</v>
      </c>
      <c r="G1816" s="23" t="n">
        <v>102</v>
      </c>
      <c r="H1816" s="23" t="n">
        <v>10</v>
      </c>
      <c r="I1816" s="23" t="n">
        <v>30</v>
      </c>
      <c r="J1816" s="23" t="inlineStr">
        <is>
          <t>978-5-227-09277-9</t>
        </is>
      </c>
      <c r="K1816" s="23" t="inlineStr">
        <is>
          <t>70x100 1/32</t>
        </is>
      </c>
      <c r="L1816" s="23" t="inlineStr">
        <is>
          <t>мяг</t>
        </is>
      </c>
      <c r="M1816" s="23" t="n">
        <v>160</v>
      </c>
      <c r="N1816" s="23" t="n">
        <v>2021</v>
      </c>
      <c r="O1816" s="23" t="n">
        <v>76</v>
      </c>
      <c r="P1816" s="23" t="n"/>
      <c r="Q1816" s="23" t="n"/>
      <c r="R1816" s="25" t="inlineStr">
        <is>
          <t>Не в силах терпеть постоянные придирки со стороны своего босса Уильяма Уокера, Индия Кроули увольняется с работы. К ее удивлению, через несколько дней Уильям  предлагает ей вернуться, поскольку он не может в одиночку управляться с делами и присматривать за новорожденной племянницей. Индия соглашается, поскольку речь идет всего о двух неделях, но внезапно вспыхнувшая страсть между ней и Уильямом переворачивает с ног на голову их планы.</t>
        </is>
      </c>
      <c r="S1816" s="26">
        <f>HYPERLINK("http://www.cnpol.ru/covers/19646.jpg","фото на сайте")</f>
        <v/>
      </c>
    </row>
    <row r="1817" ht="50.1" customHeight="1" s="3">
      <c r="A1817" s="23" t="n"/>
      <c r="B1817" s="24" t="inlineStr">
        <is>
          <t>18500</t>
        </is>
      </c>
      <c r="C1817" s="23" t="inlineStr">
        <is>
          <t>ЛР СО</t>
        </is>
      </c>
      <c r="D1817" s="23" t="inlineStr">
        <is>
          <t>Рок Джоанна</t>
        </is>
      </c>
      <c r="E1817" s="23" t="inlineStr">
        <is>
          <t>Ее сердце - главная мишень</t>
        </is>
      </c>
      <c r="F1817" s="23" t="n">
        <v>294</v>
      </c>
      <c r="G1817" s="23" t="n">
        <v>102</v>
      </c>
      <c r="H1817" s="23" t="n">
        <v>10</v>
      </c>
      <c r="I1817" s="23" t="n">
        <v>30</v>
      </c>
      <c r="J1817" s="23" t="inlineStr">
        <is>
          <t>978-5-227-08417-0</t>
        </is>
      </c>
      <c r="K1817" s="23" t="inlineStr">
        <is>
          <t>70x100 1/32</t>
        </is>
      </c>
      <c r="L1817" s="23" t="inlineStr">
        <is>
          <t>мяг</t>
        </is>
      </c>
      <c r="M1817" s="23" t="n">
        <v>160</v>
      </c>
      <c r="N1817" s="23" t="n">
        <v>2019</v>
      </c>
      <c r="O1817" s="23" t="n">
        <v>76</v>
      </c>
      <c r="P1817" s="23" t="n"/>
      <c r="Q1817" s="23" t="n"/>
      <c r="R1817" s="25" t="inlineStr">
        <is>
          <t>Садовый дизайнер Бриана Хансон влюбилась в своего босса Гейба Мак­Нейла. Когда же он женился на другой, она запретила себе думать о нем. Жена бросила Гейба вместе с новорожденным ребенком, но и тогда Бриана подавила свои чувства, боясь стать для него лекарством от отчаяния. Каково же было ее изумление, когда вскоре Гейб предложил ей выйти за него замуж. Но не ради него самого, а ради своего сына, чтобы тот получил наследство деда. Бриана согласилась, ведь по контракту они должны расстаться через год…</t>
        </is>
      </c>
      <c r="S1817" s="26">
        <f>HYPERLINK("http://www.cnpol.ru/covers/18500.jpg","фото на сайте")</f>
        <v/>
      </c>
    </row>
    <row r="1818" ht="50.1" customHeight="1" s="3">
      <c r="A1818" s="23" t="n"/>
      <c r="B1818" s="24" t="inlineStr">
        <is>
          <t>16358</t>
        </is>
      </c>
      <c r="C1818" s="23" t="inlineStr">
        <is>
          <t>ЛР СО</t>
        </is>
      </c>
      <c r="D1818" s="23" t="inlineStr">
        <is>
          <t>Лоренс А.</t>
        </is>
      </c>
      <c r="E1818" s="23" t="inlineStr">
        <is>
          <t>Ее тайный муж</t>
        </is>
      </c>
      <c r="F1818" s="23" t="n">
        <v>144</v>
      </c>
      <c r="G1818" s="23" t="n">
        <v>102</v>
      </c>
      <c r="H1818" s="23" t="n">
        <v>10</v>
      </c>
      <c r="I1818" s="23" t="n">
        <v>30</v>
      </c>
      <c r="J1818" s="23" t="inlineStr">
        <is>
          <t>978-5-227-06255-0</t>
        </is>
      </c>
      <c r="K1818" s="23" t="inlineStr">
        <is>
          <t>70x100 1/32</t>
        </is>
      </c>
      <c r="L1818" s="23" t="inlineStr">
        <is>
          <t>мяг</t>
        </is>
      </c>
      <c r="M1818" s="23" t="n">
        <v>158</v>
      </c>
      <c r="N1818" s="23" t="n">
        <v>2015</v>
      </c>
      <c r="O1818" s="23" t="n">
        <v>76</v>
      </c>
      <c r="P1818" s="23" t="n"/>
      <c r="Q1818" s="23" t="n"/>
      <c r="R1818" s="25" t="inlineStr">
        <is>
          <t>Хит — преуспевающий владелец рекламного агентства, Джулиана — талантливый скульптор. Их любовь была похожа на сказку, пока ее не похитил мрачный призрак прошлого. Смогут ли они справиться с ним, подобно могучим принцам и прекрасным принцессам из старинных сказок?</t>
        </is>
      </c>
      <c r="S1818" s="26">
        <f>HYPERLINK("http://www.cnpol.ru/covers/16358.jpg","фото на сайте")</f>
        <v/>
      </c>
    </row>
    <row r="1819" ht="50.1" customHeight="1" s="3">
      <c r="A1819" s="23" t="n"/>
      <c r="B1819" s="24" t="inlineStr">
        <is>
          <t>18221</t>
        </is>
      </c>
      <c r="C1819" s="23" t="inlineStr">
        <is>
          <t>ЛР СО</t>
        </is>
      </c>
      <c r="D1819" s="23" t="inlineStr">
        <is>
          <t>Беннет Д.</t>
        </is>
      </c>
      <c r="E1819" s="23" t="inlineStr">
        <is>
          <t>Жар настойчивых губ</t>
        </is>
      </c>
      <c r="F1819" s="23" t="n">
        <v>271</v>
      </c>
      <c r="G1819" s="23" t="n">
        <v>102</v>
      </c>
      <c r="H1819" s="23" t="n">
        <v>10</v>
      </c>
      <c r="I1819" s="23" t="n">
        <v>30</v>
      </c>
      <c r="J1819" s="23" t="inlineStr">
        <is>
          <t>978-5-227-08202-2</t>
        </is>
      </c>
      <c r="K1819" s="23" t="inlineStr">
        <is>
          <t>70x100 1/32</t>
        </is>
      </c>
      <c r="L1819" s="23" t="inlineStr">
        <is>
          <t>мяг</t>
        </is>
      </c>
      <c r="M1819" s="23" t="n">
        <v>160</v>
      </c>
      <c r="N1819" s="23" t="n">
        <v>2018</v>
      </c>
      <c r="O1819" s="23" t="n">
        <v>76</v>
      </c>
      <c r="P1819" s="23" t="n"/>
      <c r="Q1819" s="23" t="n"/>
      <c r="R1819" s="25" t="inlineStr">
        <is>
          <t>Детектив Джек Карсон и его помощница Вивианна Смит расследуют дело об убийстве молодой пары. Главные подозреваемые — богатая бостонская семья с криминальными связями. Работая бок о бок, Джек и Вивианна влюбляются, но старательно скрывают свои чувства, при этом каждый из них хранит печальные секреты прошлого… Возможно, судьба свела их не случайно?</t>
        </is>
      </c>
      <c r="S1819" s="26">
        <f>HYPERLINK("http://www.cnpol.ru/covers/18221.jpg","фото на сайте")</f>
        <v/>
      </c>
    </row>
    <row r="1820" ht="50.1" customHeight="1" s="3">
      <c r="A1820" s="23" t="n"/>
      <c r="B1820" s="24" t="inlineStr">
        <is>
          <t>16406</t>
        </is>
      </c>
      <c r="C1820" s="23" t="inlineStr">
        <is>
          <t>ЛР СО</t>
        </is>
      </c>
      <c r="D1820" s="23" t="inlineStr">
        <is>
          <t>Голд К.</t>
        </is>
      </c>
      <c r="E1820" s="23" t="inlineStr">
        <is>
          <t>Жаркая ночь</t>
        </is>
      </c>
      <c r="F1820" s="23" t="n">
        <v>147</v>
      </c>
      <c r="G1820" s="23" t="n">
        <v>102</v>
      </c>
      <c r="H1820" s="23" t="n">
        <v>10</v>
      </c>
      <c r="I1820" s="23" t="n">
        <v>30</v>
      </c>
      <c r="J1820" s="23" t="inlineStr">
        <is>
          <t>978-5-227-06295-6</t>
        </is>
      </c>
      <c r="K1820" s="23" t="inlineStr">
        <is>
          <t>70x100 1/32</t>
        </is>
      </c>
      <c r="L1820" s="23" t="inlineStr">
        <is>
          <t>мяг</t>
        </is>
      </c>
      <c r="M1820" s="23" t="n">
        <v>158</v>
      </c>
      <c r="N1820" s="23" t="n">
        <v>2016</v>
      </c>
      <c r="O1820" s="23" t="n">
        <v>76</v>
      </c>
      <c r="P1820" s="23" t="n"/>
      <c r="Q1820" s="23" t="n"/>
      <c r="R1820" s="25" t="inlineStr">
        <is>
          <t>Шейх Раяд Ростам посвятил свою жизнь защите своей страны и поиску убийц жены. Но встреча с красивой и обаятельной молодой журналисткой Санни заставляет его пересмотреть жизненные принципы. Санни, в жизни которой уже был неприятный опыт общения с сильными и властными мужчинами, боится Раяда, но в то же время не может сопротивляться его пленительному обаянию…</t>
        </is>
      </c>
      <c r="S1820" s="26">
        <f>HYPERLINK("http://www.cnpol.ru/covers/16406.jpg","фото на сайте")</f>
        <v/>
      </c>
    </row>
    <row r="1821" ht="50.1" customHeight="1" s="3">
      <c r="A1821" s="23" t="n"/>
      <c r="B1821" s="24" t="inlineStr">
        <is>
          <t>19059</t>
        </is>
      </c>
      <c r="C1821" s="23" t="inlineStr">
        <is>
          <t>ЛР СО</t>
        </is>
      </c>
      <c r="D1821" s="23" t="inlineStr">
        <is>
          <t>Орвиг С.</t>
        </is>
      </c>
      <c r="E1821" s="23" t="inlineStr">
        <is>
          <t>Жаркие свидания</t>
        </is>
      </c>
      <c r="F1821" s="23" t="n">
        <v>342</v>
      </c>
      <c r="G1821" s="23" t="n">
        <v>102</v>
      </c>
      <c r="H1821" s="23" t="n">
        <v>10</v>
      </c>
      <c r="I1821" s="23" t="n">
        <v>30</v>
      </c>
      <c r="J1821" s="23" t="inlineStr">
        <is>
          <t>978-5-227-08942-7</t>
        </is>
      </c>
      <c r="K1821" s="23" t="inlineStr">
        <is>
          <t>70x100 1/32</t>
        </is>
      </c>
      <c r="L1821" s="23" t="inlineStr">
        <is>
          <t>мяг</t>
        </is>
      </c>
      <c r="M1821" s="23" t="n">
        <v>160</v>
      </c>
      <c r="N1821" s="23" t="n">
        <v>2020</v>
      </c>
      <c r="O1821" s="23" t="n">
        <v>76</v>
      </c>
      <c r="P1821" s="23" t="n"/>
      <c r="Q1821" s="23" t="n"/>
      <c r="R1821" s="25" t="inlineStr">
        <is>
          <t>Джейк Ральстон возвращается с войны, потеряв друга, и ему предстоит нелегкая миссия. Прощаясь с товарищем, он пообещал ему, что займется восстановлением его старого дома и ранчо, оставшихся от деда. Но для работы он должен нанять девушку, семья которой с давних времен враждует с семьей Джейка. Нарушить обет почти полутора веков молчания будет нелегко. Самое трудное начинается, когда Джейк понимает, что его странным образом тянет к ней.</t>
        </is>
      </c>
      <c r="S1821" s="26">
        <f>HYPERLINK("http://www.cnpol.ru/covers/19059.jpg","фото на сайте")</f>
        <v/>
      </c>
    </row>
    <row r="1822" ht="50.1" customHeight="1" s="3">
      <c r="A1822" s="23" t="n"/>
      <c r="B1822" s="24" t="inlineStr">
        <is>
          <t>20435</t>
        </is>
      </c>
      <c r="C1822" s="23" t="inlineStr">
        <is>
          <t>ЛР СО</t>
        </is>
      </c>
      <c r="D1822" s="23" t="inlineStr">
        <is>
          <t>Гонсалес Н.</t>
        </is>
      </c>
      <c r="E1822" s="23" t="inlineStr">
        <is>
          <t>Жаркое свидание в Майами</t>
        </is>
      </c>
      <c r="F1822" s="23" t="n">
        <v>414</v>
      </c>
      <c r="G1822" s="23" t="n">
        <v>102</v>
      </c>
      <c r="H1822" s="23" t="n">
        <v>10</v>
      </c>
      <c r="I1822" s="23" t="n">
        <v>30</v>
      </c>
      <c r="J1822" s="23" t="inlineStr">
        <is>
          <t>978-5-227-10087-0</t>
        </is>
      </c>
      <c r="K1822" s="23" t="inlineStr">
        <is>
          <t>70x100 1/32</t>
        </is>
      </c>
      <c r="L1822" s="23" t="inlineStr">
        <is>
          <t>мяг</t>
        </is>
      </c>
      <c r="M1822" s="23" t="n">
        <v>159</v>
      </c>
      <c r="N1822" s="23" t="n">
        <v>2022</v>
      </c>
      <c r="O1822" s="23" t="n">
        <v>76</v>
      </c>
      <c r="P1822" s="23" t="n"/>
      <c r="Q1822" s="23" t="n"/>
      <c r="R1822" s="25" t="inlineStr">
        <is>
          <t>Работницу галереи Энджел Луис и кинозвезду Алессандро Карденеса связывает не только кубинское прошлое их предков, но и кубинское искусство. Вокруг картин дедушки Алессандро разворачивается почти детективная история. Знает ли работница галереи, что продает подделки? Выяснит ли Алессандро, кто подделывает картины его деда? И главное, смогут ли эти двое противостоять невероятному любовному притяжению?</t>
        </is>
      </c>
      <c r="S1822" s="26">
        <f>HYPERLINK("http://www.cnpol.ru/covers/20435.jpg","фото на сайте")</f>
        <v/>
      </c>
    </row>
    <row r="1823" ht="50.1" customHeight="1" s="3">
      <c r="A1823" s="23" t="n"/>
      <c r="B1823" s="24" t="inlineStr">
        <is>
          <t>19272</t>
        </is>
      </c>
      <c r="C1823" s="23" t="inlineStr">
        <is>
          <t>ЛР СО</t>
        </is>
      </c>
      <c r="D1823" s="23" t="inlineStr">
        <is>
          <t>Эйтс М.</t>
        </is>
      </c>
      <c r="E1823" s="23" t="inlineStr">
        <is>
          <t>Жгучие карибские ночи</t>
        </is>
      </c>
      <c r="F1823" s="23" t="n">
        <v>355</v>
      </c>
      <c r="G1823" s="23" t="n">
        <v>102</v>
      </c>
      <c r="H1823" s="23" t="n">
        <v>10</v>
      </c>
      <c r="I1823" s="23" t="n">
        <v>30</v>
      </c>
      <c r="J1823" s="23" t="inlineStr">
        <is>
          <t>978-5-227-09057-7</t>
        </is>
      </c>
      <c r="K1823" s="23" t="inlineStr">
        <is>
          <t>70x100 1/32</t>
        </is>
      </c>
      <c r="L1823" s="23" t="inlineStr">
        <is>
          <t>мяг</t>
        </is>
      </c>
      <c r="M1823" s="23" t="n">
        <v>160</v>
      </c>
      <c r="N1823" s="23" t="n">
        <v>2020</v>
      </c>
      <c r="O1823" s="23" t="n">
        <v>76</v>
      </c>
      <c r="P1823" s="23" t="n"/>
      <c r="Q1823" s="23" t="n"/>
      <c r="R1823" s="25" t="inlineStr">
        <is>
          <t>Почти десять лет Поппи Синклер скрывала свои  нежные чувства к начальнику Исайе Грейсону. Она готова была хранить сердечную тайну и дальше, но не смогла смириться, когда  любимый босс вдруг поручил ей заняться поисками жены для него. Девушка объявила об увольнении. Однако Исайя привязан к своей помощнице. Не желая ее потерять,  он решается на весьма неожиданный поступок.</t>
        </is>
      </c>
      <c r="S1823" s="26">
        <f>HYPERLINK("http://www.cnpol.ru/covers/19272.jpg","фото на сайте")</f>
        <v/>
      </c>
    </row>
    <row r="1824" ht="50.1" customHeight="1" s="3">
      <c r="A1824" s="23" t="n"/>
      <c r="B1824" s="24" t="inlineStr">
        <is>
          <t>20394</t>
        </is>
      </c>
      <c r="C1824" s="23" t="inlineStr">
        <is>
          <t>ЛР СО</t>
        </is>
      </c>
      <c r="D1824" s="23" t="inlineStr">
        <is>
          <t>Маринелли К.</t>
        </is>
      </c>
      <c r="E1824" s="23" t="inlineStr">
        <is>
          <t>Желанная недотрога</t>
        </is>
      </c>
      <c r="F1824" s="23" t="n">
        <v>412</v>
      </c>
      <c r="G1824" s="23" t="n">
        <v>102</v>
      </c>
      <c r="H1824" s="23" t="n">
        <v>10</v>
      </c>
      <c r="I1824" s="23" t="n">
        <v>30</v>
      </c>
      <c r="J1824" s="23" t="inlineStr">
        <is>
          <t>978-5-227-10072-6</t>
        </is>
      </c>
      <c r="K1824" s="23" t="inlineStr">
        <is>
          <t>70x100 1/32</t>
        </is>
      </c>
      <c r="L1824" s="23" t="inlineStr">
        <is>
          <t>мяг</t>
        </is>
      </c>
      <c r="M1824" s="23" t="n">
        <v>159</v>
      </c>
      <c r="N1824" s="23" t="n">
        <v>2022</v>
      </c>
      <c r="O1824" s="23" t="n">
        <v>76</v>
      </c>
      <c r="P1824" s="23" t="n"/>
      <c r="Q1824" s="23" t="n"/>
      <c r="R1824" s="25" t="inlineStr">
        <is>
          <t>Данте Романо успешно управляет корпорацией, построенной несколькими поколениями его семьи, — вот только его родным до всего есть дело, не исключая его личную жизнь, которая, к слову, чересчур насыщенна. Однажды в приемной отца он встречает сногсшибательную красотку и уже готов открыть охоту, но… Мало того что Миа Гамильтон — секретарша отца, она еще и его будущая жена! Вот только Данте уже не в силах совладать с собственным желанием…</t>
        </is>
      </c>
      <c r="S1824" s="26">
        <f>HYPERLINK("http://www.cnpol.ru/covers/20394.jpg","фото на сайте")</f>
        <v/>
      </c>
    </row>
    <row r="1825" ht="50.1" customHeight="1" s="3">
      <c r="A1825" s="23" t="n"/>
      <c r="B1825" s="24" t="inlineStr">
        <is>
          <t>19115</t>
        </is>
      </c>
      <c r="C1825" s="23" t="inlineStr">
        <is>
          <t>ЛР СО</t>
        </is>
      </c>
      <c r="D1825" s="23" t="inlineStr">
        <is>
          <t>Эйтс М.</t>
        </is>
      </c>
      <c r="E1825" s="23" t="inlineStr">
        <is>
          <t>Желая страстного возмездия</t>
        </is>
      </c>
      <c r="F1825" s="23" t="n">
        <v>345</v>
      </c>
      <c r="G1825" s="23" t="n">
        <v>102</v>
      </c>
      <c r="H1825" s="23" t="n">
        <v>10</v>
      </c>
      <c r="I1825" s="23" t="n">
        <v>30</v>
      </c>
      <c r="J1825" s="23" t="inlineStr">
        <is>
          <t>978-5-227-08945-8</t>
        </is>
      </c>
      <c r="K1825" s="23" t="inlineStr">
        <is>
          <t>70x100 1/32</t>
        </is>
      </c>
      <c r="L1825" s="23" t="inlineStr">
        <is>
          <t>мяг</t>
        </is>
      </c>
      <c r="M1825" s="23" t="n">
        <v>160</v>
      </c>
      <c r="N1825" s="23" t="n">
        <v>2020</v>
      </c>
      <c r="O1825" s="23" t="n">
        <v>76</v>
      </c>
      <c r="P1825" s="23" t="n"/>
      <c r="Q1825" s="23" t="n"/>
      <c r="R1825" s="25" t="inlineStr">
        <is>
          <t>Архитектор Фейв Грейсон получает неожиданный заказ — ей предстоит спроектировать дом для бывшего заключенного, Леви Такера. Дом, в котором он будет чувствовать себя свободным. За чертежами и эскизами Фейв и сама не заметила, как стала пленницей влечения к Такеру, и ей это совсем не нравится…</t>
        </is>
      </c>
      <c r="S1825" s="26">
        <f>HYPERLINK("http://www.cnpol.ru/covers/19115.jpg","фото на сайте")</f>
        <v/>
      </c>
    </row>
    <row r="1826" ht="50.1" customHeight="1" s="3">
      <c r="A1826" s="23" t="n"/>
      <c r="B1826" s="24" t="inlineStr">
        <is>
          <t>16707</t>
        </is>
      </c>
      <c r="C1826" s="23" t="inlineStr">
        <is>
          <t>ЛР СО</t>
        </is>
      </c>
      <c r="D1826" s="23" t="inlineStr">
        <is>
          <t>Бейли Р.</t>
        </is>
      </c>
      <c r="E1826" s="23" t="inlineStr">
        <is>
          <t>Жена на сутки</t>
        </is>
      </c>
      <c r="F1826" s="23" t="n">
        <v>168</v>
      </c>
      <c r="G1826" s="23" t="n">
        <v>102</v>
      </c>
      <c r="H1826" s="23" t="n">
        <v>10</v>
      </c>
      <c r="I1826" s="23" t="n">
        <v>30</v>
      </c>
      <c r="J1826" s="23" t="inlineStr">
        <is>
          <t>978-5-227-06743-2</t>
        </is>
      </c>
      <c r="K1826" s="23" t="inlineStr">
        <is>
          <t>70x100 1/32</t>
        </is>
      </c>
      <c r="L1826" s="23" t="inlineStr">
        <is>
          <t>мяг</t>
        </is>
      </c>
      <c r="M1826" s="23" t="n">
        <v>160</v>
      </c>
      <c r="N1826" s="23" t="n">
        <v>2016</v>
      </c>
      <c r="O1826" s="23" t="n">
        <v>76</v>
      </c>
      <c r="P1826" s="23" t="n"/>
      <c r="Q1826" s="23" t="n"/>
      <c r="R1826" s="25" t="inlineStr">
        <is>
          <t>Адам Хоук, глава известной цветочной корпорации, больше всего на свете боится потерять расположение членов своей семьи. Но однажды он совершает необдуманный шаг: под воздействием алкоголя женится в Вегасе на своей любовнице, милой и обворожительной Колли. Позже он понимает, что скандальные истории его близким сейчас лишь навредят. Брат Адама собирается жениться на принцессе, и семья Хоук находится под пристальным наблюдением прессы. Неожиданно Колли находит выход: она предлагает Адаму разыграть для общественности историю их любви, отпраздновать настоящую свадьбу и позже развестись. Но захотят ли Адам и Колли расставаться?</t>
        </is>
      </c>
      <c r="S1826" s="26">
        <f>HYPERLINK("http://www.cnpol.ru/covers/16707.jpg","фото на сайте")</f>
        <v/>
      </c>
    </row>
    <row r="1827" ht="50.1" customHeight="1" s="3">
      <c r="A1827" s="23" t="n"/>
      <c r="B1827" s="24" t="inlineStr">
        <is>
          <t>18100</t>
        </is>
      </c>
      <c r="C1827" s="23" t="inlineStr">
        <is>
          <t>ЛР СО</t>
        </is>
      </c>
      <c r="D1827" s="23" t="inlineStr">
        <is>
          <t>Рок Джоанна</t>
        </is>
      </c>
      <c r="E1827" s="23" t="inlineStr">
        <is>
          <t>Жена по почтовому каталогу</t>
        </is>
      </c>
      <c r="F1827" s="23" t="n">
        <v>263</v>
      </c>
      <c r="G1827" s="23" t="n">
        <v>102</v>
      </c>
      <c r="H1827" s="23" t="n">
        <v>10</v>
      </c>
      <c r="I1827" s="23" t="n">
        <v>30</v>
      </c>
      <c r="J1827" s="23" t="inlineStr">
        <is>
          <t>978-5-227-08096-7</t>
        </is>
      </c>
      <c r="K1827" s="23" t="inlineStr">
        <is>
          <t>70x100 1/32</t>
        </is>
      </c>
      <c r="L1827" s="23" t="inlineStr">
        <is>
          <t>мяг</t>
        </is>
      </c>
      <c r="M1827" s="23" t="n">
        <v>160</v>
      </c>
      <c r="N1827" s="23" t="n">
        <v>2018</v>
      </c>
      <c r="O1827" s="23" t="n">
        <v>76</v>
      </c>
      <c r="P1827" s="23" t="n"/>
      <c r="Q1827" s="23" t="n"/>
      <c r="R1827" s="25" t="inlineStr">
        <is>
          <t>София Козлова — успешная балерина, всецело занятая своей карьерой. Все свое время она отдает работе, но завистливые коллеги шепчутся о том, что в ее танцах нет страсти. Может быть, потому, что она ни с кем не встречается? Это заботит и ее отца, богатого бизнесмена Виталия Козлова, который безуспешно пытается убедить Софию выйти замуж и родить ему внука, наследника его бизнес­империи. София, однако, и не думает о замужестве. Но однажды, прилетев с гастролей, она узнает о том, что в аэропорту ее встречает жених — мужчина, которого она никогда не видела…</t>
        </is>
      </c>
      <c r="S1827" s="26">
        <f>HYPERLINK("http://www.cnpol.ru/covers/18100.jpg","фото на сайте")</f>
        <v/>
      </c>
    </row>
    <row r="1828" ht="50.1" customHeight="1" s="3">
      <c r="A1828" s="23" t="n"/>
      <c r="B1828" s="24" t="inlineStr">
        <is>
          <t>19731</t>
        </is>
      </c>
      <c r="C1828" s="23" t="inlineStr">
        <is>
          <t>ЛР СО</t>
        </is>
      </c>
      <c r="D1828" s="23" t="inlineStr">
        <is>
          <t>Портер Д.</t>
        </is>
      </c>
      <c r="E1828" s="23" t="inlineStr">
        <is>
          <t>Жених из прошлого</t>
        </is>
      </c>
      <c r="F1828" s="23" t="n">
        <v>379</v>
      </c>
      <c r="G1828" s="23" t="n">
        <v>102</v>
      </c>
      <c r="H1828" s="23" t="n">
        <v>10</v>
      </c>
      <c r="I1828" s="23" t="n">
        <v>30</v>
      </c>
      <c r="J1828" s="23" t="inlineStr">
        <is>
          <t>978-5-227-09357-8</t>
        </is>
      </c>
      <c r="K1828" s="23" t="inlineStr">
        <is>
          <t>70x100 1/32</t>
        </is>
      </c>
      <c r="L1828" s="23" t="inlineStr">
        <is>
          <t>мяг</t>
        </is>
      </c>
      <c r="M1828" s="23" t="n">
        <v>160</v>
      </c>
      <c r="N1828" s="23" t="n">
        <v>2021</v>
      </c>
      <c r="O1828" s="23" t="n">
        <v>76</v>
      </c>
      <c r="P1828" s="23" t="n"/>
      <c r="Q1828" s="23" t="n"/>
      <c r="R1828" s="25" t="inlineStr">
        <is>
          <t>Сицилийский аристократ­красавчик Марку Уберто сбивается с ног в поисках срочной замены няни для своих детей. Неожиданно он вспоминает о сводной сестре Моне, которая раньше была в него влюблена. К тому же он когда­то помог девушке с ее проблемой и теперь надеется, что она также согласится его выручить. Марку мчится в Лондон и всеми правдами и неправдами уговаривает Моне присмотреть за детьми, в то время как сам делает предложение очередной подружке. Моне соглашается стать няней, но ее страсть к Марку вспыхивает с новой силой. И теперь свадьба явно под угрозой, ведь Марку и сам испытывает к своей давней знакомой трепетные чувства…</t>
        </is>
      </c>
      <c r="S1828" s="26">
        <f>HYPERLINK("http://www.cnpol.ru/covers/19731.jpg","фото на сайте")</f>
        <v/>
      </c>
    </row>
    <row r="1829" ht="50.1" customHeight="1" s="3">
      <c r="A1829" s="23" t="n"/>
      <c r="B1829" s="24" t="inlineStr">
        <is>
          <t>18411</t>
        </is>
      </c>
      <c r="C1829" s="23" t="inlineStr">
        <is>
          <t>ЛР СО</t>
        </is>
      </c>
      <c r="D1829" s="23" t="inlineStr">
        <is>
          <t>Чайлд М.</t>
        </is>
      </c>
      <c r="E1829" s="23" t="inlineStr">
        <is>
          <t>Жених только на словах</t>
        </is>
      </c>
      <c r="F1829" s="23" t="n">
        <v>287</v>
      </c>
      <c r="G1829" s="23" t="n">
        <v>102</v>
      </c>
      <c r="H1829" s="23" t="n">
        <v>10</v>
      </c>
      <c r="I1829" s="23" t="n">
        <v>30</v>
      </c>
      <c r="J1829" s="23" t="inlineStr">
        <is>
          <t>978-5-227-08364-7</t>
        </is>
      </c>
      <c r="K1829" s="23" t="inlineStr">
        <is>
          <t>70x100 1/32</t>
        </is>
      </c>
      <c r="L1829" s="23" t="inlineStr">
        <is>
          <t>мяг</t>
        </is>
      </c>
      <c r="M1829" s="23" t="n">
        <v>160</v>
      </c>
      <c r="N1829" s="23" t="n">
        <v>2018</v>
      </c>
      <c r="O1829" s="23" t="n">
        <v>76</v>
      </c>
      <c r="P1829" s="23" t="n"/>
      <c r="Q1829" s="23" t="n"/>
      <c r="R1829" s="25" t="inlineStr">
        <is>
          <t>Келли и Мика совсем не похожи друг на друга и живут в разных мирах. Им обоим не нужны отношения. Но однажды они объявляют о помолвке — а все потому, что Келли хочет подарить своей бабушке полгода спокойной жизни. Ведь та не отстанет, пока Келли не выйдет замуж. Почему же богатый и знаменитый писатель Мика Хантер решил помочь неприметной вдове? Что им движет — доброта или расчет? А может, любовь?</t>
        </is>
      </c>
      <c r="S1829" s="26">
        <f>HYPERLINK("http://www.cnpol.ru/covers/18411.jpg","фото на сайте")</f>
        <v/>
      </c>
    </row>
    <row r="1830" ht="50.1" customHeight="1" s="3">
      <c r="A1830" s="23" t="n"/>
      <c r="B1830" s="24" t="inlineStr">
        <is>
          <t>20530</t>
        </is>
      </c>
      <c r="C1830" s="23" t="inlineStr">
        <is>
          <t>ЛР СО</t>
        </is>
      </c>
      <c r="D1830" s="23" t="inlineStr">
        <is>
          <t>Синелли А.</t>
        </is>
      </c>
      <c r="E1830" s="23" t="inlineStr">
        <is>
          <t>За гранью соблазна</t>
        </is>
      </c>
      <c r="F1830" s="23" t="n">
        <v>421</v>
      </c>
      <c r="G1830" s="23" t="n">
        <v>102</v>
      </c>
      <c r="H1830" s="23" t="n">
        <v>10</v>
      </c>
      <c r="I1830" s="23" t="n">
        <v>30</v>
      </c>
      <c r="J1830" s="23" t="inlineStr">
        <is>
          <t>978-5-227-10160-0</t>
        </is>
      </c>
      <c r="K1830" s="23" t="inlineStr">
        <is>
          <t>70x100 1/32</t>
        </is>
      </c>
      <c r="L1830" s="23" t="inlineStr">
        <is>
          <t>мяг</t>
        </is>
      </c>
      <c r="M1830" s="23" t="n">
        <v>159</v>
      </c>
      <c r="N1830" s="23" t="n">
        <v>2023</v>
      </c>
      <c r="O1830" s="23" t="n">
        <v>76</v>
      </c>
      <c r="P1830" s="23" t="n"/>
      <c r="Q1830" s="23" t="n"/>
      <c r="R1830" s="25" t="inlineStr">
        <is>
          <t>Ксандер давно решил, что никогда не свяжет свою жизнь с женщиной. Все его силы отнимала работа. Но он получит наследство, только если женится и проживет с женой год. Конечно же, он тут же нашел выход – фиктивный брак. Но то, что начиналось как просто договоренность между взрослыми людьми, вдруг переросло во что-то большее. Справится ли он с этим, или ему придется пересмотреть свои взгляды на любовь и брак?</t>
        </is>
      </c>
      <c r="S1830" s="26">
        <f>HYPERLINK("http://www.cnpol.ru/covers/20530.jpg","фото на сайте")</f>
        <v/>
      </c>
    </row>
    <row r="1831" ht="50.1" customHeight="1" s="3">
      <c r="A1831" s="23" t="n"/>
      <c r="B1831" s="24" t="inlineStr">
        <is>
          <t>18713</t>
        </is>
      </c>
      <c r="C1831" s="23" t="inlineStr">
        <is>
          <t>ЛР СО</t>
        </is>
      </c>
      <c r="D1831" s="23" t="inlineStr">
        <is>
          <t>Шилд К.</t>
        </is>
      </c>
      <c r="E1831" s="23" t="inlineStr">
        <is>
          <t>За миг до блаженства</t>
        </is>
      </c>
      <c r="F1831" s="23" t="n">
        <v>311</v>
      </c>
      <c r="G1831" s="23" t="n">
        <v>102</v>
      </c>
      <c r="H1831" s="23" t="n">
        <v>10</v>
      </c>
      <c r="I1831" s="23" t="n">
        <v>30</v>
      </c>
      <c r="J1831" s="23" t="inlineStr">
        <is>
          <t>978-5-227-08582-5</t>
        </is>
      </c>
      <c r="K1831" s="23" t="inlineStr">
        <is>
          <t>70x100 1/32</t>
        </is>
      </c>
      <c r="L1831" s="23" t="inlineStr">
        <is>
          <t>мяг</t>
        </is>
      </c>
      <c r="M1831" s="23" t="n">
        <v>160</v>
      </c>
      <c r="N1831" s="23" t="n">
        <v>2019</v>
      </c>
      <c r="O1831" s="23" t="n">
        <v>78</v>
      </c>
      <c r="P1831" s="23" t="n"/>
      <c r="Q1831" s="23" t="n"/>
      <c r="R1831" s="25" t="inlineStr">
        <is>
          <t>Валентина ушла от Кайроса, не прожив с ним и года в браке. Он женился на ней по расчету и никогда ее не понимал. Вот и теперь через девять месяцев он объявился, потому что она ему понадобилась. Кайрос обещает Валентине помочь в ее новом бизнесе, если она согласится в течение трех месяцев притворяться любящей женой. Валентина не может отказать. Ведь ее сердце по­прежнему принадлежит Кайросу.</t>
        </is>
      </c>
      <c r="S1831" s="26">
        <f>HYPERLINK("http://www.cnpol.ru/covers/18713.jpg","фото на сайте")</f>
        <v/>
      </c>
    </row>
    <row r="1832" ht="50.1" customHeight="1" s="3">
      <c r="A1832" s="23" t="n"/>
      <c r="B1832" s="24" t="inlineStr">
        <is>
          <t>18973</t>
        </is>
      </c>
      <c r="C1832" s="23" t="inlineStr">
        <is>
          <t>ЛР СО</t>
        </is>
      </c>
      <c r="D1832" s="23" t="inlineStr">
        <is>
          <t>Линдсей И.</t>
        </is>
      </c>
      <c r="E1832" s="23" t="inlineStr">
        <is>
          <t>Замуж за бывшего мужа</t>
        </is>
      </c>
      <c r="F1832" s="23" t="n">
        <v>334</v>
      </c>
      <c r="G1832" s="23" t="n">
        <v>102</v>
      </c>
      <c r="H1832" s="23" t="n">
        <v>10</v>
      </c>
      <c r="I1832" s="23" t="n">
        <v>30</v>
      </c>
      <c r="J1832" s="23" t="inlineStr">
        <is>
          <t>978-5-227-08885-7</t>
        </is>
      </c>
      <c r="K1832" s="23" t="inlineStr">
        <is>
          <t>70x100 1/32</t>
        </is>
      </c>
      <c r="L1832" s="23" t="inlineStr">
        <is>
          <t>мяг</t>
        </is>
      </c>
      <c r="M1832" s="23" t="n">
        <v>160</v>
      </c>
      <c r="N1832" s="23" t="n">
        <v>2019</v>
      </c>
      <c r="O1832" s="23" t="n">
        <v>76</v>
      </c>
      <c r="P1832" s="23" t="n"/>
      <c r="Q1832" s="23" t="n"/>
      <c r="R1832" s="25" t="inlineStr">
        <is>
          <t>Имоджин О’Коннор успешна в бизнесе, но несчастна в личной жизни. Ее первый брак по большой любви распался, и теперь она обратилась в брачное агентство в попытке найти идеального партнера для создания семьи. По условиям договора, Имоджин должна встретиться с женихом только в церкви, целиком положившись на выбор брачного агента. Каково же было ее удивление, когда у алтаря она увидела Валентина Хорвата, бывшего мужа, с которым развелась семь лет назад.</t>
        </is>
      </c>
      <c r="S1832" s="26">
        <f>HYPERLINK("http://www.cnpol.ru/covers/18973.jpg","фото на сайте")</f>
        <v/>
      </c>
    </row>
    <row r="1833" ht="50.1" customHeight="1" s="3">
      <c r="A1833" s="23" t="n"/>
      <c r="B1833" s="24" t="inlineStr">
        <is>
          <t>17494</t>
        </is>
      </c>
      <c r="C1833" s="23" t="inlineStr">
        <is>
          <t>ЛР СО</t>
        </is>
      </c>
      <c r="D1833" s="23" t="inlineStr">
        <is>
          <t>Мейджер Э.</t>
        </is>
      </c>
      <c r="E1833" s="23" t="inlineStr">
        <is>
          <t>Запретное искушение</t>
        </is>
      </c>
      <c r="F1833" s="23" t="n">
        <v>221</v>
      </c>
      <c r="G1833" s="23" t="n">
        <v>102</v>
      </c>
      <c r="H1833" s="23" t="n">
        <v>10</v>
      </c>
      <c r="I1833" s="23" t="n">
        <v>30</v>
      </c>
      <c r="J1833" s="23" t="inlineStr">
        <is>
          <t>978-5-227-07561-1</t>
        </is>
      </c>
      <c r="K1833" s="23" t="inlineStr">
        <is>
          <t>70x100 1/32</t>
        </is>
      </c>
      <c r="L1833" s="23" t="inlineStr">
        <is>
          <t>мяг</t>
        </is>
      </c>
      <c r="M1833" s="23" t="n">
        <v>160</v>
      </c>
      <c r="N1833" s="23" t="n">
        <v>2017</v>
      </c>
      <c r="O1833" s="23" t="n">
        <v>76</v>
      </c>
      <c r="P1833" s="23" t="n"/>
      <c r="Q1833" s="23" t="n"/>
      <c r="R1833" s="25" t="inlineStr">
        <is>
          <t>Младший брат Майкла Норта, Уилл, умирая, попросил его позаботиться о своей беременной жене Бри. Майкла разрывали сомнения, ведь восемь недель назад он соблазнил Бри, чтобы защитить Уилла от ее хитроумных планов. Несмотря на недоверие к Бри, Майкл так и не смог вычеркнуть из памяти время, проведенное с ней. И теперь он на распутье, ведь Бри — бывшая жена его покойного брата, но противоречить его воле он не хочет. Сможет ли Майкл бросить маленького племянника — единственную ниточку, связывающую его с Уиллом, и действительно ли он считает невозможным союз с Бри?</t>
        </is>
      </c>
      <c r="S1833" s="26">
        <f>HYPERLINK("http://www.cnpol.ru/covers/17494.jpg","фото на сайте")</f>
        <v/>
      </c>
    </row>
    <row r="1834" ht="50.1" customHeight="1" s="3">
      <c r="A1834" s="23" t="n"/>
      <c r="B1834" s="24" t="inlineStr">
        <is>
          <t>17235</t>
        </is>
      </c>
      <c r="C1834" s="23" t="inlineStr">
        <is>
          <t>ЛР СО</t>
        </is>
      </c>
      <c r="D1834" s="23" t="inlineStr">
        <is>
          <t>Томас Р.</t>
        </is>
      </c>
      <c r="E1834" s="23" t="inlineStr">
        <is>
          <t>Запретные чувства</t>
        </is>
      </c>
      <c r="F1834" s="23" t="n">
        <v>201</v>
      </c>
      <c r="G1834" s="23" t="n">
        <v>102</v>
      </c>
      <c r="H1834" s="23" t="n">
        <v>10</v>
      </c>
      <c r="I1834" s="23" t="n">
        <v>30</v>
      </c>
      <c r="J1834" s="23" t="inlineStr">
        <is>
          <t>978-5-227-07215-3</t>
        </is>
      </c>
      <c r="K1834" s="23" t="inlineStr">
        <is>
          <t>70x100 1/32</t>
        </is>
      </c>
      <c r="L1834" s="23" t="inlineStr">
        <is>
          <t>мяг</t>
        </is>
      </c>
      <c r="M1834" s="23" t="n">
        <v>160</v>
      </c>
      <c r="N1834" s="23" t="n">
        <v>2016</v>
      </c>
      <c r="O1834" s="23" t="n">
        <v>76</v>
      </c>
      <c r="P1834" s="23" t="n"/>
      <c r="Q1834" s="23" t="n"/>
      <c r="R1834" s="25" t="inlineStr">
        <is>
          <t>Дестини Ричардс знала, что играет с огнем, принимая предложение о работе от обаятельного шейха Зафира Аль­Асмари. Но больше ей хотелось начать свою жизнь заново, вдали от всепоглощающего контроля отца и мачехи. Взаимное притяжение приводит к долгим страстным ночам. В то же время Зафиру нужно выбрать невесту. А Дестини не сразу осознает, что беременна.</t>
        </is>
      </c>
      <c r="S1834" s="26">
        <f>HYPERLINK("http://www.cnpol.ru/covers/17235.jpg","фото на сайте")</f>
        <v/>
      </c>
    </row>
    <row r="1835" ht="50.1" customHeight="1" s="3">
      <c r="A1835" s="23" t="n"/>
      <c r="B1835" s="24" t="inlineStr">
        <is>
          <t>20417</t>
        </is>
      </c>
      <c r="C1835" s="23" t="inlineStr">
        <is>
          <t>ЛР СО</t>
        </is>
      </c>
      <c r="D1835" s="23" t="inlineStr">
        <is>
          <t>Мейнард Д.</t>
        </is>
      </c>
      <c r="E1835" s="23" t="inlineStr">
        <is>
          <t>Затмение страсти</t>
        </is>
      </c>
      <c r="F1835" s="23" t="n">
        <v>413</v>
      </c>
      <c r="G1835" s="23" t="n">
        <v>102</v>
      </c>
      <c r="H1835" s="23" t="n">
        <v>10</v>
      </c>
      <c r="I1835" s="23" t="n">
        <v>30</v>
      </c>
      <c r="J1835" s="23" t="inlineStr">
        <is>
          <t>978-5-227-10073-3</t>
        </is>
      </c>
      <c r="K1835" s="23" t="inlineStr">
        <is>
          <t>70x100 1/32</t>
        </is>
      </c>
      <c r="L1835" s="23" t="inlineStr">
        <is>
          <t>мяг</t>
        </is>
      </c>
      <c r="M1835" s="23" t="n">
        <v>159</v>
      </c>
      <c r="N1835" s="23" t="n">
        <v>2022</v>
      </c>
      <c r="O1835" s="23" t="n">
        <v>76</v>
      </c>
      <c r="P1835" s="23" t="n"/>
      <c r="Q1835" s="23" t="n"/>
      <c r="R1835" s="25" t="inlineStr">
        <is>
          <t>После короткого, но бурного романа с Кейт Эверетт из провинциального городка Северной Каролины шотландец Броуди Стюарт возвращается на родину. Ни он, ни она не ждут продолжения отношений. Но спустя четыре месяца Броуди снова прилетает в Америку. Что ж, у Кейт для него серьезные новости…</t>
        </is>
      </c>
      <c r="S1835" s="26">
        <f>HYPERLINK("http://www.cnpol.ru/covers/20417.jpg","фото на сайте")</f>
        <v/>
      </c>
    </row>
    <row r="1836" ht="50.1" customHeight="1" s="3">
      <c r="A1836" s="23" t="n"/>
      <c r="B1836" s="24" t="inlineStr">
        <is>
          <t>18227</t>
        </is>
      </c>
      <c r="C1836" s="23" t="inlineStr">
        <is>
          <t>ЛР СО</t>
        </is>
      </c>
      <c r="D1836" s="23" t="inlineStr">
        <is>
          <t>Вейд Д.</t>
        </is>
      </c>
      <c r="E1836" s="23" t="inlineStr">
        <is>
          <t>Здесь живет наша любовь</t>
        </is>
      </c>
      <c r="F1836" s="23" t="n">
        <v>272</v>
      </c>
      <c r="G1836" s="23" t="n">
        <v>102</v>
      </c>
      <c r="H1836" s="23" t="n">
        <v>10</v>
      </c>
      <c r="I1836" s="23" t="n">
        <v>30</v>
      </c>
      <c r="J1836" s="23" t="inlineStr">
        <is>
          <t>978-5-227-08224-4</t>
        </is>
      </c>
      <c r="K1836" s="23" t="inlineStr">
        <is>
          <t>70x100 1/32</t>
        </is>
      </c>
      <c r="L1836" s="23" t="inlineStr">
        <is>
          <t>мяг</t>
        </is>
      </c>
      <c r="M1836" s="23" t="n">
        <v>160</v>
      </c>
      <c r="N1836" s="23" t="n">
        <v>2018</v>
      </c>
      <c r="O1836" s="23" t="n">
        <v>76</v>
      </c>
      <c r="P1836" s="23" t="n"/>
      <c r="Q1836" s="23" t="n"/>
      <c r="R1836" s="25" t="inlineStr">
        <is>
          <t>Ройса Бразьера интересует лишь его бизнес. Он нанимает Жасмин Харден в качестве организатора супервечеринки, на которой он сможет осуществить самую главную сделку в своей жизни. Однако в результате Ройс заключает контракт совсем иного рода...</t>
        </is>
      </c>
      <c r="S1836" s="26">
        <f>HYPERLINK("http://www.cnpol.ru/covers/18227.jpg","фото на сайте")</f>
        <v/>
      </c>
    </row>
    <row r="1837" ht="50.1" customHeight="1" s="3">
      <c r="A1837" s="23" t="n"/>
      <c r="B1837" s="24" t="inlineStr">
        <is>
          <t>17579</t>
        </is>
      </c>
      <c r="C1837" s="23" t="inlineStr">
        <is>
          <t>ЛР СО</t>
        </is>
      </c>
      <c r="D1837" s="23" t="inlineStr">
        <is>
          <t>Чайлд М.</t>
        </is>
      </c>
      <c r="E1837" s="23" t="inlineStr">
        <is>
          <t>Зов наслаждений</t>
        </is>
      </c>
      <c r="F1837" s="23" t="n">
        <v>227</v>
      </c>
      <c r="G1837" s="23" t="n">
        <v>102</v>
      </c>
      <c r="H1837" s="23" t="n">
        <v>10</v>
      </c>
      <c r="I1837" s="23" t="n">
        <v>30</v>
      </c>
      <c r="J1837" s="23" t="inlineStr">
        <is>
          <t>978-5-227-07618-2</t>
        </is>
      </c>
      <c r="K1837" s="23" t="inlineStr">
        <is>
          <t>70x100 1/32</t>
        </is>
      </c>
      <c r="L1837" s="23" t="inlineStr">
        <is>
          <t>мяг</t>
        </is>
      </c>
      <c r="M1837" s="23" t="n">
        <v>160</v>
      </c>
      <c r="N1837" s="23" t="n">
        <v>2017</v>
      </c>
      <c r="O1837" s="23" t="n">
        <v>76</v>
      </c>
      <c r="P1837" s="23" t="n"/>
      <c r="Q1837" s="23" t="n"/>
      <c r="R1837" s="25" t="inlineStr">
        <is>
          <t>Талантливый художник Сэм Генри живет отшельником в горах. Он ненавидит Рождество, напоминающее ему о семейной трагедии, случившейся пять лет назад. На время отпуска его экономки в доме появляется Джой Каррэн с дочкой Холли. Ей нужна временная работа и жилье на месяц. Кроме того, Джой заинтригована загадочным красавцем-затворником, давшим обет одиночества. Между молодыми людьми возникает влечение, но разгореться страсти мешают прошлые страхи и обиды, которые есть и у него, и у нее.</t>
        </is>
      </c>
      <c r="S1837" s="26">
        <f>HYPERLINK("http://www.cnpol.ru/covers/17579.jpg","фото на сайте")</f>
        <v/>
      </c>
    </row>
    <row r="1838" ht="50.1" customHeight="1" s="3">
      <c r="A1838" s="23" t="n"/>
      <c r="B1838" s="24" t="inlineStr">
        <is>
          <t>18325</t>
        </is>
      </c>
      <c r="C1838" s="23" t="inlineStr">
        <is>
          <t>ЛР СО</t>
        </is>
      </c>
      <c r="D1838" s="23" t="inlineStr">
        <is>
          <t>Джеймс С.</t>
        </is>
      </c>
      <c r="E1838" s="23" t="inlineStr">
        <is>
          <t>Игра по ее правилам</t>
        </is>
      </c>
      <c r="F1838" s="23" t="n">
        <v>280</v>
      </c>
      <c r="G1838" s="23" t="n">
        <v>102</v>
      </c>
      <c r="H1838" s="23" t="n">
        <v>10</v>
      </c>
      <c r="I1838" s="23" t="n">
        <v>30</v>
      </c>
      <c r="J1838" s="23" t="inlineStr">
        <is>
          <t>978-5-227-08331-9</t>
        </is>
      </c>
      <c r="K1838" s="23" t="inlineStr">
        <is>
          <t>70x100 1/32</t>
        </is>
      </c>
      <c r="L1838" s="23" t="inlineStr">
        <is>
          <t>мяг</t>
        </is>
      </c>
      <c r="M1838" s="23" t="n">
        <v>160</v>
      </c>
      <c r="N1838" s="23" t="n">
        <v>2018</v>
      </c>
      <c r="O1838" s="23" t="n">
        <v>76</v>
      </c>
      <c r="P1838" s="23" t="n"/>
      <c r="Q1838" s="23" t="n"/>
      <c r="R1838" s="25" t="inlineStr">
        <is>
          <t>Отправляясь на ночное дежурство, сотрудница полиции Куин Кинсейд совсем не ожидала, что познакомится с неотразимым рок­музыкантом Диконом Тейтом. Она с детства не доверяла таким, как он, богатым и самонадеянным молодым мужчинам. Куин пришла в негодование, когда ей поручили ежедневно справляться о благополучии малышки, которую приютил Дикон. Изо всех сил мисс Кинсейд сопротивлялась невероятному обаянию рок­музыканта и не сразу поняла, что все ее усилия обречены на провал…</t>
        </is>
      </c>
      <c r="S1838" s="26">
        <f>HYPERLINK("http://www.cnpol.ru/covers/18325.jpg","фото на сайте")</f>
        <v/>
      </c>
    </row>
    <row r="1839" ht="50.1" customHeight="1" s="3">
      <c r="A1839" s="23" t="n"/>
      <c r="B1839" s="24" t="inlineStr">
        <is>
          <t>19121</t>
        </is>
      </c>
      <c r="C1839" s="23" t="inlineStr">
        <is>
          <t>ЛР СО</t>
        </is>
      </c>
      <c r="D1839" s="23" t="inlineStr">
        <is>
          <t>Манн К.</t>
        </is>
      </c>
      <c r="E1839" s="23" t="inlineStr">
        <is>
          <t>Инструкция для дерзкого соблазна</t>
        </is>
      </c>
      <c r="F1839" s="23" t="n">
        <v>346</v>
      </c>
      <c r="G1839" s="23" t="n">
        <v>102</v>
      </c>
      <c r="H1839" s="23" t="n">
        <v>10</v>
      </c>
      <c r="I1839" s="23" t="n">
        <v>30</v>
      </c>
      <c r="J1839" s="23" t="inlineStr">
        <is>
          <t>978-5-227-08967-0</t>
        </is>
      </c>
      <c r="K1839" s="23" t="inlineStr">
        <is>
          <t>70x100 1/32</t>
        </is>
      </c>
      <c r="L1839" s="23" t="inlineStr">
        <is>
          <t>мяг</t>
        </is>
      </c>
      <c r="M1839" s="23" t="n">
        <v>160</v>
      </c>
      <c r="N1839" s="23" t="n">
        <v>2020</v>
      </c>
      <c r="O1839" s="23" t="n">
        <v>76</v>
      </c>
      <c r="P1839" s="23" t="n"/>
      <c r="Q1839" s="23" t="n"/>
      <c r="R1839" s="25" t="inlineStr">
        <is>
          <t>Судьба не баловала Натали Валентайн, вдову с двумя маленькими детьми. Она живет в небольшом техасском городке Роял, содержит пансион и подрабатывает пошивом свадебных платьев. Жизнь ее однообразна, но привычна. Однако все меняется, когда в город приезжает специалист по кибербезопасности Макс Сент­Клауд. Администрация вызвала его, чтобы защитить персональные данные горожан, пострадавших от хакерских атак. Макс поселяется в пансионе Натали. И с первой же встречи между ними возникает симпатия, которая перерастает в любовную связь. Но лишь на две недели. Ведь Максу пора возвращаться в Сиэтл...</t>
        </is>
      </c>
      <c r="S1839" s="26">
        <f>HYPERLINK("http://www.cnpol.ru/covers/19121.jpg","фото на сайте")</f>
        <v/>
      </c>
    </row>
    <row r="1840" ht="50.1" customHeight="1" s="3">
      <c r="A1840" s="23" t="n"/>
      <c r="B1840" s="24" t="inlineStr">
        <is>
          <t>17041</t>
        </is>
      </c>
      <c r="C1840" s="23" t="inlineStr">
        <is>
          <t>ЛР СО</t>
        </is>
      </c>
      <c r="D1840" s="23" t="inlineStr">
        <is>
          <t>Линдсей И.</t>
        </is>
      </c>
      <c r="E1840" s="23" t="inlineStr">
        <is>
          <t>Искры наслаждений</t>
        </is>
      </c>
      <c r="F1840" s="23" t="n">
        <v>189</v>
      </c>
      <c r="G1840" s="23" t="n">
        <v>102</v>
      </c>
      <c r="H1840" s="23" t="n">
        <v>10</v>
      </c>
      <c r="I1840" s="23" t="n">
        <v>30</v>
      </c>
      <c r="J1840" s="23" t="inlineStr">
        <is>
          <t>978-5-227-07047-0</t>
        </is>
      </c>
      <c r="K1840" s="23" t="inlineStr">
        <is>
          <t>70x100 1/32</t>
        </is>
      </c>
      <c r="L1840" s="23" t="inlineStr">
        <is>
          <t>мяг</t>
        </is>
      </c>
      <c r="M1840" s="23" t="n">
        <v>160</v>
      </c>
      <c r="N1840" s="23" t="n">
        <v>2016</v>
      </c>
      <c r="O1840" s="23" t="n">
        <v>76</v>
      </c>
      <c r="P1840" s="23" t="n"/>
      <c r="Q1840" s="23" t="n"/>
      <c r="R1840" s="25" t="inlineStr">
        <is>
          <t>Анна Гаррик старается помирить Чарльза Уилсона, которому многим обязана, с его сыном Джаддом. Но она не знает, что тот одержим желанием отомстить своему отцу. Между ней и Джаддом вспыхивает страсть, которая сильно осложняет ей жизнь, но она не намерена нарушать обещания, данные Чарльзу…</t>
        </is>
      </c>
      <c r="S1840" s="26">
        <f>HYPERLINK("http://www.cnpol.ru/covers/17041.jpg","фото на сайте")</f>
        <v/>
      </c>
    </row>
    <row r="1841" ht="50.1" customHeight="1" s="3">
      <c r="A1841" s="23" t="n"/>
      <c r="B1841" s="24" t="inlineStr">
        <is>
          <t>16066</t>
        </is>
      </c>
      <c r="C1841" s="23" t="inlineStr">
        <is>
          <t>ЛР СО</t>
        </is>
      </c>
      <c r="D1841" s="23" t="inlineStr">
        <is>
          <t>Блейк М.</t>
        </is>
      </c>
      <c r="E1841" s="23" t="inlineStr">
        <is>
          <t>Искусство мести</t>
        </is>
      </c>
      <c r="F1841" s="23" t="n">
        <v>124</v>
      </c>
      <c r="G1841" s="23" t="n">
        <v>102</v>
      </c>
      <c r="H1841" s="23" t="n">
        <v>10</v>
      </c>
      <c r="I1841" s="23" t="n">
        <v>30</v>
      </c>
      <c r="J1841" s="23" t="inlineStr">
        <is>
          <t>978-5-227-06065-5</t>
        </is>
      </c>
      <c r="K1841" s="23" t="inlineStr">
        <is>
          <t>70x100 1/32</t>
        </is>
      </c>
      <c r="L1841" s="23" t="inlineStr">
        <is>
          <t>мяг</t>
        </is>
      </c>
      <c r="M1841" s="23" t="n">
        <v>158</v>
      </c>
      <c r="N1841" s="23" t="n">
        <v>2015</v>
      </c>
      <c r="O1841" s="23" t="n">
        <v>76</v>
      </c>
      <c r="P1841" s="23" t="n"/>
      <c r="Q1841" s="23" t="n"/>
      <c r="R1841" s="25" t="inlineStr">
        <is>
          <t>Пять лет назад они были близки, но Дамиан отверг Рейко. И вот они снова встретились. Но теперь между ними уже не может быть никакой близости — так думает Рейко. А у Дамиана совсем другие мысли…</t>
        </is>
      </c>
      <c r="S1841" s="26">
        <f>HYPERLINK("http://www.cnpol.ru/covers/16066.jpg","фото на сайте")</f>
        <v/>
      </c>
    </row>
    <row r="1842" ht="50.1" customHeight="1" s="3">
      <c r="A1842" s="23" t="n"/>
      <c r="B1842" s="24" t="inlineStr">
        <is>
          <t>17440</t>
        </is>
      </c>
      <c r="C1842" s="23" t="inlineStr">
        <is>
          <t>ЛР СО</t>
        </is>
      </c>
      <c r="D1842" s="23" t="inlineStr">
        <is>
          <t>Крюс К.</t>
        </is>
      </c>
      <c r="E1842" s="23" t="inlineStr">
        <is>
          <t>Искушение в одном лишь взгляде</t>
        </is>
      </c>
      <c r="F1842" s="23" t="n">
        <v>216</v>
      </c>
      <c r="G1842" s="23" t="n">
        <v>102</v>
      </c>
      <c r="H1842" s="23" t="n">
        <v>10</v>
      </c>
      <c r="I1842" s="23" t="n">
        <v>30</v>
      </c>
      <c r="J1842" s="23" t="inlineStr">
        <is>
          <t>978-5-227-07459-1</t>
        </is>
      </c>
      <c r="K1842" s="23" t="inlineStr">
        <is>
          <t>70x100 1/32</t>
        </is>
      </c>
      <c r="L1842" s="23" t="inlineStr">
        <is>
          <t>мяг</t>
        </is>
      </c>
      <c r="M1842" s="23" t="n">
        <v>160</v>
      </c>
      <c r="N1842" s="23" t="n">
        <v>2017</v>
      </c>
      <c r="O1842" s="23" t="n">
        <v>76</v>
      </c>
      <c r="P1842" s="23" t="n"/>
      <c r="Q1842" s="23" t="n"/>
      <c r="R1842" s="25" t="inlineStr">
        <is>
          <t>У Дарио Ди Сионе есть повод для гордости — он успешно выполнил поручение деда и раздобыл утраченную семейную реликвию, драгоценные серьги, но все же его душит нестерпимая ярость. Темноволосая красавица, у которой оказалось бесценное сокровище, — его неверная жена Анаис, предавшая его шесть лет назад. Но действительно ли Анаис виновата перед Дарио, или однажды он просто пошел на поводу у своих эмоций? Быть может, еще не поздно все исправить?</t>
        </is>
      </c>
      <c r="S1842" s="26">
        <f>HYPERLINK("http://www.cnpol.ru/covers/17440.jpg","фото на сайте")</f>
        <v/>
      </c>
    </row>
    <row r="1843" ht="50.1" customHeight="1" s="3">
      <c r="A1843" s="23" t="n"/>
      <c r="B1843" s="24" t="inlineStr">
        <is>
          <t>17085</t>
        </is>
      </c>
      <c r="C1843" s="23" t="inlineStr">
        <is>
          <t>ЛР СО</t>
        </is>
      </c>
      <c r="D1843" s="23" t="inlineStr">
        <is>
          <t>Коллинз Д.</t>
        </is>
      </c>
      <c r="E1843" s="23" t="inlineStr">
        <is>
          <t>Искушение для затворницы</t>
        </is>
      </c>
      <c r="F1843" s="23" t="n">
        <v>192</v>
      </c>
      <c r="G1843" s="23" t="n">
        <v>102</v>
      </c>
      <c r="H1843" s="23" t="n">
        <v>10</v>
      </c>
      <c r="I1843" s="23" t="n">
        <v>30</v>
      </c>
      <c r="J1843" s="23" t="inlineStr">
        <is>
          <t>978-5-227-07077-7</t>
        </is>
      </c>
      <c r="K1843" s="23" t="inlineStr">
        <is>
          <t>70x100 1/32</t>
        </is>
      </c>
      <c r="L1843" s="23" t="inlineStr">
        <is>
          <t>мяг</t>
        </is>
      </c>
      <c r="M1843" s="23" t="n">
        <v>160</v>
      </c>
      <c r="N1843" s="23" t="n">
        <v>2016</v>
      </c>
      <c r="O1843" s="23" t="n">
        <v>76</v>
      </c>
      <c r="P1843" s="23" t="n"/>
      <c r="Q1843" s="23" t="n"/>
      <c r="R1843" s="25" t="n"/>
      <c r="S1843" s="26">
        <f>HYPERLINK("http://www.cnpol.ru/covers/17085.jpg","фото на сайте")</f>
        <v/>
      </c>
    </row>
    <row r="1844" ht="50.1" customHeight="1" s="3">
      <c r="A1844" s="23" t="n"/>
      <c r="B1844" s="24" t="inlineStr">
        <is>
          <t>20152</t>
        </is>
      </c>
      <c r="C1844" s="23" t="inlineStr">
        <is>
          <t>ЛР СО</t>
        </is>
      </c>
      <c r="D1844" s="23" t="inlineStr">
        <is>
          <t>Синклэр К.</t>
        </is>
      </c>
      <c r="E1844" s="23" t="inlineStr">
        <is>
          <t>Искушение на грани риска</t>
        </is>
      </c>
      <c r="F1844" s="23" t="n">
        <v>400</v>
      </c>
      <c r="G1844" s="23" t="n">
        <v>102</v>
      </c>
      <c r="H1844" s="23" t="n">
        <v>10</v>
      </c>
      <c r="I1844" s="23" t="n">
        <v>30</v>
      </c>
      <c r="J1844" s="23" t="inlineStr">
        <is>
          <t>978-5-227-09829-0</t>
        </is>
      </c>
      <c r="K1844" s="23" t="inlineStr">
        <is>
          <t>70x100 1/32</t>
        </is>
      </c>
      <c r="L1844" s="23" t="inlineStr">
        <is>
          <t>мяг</t>
        </is>
      </c>
      <c r="M1844" s="23" t="n">
        <v>159</v>
      </c>
      <c r="N1844" s="23" t="n">
        <v>2022</v>
      </c>
      <c r="O1844" s="23" t="n">
        <v>76</v>
      </c>
      <c r="P1844" s="23" t="n"/>
      <c r="Q1844" s="23" t="n"/>
      <c r="R1844" s="25" t="inlineStr">
        <is>
          <t>Финн де Люка стоит во главе крупной семейной корпорации и мог бы приобрести все, что угодно. Однако ничто так не возбуждает его, как риск. Отстранившись от дел, Финн увлекается… кражами, и чем сложнее задача, тем сильнее затягивает процесс ее решения. Это странное хобби является отголоском давней трагедии, и Финн не осознает, насколько оно опасно, до тех пор, пока в его жизни не появляется Женевьева Райли. Судьбу ее сложно назвать легкой, но непостижимым образом она ухитрилась сохранить в душе свет. И Финна тянет к ней сильнее, чем к чему бы то ни было…</t>
        </is>
      </c>
      <c r="S1844" s="26">
        <f>HYPERLINK("http://www.cnpol.ru/covers/20152.jpg","фото на сайте")</f>
        <v/>
      </c>
    </row>
    <row r="1845" ht="50.1" customHeight="1" s="3">
      <c r="A1845" s="23" t="n"/>
      <c r="B1845" s="24" t="inlineStr">
        <is>
          <t>19616</t>
        </is>
      </c>
      <c r="C1845" s="23" t="inlineStr">
        <is>
          <t>ЛР СО</t>
        </is>
      </c>
      <c r="D1845" s="23" t="inlineStr">
        <is>
          <t>Смарт М.</t>
        </is>
      </c>
      <c r="E1845" s="23" t="inlineStr">
        <is>
          <t>Искушение на Фиджи</t>
        </is>
      </c>
      <c r="F1845" s="23" t="n">
        <v>373</v>
      </c>
      <c r="G1845" s="23" t="n">
        <v>102</v>
      </c>
      <c r="H1845" s="23" t="n">
        <v>10</v>
      </c>
      <c r="I1845" s="23" t="n">
        <v>30</v>
      </c>
      <c r="J1845" s="23" t="inlineStr">
        <is>
          <t>978-5-227-09208-3</t>
        </is>
      </c>
      <c r="K1845" s="23" t="inlineStr">
        <is>
          <t>70x100 1/32</t>
        </is>
      </c>
      <c r="L1845" s="23" t="inlineStr">
        <is>
          <t>мяг</t>
        </is>
      </c>
      <c r="M1845" s="23" t="n">
        <v>160</v>
      </c>
      <c r="N1845" s="23" t="n">
        <v>2021</v>
      </c>
      <c r="O1845" s="23" t="n">
        <v>76</v>
      </c>
      <c r="P1845" s="23" t="n"/>
      <c r="Q1845" s="23" t="n"/>
      <c r="R1845" s="25" t="inlineStr">
        <is>
          <t>Трудоголик Массимо Бриаторе предпочел расстаться с женой, которая отвлекала его от дел, чтобы посвятить себя бизнесу. Он доволен тем, что одинок. Но ему предстоит еще одна встреча со своей женой, которая должна лететь с ним на остров Фиджи, и притворяться, что они по­прежнему счастливы вместе.</t>
        </is>
      </c>
      <c r="S1845" s="26">
        <f>HYPERLINK("http://www.cnpol.ru/covers/19616.jpg","фото на сайте")</f>
        <v/>
      </c>
    </row>
    <row r="1846" ht="50.1" customHeight="1" s="3">
      <c r="A1846" s="23" t="n"/>
      <c r="B1846" s="24" t="inlineStr">
        <is>
          <t>17544</t>
        </is>
      </c>
      <c r="C1846" s="23" t="inlineStr">
        <is>
          <t>ЛР СО</t>
        </is>
      </c>
      <c r="D1846" s="23" t="inlineStr">
        <is>
          <t>Андерсон С.</t>
        </is>
      </c>
      <c r="E1846" s="23" t="inlineStr">
        <is>
          <t>Истинный вкус страсти</t>
        </is>
      </c>
      <c r="F1846" s="23" t="n">
        <v>224</v>
      </c>
      <c r="G1846" s="23" t="n">
        <v>102</v>
      </c>
      <c r="H1846" s="23" t="n">
        <v>10</v>
      </c>
      <c r="I1846" s="23" t="n">
        <v>30</v>
      </c>
      <c r="J1846" s="23" t="inlineStr">
        <is>
          <t>978-5-227-07586-4</t>
        </is>
      </c>
      <c r="K1846" s="23" t="inlineStr">
        <is>
          <t>70x100 1/32</t>
        </is>
      </c>
      <c r="L1846" s="23" t="inlineStr">
        <is>
          <t>мяг</t>
        </is>
      </c>
      <c r="M1846" s="23" t="n">
        <v>160</v>
      </c>
      <c r="N1846" s="23" t="n">
        <v>2017</v>
      </c>
      <c r="O1846" s="23" t="n">
        <v>76</v>
      </c>
      <c r="P1846" s="23" t="n"/>
      <c r="Q1846" s="23" t="n"/>
      <c r="R1846" s="25" t="inlineStr">
        <is>
          <t>Зеб Ричардс, незаконнорожденный сын известного миллионера, долгие годы планировал вернуть пивоваренную компанию, принадлежащую ему по праву. Добившись задуманного, он строит новые планы на бизнес. Но воплотить их в жизнь можно лишь при помощи свободолюбивой и вспыльчивой Кейси, работницы пивоварни. Кейси не подчиняется приказам и делает только то, что считает нужным. Она готова помочь Зебу с развитием бизнеса, вот только они оба даже не догадываются, чем обернется их тесное сотрудничество…</t>
        </is>
      </c>
      <c r="S1846" s="26">
        <f>HYPERLINK("http://www.cnpol.ru/covers/17544.jpg","фото на сайте")</f>
        <v/>
      </c>
    </row>
    <row r="1847" ht="50.1" customHeight="1" s="3">
      <c r="A1847" s="23" t="n"/>
      <c r="B1847" s="24" t="inlineStr">
        <is>
          <t>18383</t>
        </is>
      </c>
      <c r="C1847" s="23" t="inlineStr">
        <is>
          <t>ЛР СО</t>
        </is>
      </c>
      <c r="D1847" s="23" t="inlineStr">
        <is>
          <t>Лоренс А.</t>
        </is>
      </c>
      <c r="E1847" s="23" t="inlineStr">
        <is>
          <t>Как быстро закончилась ночь</t>
        </is>
      </c>
      <c r="F1847" s="23" t="n">
        <v>285</v>
      </c>
      <c r="G1847" s="23" t="n">
        <v>102</v>
      </c>
      <c r="H1847" s="23" t="n">
        <v>10</v>
      </c>
      <c r="I1847" s="23" t="n">
        <v>30</v>
      </c>
      <c r="J1847" s="23" t="inlineStr">
        <is>
          <t>978-5-227-08362-3</t>
        </is>
      </c>
      <c r="K1847" s="23" t="inlineStr">
        <is>
          <t>70x100 1/32</t>
        </is>
      </c>
      <c r="L1847" s="23" t="inlineStr">
        <is>
          <t>мяг</t>
        </is>
      </c>
      <c r="M1847" s="23" t="n">
        <v>160</v>
      </c>
      <c r="N1847" s="23" t="n">
        <v>2018</v>
      </c>
      <c r="O1847" s="23" t="n">
        <v>76</v>
      </c>
      <c r="P1847" s="23" t="n"/>
      <c r="Q1847" s="23" t="n"/>
      <c r="R1847" s="25" t="inlineStr">
        <is>
          <t>Люси Кэмпбелл получает по завещанию в наследство полмиллиарда долларов, которые ей оставила Элис Дрейк. В течение пяти лет девушка ухаживала за старушкой и дружески опекала ее. Племянник Элис, миллионер Оливер Дрейк, уверенный в том, что Люси мошенница, решает употребить все средства, включая судебное разбирательство, чтобы разоблачить ее. Но «мошенница» оказалась очаровательной, умной, искренней и доброй девушкой, и Оливер всерьез ею увлекся. Он совсем уж было решил отозвать судебный иск, когда обстоятельства вновь заставили его усомниться в честности Люси...</t>
        </is>
      </c>
      <c r="S1847" s="26">
        <f>HYPERLINK("http://www.cnpol.ru/covers/18383.jpg","фото на сайте")</f>
        <v/>
      </c>
    </row>
    <row r="1848" ht="50.1" customHeight="1" s="3">
      <c r="A1848" s="23" t="n"/>
      <c r="B1848" s="24" t="inlineStr">
        <is>
          <t>16053</t>
        </is>
      </c>
      <c r="C1848" s="23" t="inlineStr">
        <is>
          <t>ЛР СО</t>
        </is>
      </c>
      <c r="D1848" s="23" t="inlineStr">
        <is>
          <t>Деноски К.</t>
        </is>
      </c>
      <c r="E1848" s="23" t="inlineStr">
        <is>
          <t>Как в первый раз</t>
        </is>
      </c>
      <c r="F1848" s="23" t="n">
        <v>123</v>
      </c>
      <c r="G1848" s="23" t="n">
        <v>102</v>
      </c>
      <c r="H1848" s="23" t="n">
        <v>10</v>
      </c>
      <c r="I1848" s="23" t="n">
        <v>30</v>
      </c>
      <c r="J1848" s="23" t="inlineStr">
        <is>
          <t>978-5-227-06064-8</t>
        </is>
      </c>
      <c r="K1848" s="23" t="inlineStr">
        <is>
          <t>70x100 1/32</t>
        </is>
      </c>
      <c r="L1848" s="23" t="inlineStr">
        <is>
          <t>мяг</t>
        </is>
      </c>
      <c r="M1848" s="23" t="n">
        <v>158</v>
      </c>
      <c r="N1848" s="23" t="n">
        <v>2015</v>
      </c>
      <c r="O1848" s="23" t="n">
        <v>76</v>
      </c>
      <c r="P1848" s="23" t="n"/>
      <c r="Q1848" s="23" t="n"/>
      <c r="R1848" s="25" t="inlineStr">
        <is>
          <t>Кайли и Джош провели вместе всего одну ночь, и то по ошибке. Три года спустя Кайли возвращается в свой родной город и становится директором нового детского центра. Джош заседает в комиссии, ответственной за финансирование центра. Что произойдет, когда он узнает, что у их единственной ночи были последствия и он — отец маленькой дочери Кайли?</t>
        </is>
      </c>
      <c r="S1848" s="26">
        <f>HYPERLINK("http://www.cnpol.ru/covers/16053.jpg","фото на сайте")</f>
        <v/>
      </c>
    </row>
    <row r="1849" ht="50.1" customHeight="1" s="3">
      <c r="A1849" s="23" t="n"/>
      <c r="B1849" s="24" t="inlineStr">
        <is>
          <t>17602</t>
        </is>
      </c>
      <c r="C1849" s="23" t="inlineStr">
        <is>
          <t>ЛР СО</t>
        </is>
      </c>
      <c r="D1849" s="23" t="inlineStr">
        <is>
          <t>Вуд Джосс</t>
        </is>
      </c>
      <c r="E1849" s="23" t="inlineStr">
        <is>
          <t>Кастинг на лучшую любовницу</t>
        </is>
      </c>
      <c r="F1849" s="23" t="n">
        <v>229</v>
      </c>
      <c r="G1849" s="23" t="n">
        <v>102</v>
      </c>
      <c r="H1849" s="23" t="n">
        <v>10</v>
      </c>
      <c r="I1849" s="23" t="n">
        <v>30</v>
      </c>
      <c r="J1849" s="23" t="inlineStr">
        <is>
          <t>978-5-227-07620-5</t>
        </is>
      </c>
      <c r="K1849" s="23" t="inlineStr">
        <is>
          <t>70x100 1/32</t>
        </is>
      </c>
      <c r="L1849" s="23" t="inlineStr">
        <is>
          <t>мяг</t>
        </is>
      </c>
      <c r="M1849" s="23" t="n">
        <v>160</v>
      </c>
      <c r="N1849" s="23" t="n">
        <v>2017</v>
      </c>
      <c r="O1849" s="23" t="n">
        <v>76</v>
      </c>
      <c r="P1849" s="23" t="n"/>
      <c r="Q1849" s="23" t="n"/>
      <c r="R1849" s="25" t="inlineStr">
        <is>
          <t>У бизнесмена Кейди Вебба и красотки Броуди Стюарт есть все основания не верить в любовь, брак, семью: оба они знают, что такое лишения и горести. Отец Кейди, художник, всю жизнь занимался лишь творчеством, не уделяя должного внимания сыну. Семья Броуди погибла в автокатастрофе. Но и отрицать взаимное влечение они не в силах. Одна ночь любви — все, что Кейди и Броуди могут себе позволить. На благотворительном балу Кейди выигрывает особенный подарок — услуги профессиональной свахи. А Броуди и есть сваха. В течение месяца ей предстоит организовать для Кейди три свидания. Но как искать женщину мужчине, к которому тебя так влечет? И который является… отцом твоего будущего ребенка?</t>
        </is>
      </c>
      <c r="S1849" s="26">
        <f>HYPERLINK("http://www.cnpol.ru/covers/17602.jpg","фото на сайте")</f>
        <v/>
      </c>
    </row>
    <row r="1850" ht="50.1" customHeight="1" s="3">
      <c r="A1850" s="23" t="n"/>
      <c r="B1850" s="24" t="inlineStr">
        <is>
          <t>19358</t>
        </is>
      </c>
      <c r="C1850" s="23" t="inlineStr">
        <is>
          <t>ЛР СО</t>
        </is>
      </c>
      <c r="D1850" s="23" t="inlineStr">
        <is>
          <t>Сэндс Ч.</t>
        </is>
      </c>
      <c r="E1850" s="23" t="inlineStr">
        <is>
          <t>Ключ к его сердцу</t>
        </is>
      </c>
      <c r="F1850" s="23" t="n">
        <v>360</v>
      </c>
      <c r="G1850" s="23" t="n">
        <v>102</v>
      </c>
      <c r="H1850" s="23" t="n">
        <v>10</v>
      </c>
      <c r="I1850" s="23" t="n">
        <v>30</v>
      </c>
      <c r="J1850" s="23" t="inlineStr">
        <is>
          <t>978-5-227-09084-3</t>
        </is>
      </c>
      <c r="K1850" s="23" t="inlineStr">
        <is>
          <t>70x100 1/32</t>
        </is>
      </c>
      <c r="L1850" s="23" t="inlineStr">
        <is>
          <t>мяг</t>
        </is>
      </c>
      <c r="M1850" s="23" t="n">
        <v>160</v>
      </c>
      <c r="N1850" s="23" t="n">
        <v>2020</v>
      </c>
      <c r="O1850" s="23" t="n">
        <v>76</v>
      </c>
      <c r="P1850" s="23" t="n"/>
      <c r="Q1850" s="23" t="n"/>
      <c r="R1850" s="25" t="inlineStr">
        <is>
          <t>Богатый вдовец Мейсон Бун, скорбящий по покойной жене, живет в городке Бун­Спрингс, основанном его предками. В этот же город ненадолго возвратилась Андреа Макдональд. Когда­то они встречались, но обида и непонимание разрушили их союз. Привлекательный техасец разбил Дреа сердце, а его семья отобрала у ее семьи землю и дом. Однако девушка не смогла вновь не поддаться его чарам…</t>
        </is>
      </c>
      <c r="S1850" s="26">
        <f>HYPERLINK("http://www.cnpol.ru/covers/19358.jpg","фото на сайте")</f>
        <v/>
      </c>
    </row>
    <row r="1851" ht="50.1" customHeight="1" s="3">
      <c r="A1851" s="23" t="n"/>
      <c r="B1851" s="24" t="inlineStr">
        <is>
          <t>20510</t>
        </is>
      </c>
      <c r="C1851" s="23" t="inlineStr">
        <is>
          <t>ЛР СО</t>
        </is>
      </c>
      <c r="D1851" s="23" t="inlineStr">
        <is>
          <t>Маккена Ш.</t>
        </is>
      </c>
      <c r="E1851" s="23" t="inlineStr">
        <is>
          <t>Ключ к ее желаниям</t>
        </is>
      </c>
      <c r="F1851" s="23" t="n">
        <v>420</v>
      </c>
      <c r="G1851" s="23" t="n">
        <v>102</v>
      </c>
      <c r="H1851" s="23" t="n">
        <v>10</v>
      </c>
      <c r="I1851" s="23" t="n">
        <v>30</v>
      </c>
      <c r="J1851" s="23" t="inlineStr">
        <is>
          <t>978-5-227-10159-4</t>
        </is>
      </c>
      <c r="K1851" s="23" t="inlineStr">
        <is>
          <t>70x100 1/32</t>
        </is>
      </c>
      <c r="L1851" s="23" t="inlineStr">
        <is>
          <t>мяг</t>
        </is>
      </c>
      <c r="M1851" s="23" t="n">
        <v>159</v>
      </c>
      <c r="N1851" s="23" t="n">
        <v>2023</v>
      </c>
      <c r="O1851" s="23" t="n">
        <v>76</v>
      </c>
      <c r="P1851" s="23" t="n"/>
      <c r="Q1851" s="23" t="n"/>
      <c r="R1851" s="25" t="inlineStr">
        <is>
          <t>Софи Валенте, специалист по компьютерной безопасности, устраивается в архитектурную фирму «Мэддокс Хилл», чтобы быть ближе к отцу, который не подозревает о ее существовании. Софи рискует не только карьерой, но и репутацией, пытаясь заполучить доказательства родства с основателем фирмы, но не может устоять перед обаянием молодого привлекательного босса. Ванн Акоста всегда остерегался служебных романов, но что делать, если любовь подстерегла на рабочем месте, а возлюбленную несправедливо обвинили в преступлении?..</t>
        </is>
      </c>
      <c r="S1851" s="26">
        <f>HYPERLINK("http://www.cnpol.ru/covers/20510.jpg","фото на сайте")</f>
        <v/>
      </c>
    </row>
    <row r="1852" ht="50.1" customHeight="1" s="3">
      <c r="A1852" s="23" t="n"/>
      <c r="B1852" s="24" t="inlineStr">
        <is>
          <t>19950</t>
        </is>
      </c>
      <c r="C1852" s="23" t="inlineStr">
        <is>
          <t>ЛР СО</t>
        </is>
      </c>
      <c r="D1852" s="23" t="inlineStr">
        <is>
          <t>Дэй З.</t>
        </is>
      </c>
      <c r="E1852" s="23" t="inlineStr">
        <is>
          <t>Клятвы в городе страсти</t>
        </is>
      </c>
      <c r="F1852" s="23" t="n">
        <v>392</v>
      </c>
      <c r="G1852" s="23" t="n">
        <v>102</v>
      </c>
      <c r="H1852" s="23" t="n">
        <v>10</v>
      </c>
      <c r="I1852" s="23" t="n">
        <v>30</v>
      </c>
      <c r="J1852" s="23" t="inlineStr">
        <is>
          <t>978-5-227-09604-3</t>
        </is>
      </c>
      <c r="K1852" s="23" t="inlineStr">
        <is>
          <t>70x100 1/32</t>
        </is>
      </c>
      <c r="L1852" s="23" t="inlineStr">
        <is>
          <t>мяг</t>
        </is>
      </c>
      <c r="M1852" s="23" t="n">
        <v>159</v>
      </c>
      <c r="N1852" s="23" t="n">
        <v>2021</v>
      </c>
      <c r="O1852" s="23" t="n">
        <v>76</v>
      </c>
      <c r="P1852" s="23" t="n"/>
      <c r="Q1852" s="23" t="n"/>
      <c r="R1852" s="25" t="inlineStr">
        <is>
          <t>Когда Лорен представился шанс сбежать от проблем, она ухватилась за него с радостью. А стоило сначала подумать — куда и к чему она бежит. Теперь у нее много работы, и она рада этому. Но невероятное притяжение между ней и сыном начальницы и старая история любви очень мешают сосредоточиться на делах. Что со всем этим делать? Множество вопросов, ответы на которые знает только ее сердце…</t>
        </is>
      </c>
      <c r="S1852" s="26">
        <f>HYPERLINK("http://www.cnpol.ru/covers/19950.jpg","фото на сайте")</f>
        <v/>
      </c>
    </row>
    <row r="1853" ht="50.1" customHeight="1" s="3">
      <c r="A1853" s="23" t="n"/>
      <c r="B1853" s="24" t="inlineStr">
        <is>
          <t>17692</t>
        </is>
      </c>
      <c r="C1853" s="23" t="inlineStr">
        <is>
          <t>ЛР СО</t>
        </is>
      </c>
      <c r="D1853" s="23" t="inlineStr">
        <is>
          <t>Данлоп Б.</t>
        </is>
      </c>
      <c r="E1853" s="23" t="inlineStr">
        <is>
          <t>Коктейль неутоленных желаний</t>
        </is>
      </c>
      <c r="F1853" s="23" t="n">
        <v>237</v>
      </c>
      <c r="G1853" s="23" t="n">
        <v>102</v>
      </c>
      <c r="H1853" s="23" t="n">
        <v>10</v>
      </c>
      <c r="I1853" s="23" t="n">
        <v>30</v>
      </c>
      <c r="J1853" s="23" t="inlineStr">
        <is>
          <t>978-5-227-07710-3</t>
        </is>
      </c>
      <c r="K1853" s="23" t="inlineStr">
        <is>
          <t>70x100 1/32</t>
        </is>
      </c>
      <c r="L1853" s="23" t="inlineStr">
        <is>
          <t>мяг</t>
        </is>
      </c>
      <c r="M1853" s="23" t="n">
        <v>160</v>
      </c>
      <c r="N1853" s="23" t="n">
        <v>2017</v>
      </c>
      <c r="O1853" s="23" t="n">
        <v>76</v>
      </c>
      <c r="P1853" s="23" t="n"/>
      <c r="Q1853" s="23" t="n"/>
      <c r="R1853" s="25" t="inlineStr">
        <is>
          <t>Броуди Колдер проникает под вымышленным именем в дом своего делового  конкурента, чтобы вернуть то, что по праву принадлежит его семье. Там он знакомится с веселой беззаботной Кейт Данхерн и понимает, что его очень сильно влечет к сумасбродной красавице. Это осложняет опасную миссию Броуди, поскольку ему все время кажется, что Кейт не та, за кого себя выдает…</t>
        </is>
      </c>
      <c r="S1853" s="26">
        <f>HYPERLINK("http://www.cnpol.ru/covers/17692.jpg","фото на сайте")</f>
        <v/>
      </c>
    </row>
    <row r="1854" ht="50.1" customHeight="1" s="3">
      <c r="A1854" s="23" t="n"/>
      <c r="B1854" s="24" t="inlineStr">
        <is>
          <t>17845</t>
        </is>
      </c>
      <c r="C1854" s="23" t="inlineStr">
        <is>
          <t>ЛР СО</t>
        </is>
      </c>
      <c r="D1854" s="23" t="inlineStr">
        <is>
          <t>Гейтс О.</t>
        </is>
      </c>
      <c r="E1854" s="23" t="inlineStr">
        <is>
          <t>Королева соблазна</t>
        </is>
      </c>
      <c r="F1854" s="23" t="n">
        <v>248</v>
      </c>
      <c r="G1854" s="23" t="n">
        <v>102</v>
      </c>
      <c r="H1854" s="23" t="n">
        <v>10</v>
      </c>
      <c r="I1854" s="23" t="n">
        <v>30</v>
      </c>
      <c r="J1854" s="23" t="inlineStr">
        <is>
          <t>978-5-227-07788-2</t>
        </is>
      </c>
      <c r="K1854" s="23" t="inlineStr">
        <is>
          <t>70x100 1/32</t>
        </is>
      </c>
      <c r="L1854" s="23" t="inlineStr">
        <is>
          <t>мяг</t>
        </is>
      </c>
      <c r="M1854" s="23" t="n">
        <v>160</v>
      </c>
      <c r="N1854" s="23" t="n">
        <v>2017</v>
      </c>
      <c r="O1854" s="23" t="n">
        <v>76</v>
      </c>
      <c r="P1854" s="23" t="n"/>
      <c r="Q1854" s="23" t="n"/>
      <c r="R1854" s="25" t="inlineStr">
        <is>
          <t>Российский миллиардер Иван Константинов, проданный в детстве в рабство тайной Организации, вопреки всему выживает и становится очень успешным человеком. Когда­то он был влюблен в Анастейшу Шеферд, но вынужденно оставил ее, решив, что рядом с ним любимая постоянно будет в опасности. Спустя годы они встречаются вновь, и теперь у Анастейши действительно есть проблемы, которые под силу решить только ему… Вот только девушка никак не может довериться Ивану: ей кажется, что он совсем не тот, за кого себя выдает.</t>
        </is>
      </c>
      <c r="S1854" s="26">
        <f>HYPERLINK("http://www.cnpol.ru/covers/17845.jpg","фото на сайте")</f>
        <v/>
      </c>
    </row>
    <row r="1855" ht="50.1" customHeight="1" s="3">
      <c r="A1855" s="23" t="n"/>
      <c r="B1855" s="24" t="inlineStr">
        <is>
          <t>17681</t>
        </is>
      </c>
      <c r="C1855" s="23" t="inlineStr">
        <is>
          <t>ЛР СО</t>
        </is>
      </c>
      <c r="D1855" s="23" t="inlineStr">
        <is>
          <t>Бут К.</t>
        </is>
      </c>
      <c r="E1855" s="23" t="inlineStr">
        <is>
          <t>Кто сдастся первым?</t>
        </is>
      </c>
      <c r="F1855" s="23" t="n">
        <v>236</v>
      </c>
      <c r="G1855" s="23" t="n">
        <v>102</v>
      </c>
      <c r="H1855" s="23" t="n">
        <v>10</v>
      </c>
      <c r="I1855" s="23" t="n">
        <v>30</v>
      </c>
      <c r="J1855" s="23" t="inlineStr">
        <is>
          <t>978-5-227-07709-7</t>
        </is>
      </c>
      <c r="K1855" s="23" t="inlineStr">
        <is>
          <t>70x100 1/32</t>
        </is>
      </c>
      <c r="L1855" s="23" t="inlineStr">
        <is>
          <t>мяг</t>
        </is>
      </c>
      <c r="M1855" s="23" t="n">
        <v>160</v>
      </c>
      <c r="N1855" s="23" t="n">
        <v>2017</v>
      </c>
      <c r="O1855" s="23" t="n">
        <v>76</v>
      </c>
      <c r="P1855" s="23" t="n"/>
      <c r="Q1855" s="23" t="n"/>
      <c r="R1855" s="25" t="inlineStr">
        <is>
          <t>Джейкоб Линь провел последние шесть лет, строя планы по уничтожению Адама Лэнгфорда и его компании. Некогда лучшие друзья, теперь они стали заклятыми врагами. Неожиданно сестра Адама, Анна, приходит к Джейкобу с деловым предложением. Он понимает, что судьба предоставила ему шанс отомстить конкуренту, ведь Адам контролирует каждый шаг своей сестры и не переживет ее предательства. Но все идет не так, как планировалось: Анна и Джейкоб не могут сопротивляться сумасшедшему влечению, которое возникло между ними с первого дня. Сможет ли Анна ослушаться воли брата и построить отношения с Джейкобом? Ведь конфликт с Адамом полностью разрушит ее жизнь…</t>
        </is>
      </c>
      <c r="S1855" s="26">
        <f>HYPERLINK("http://www.cnpol.ru/covers/17681.jpg","фото на сайте")</f>
        <v/>
      </c>
    </row>
    <row r="1856" ht="50.1" customHeight="1" s="3">
      <c r="A1856" s="23" t="n"/>
      <c r="B1856" s="24" t="inlineStr">
        <is>
          <t>18481</t>
        </is>
      </c>
      <c r="C1856" s="23" t="inlineStr">
        <is>
          <t>ЛР СО</t>
        </is>
      </c>
      <c r="D1856" s="23" t="inlineStr">
        <is>
          <t>Манн К.</t>
        </is>
      </c>
      <c r="E1856" s="23" t="inlineStr">
        <is>
          <t>Кульминация страсти</t>
        </is>
      </c>
      <c r="F1856" s="23" t="n">
        <v>293</v>
      </c>
      <c r="G1856" s="23" t="n">
        <v>102</v>
      </c>
      <c r="H1856" s="23" t="n">
        <v>10</v>
      </c>
      <c r="I1856" s="23" t="n">
        <v>30</v>
      </c>
      <c r="J1856" s="23" t="inlineStr">
        <is>
          <t>978-5-227-08396-8</t>
        </is>
      </c>
      <c r="K1856" s="23" t="inlineStr">
        <is>
          <t>70x100 1/32</t>
        </is>
      </c>
      <c r="L1856" s="23" t="inlineStr">
        <is>
          <t>мяг</t>
        </is>
      </c>
      <c r="M1856" s="23" t="n">
        <v>160</v>
      </c>
      <c r="N1856" s="23" t="n">
        <v>2019</v>
      </c>
      <c r="O1856" s="23" t="n">
        <v>76</v>
      </c>
      <c r="P1856" s="23" t="n"/>
      <c r="Q1856" s="23" t="n"/>
      <c r="R1856" s="25" t="inlineStr">
        <is>
          <t>Бродерик и Гленна — отпрыски конкурирующих семей, занимающие крупные должности в семейном бизнесе. Но на пороге внезапного объединения двух компаний им приходится начать работать вместе — а тут к этому примешивается еще и подброшенный младенец, и вопрос отцовства заставляет обоих героев переосмыслить свою жизнь...</t>
        </is>
      </c>
      <c r="S1856" s="26">
        <f>HYPERLINK("http://www.cnpol.ru/covers/18481.jpg","фото на сайте")</f>
        <v/>
      </c>
    </row>
    <row r="1857" ht="50.1" customHeight="1" s="3">
      <c r="A1857" s="23" t="n"/>
      <c r="B1857" s="24" t="inlineStr">
        <is>
          <t>18628</t>
        </is>
      </c>
      <c r="C1857" s="23" t="inlineStr">
        <is>
          <t>ЛР СО</t>
        </is>
      </c>
      <c r="D1857" s="23" t="inlineStr">
        <is>
          <t>Рок Джоанна</t>
        </is>
      </c>
      <c r="E1857" s="23" t="inlineStr">
        <is>
          <t>Курортная прелюдия к браку</t>
        </is>
      </c>
      <c r="F1857" s="23" t="n">
        <v>304</v>
      </c>
      <c r="G1857" s="23" t="n">
        <v>102</v>
      </c>
      <c r="H1857" s="23" t="n">
        <v>10</v>
      </c>
      <c r="I1857" s="23" t="n">
        <v>30</v>
      </c>
      <c r="J1857" s="23" t="inlineStr">
        <is>
          <t>978-5-227-08516-0</t>
        </is>
      </c>
      <c r="K1857" s="23" t="inlineStr">
        <is>
          <t>70x100 1/32</t>
        </is>
      </c>
      <c r="L1857" s="23" t="inlineStr">
        <is>
          <t>мяг</t>
        </is>
      </c>
      <c r="M1857" s="23" t="n">
        <v>160</v>
      </c>
      <c r="N1857" s="23" t="n">
        <v>2019</v>
      </c>
      <c r="O1857" s="23" t="n">
        <v>78</v>
      </c>
      <c r="P1857" s="23" t="n"/>
      <c r="Q1857" s="23" t="n"/>
      <c r="R1857" s="25" t="inlineStr">
        <is>
          <t>Проработав два года на курорте Джегера Макнилла на острове Мартиника, Делия Рикард даже представить себе не могла, что однажды она безумно влюбится в босса. После одной­единственной ночи она не собиралась продолжать эти отношения, но ее неожиданная беременность переворачивает все с ног на голову…</t>
        </is>
      </c>
      <c r="S1857" s="26">
        <f>HYPERLINK("http://www.cnpol.ru/covers/18628.jpg","фото на сайте")</f>
        <v/>
      </c>
    </row>
    <row r="1858" ht="50.1" customHeight="1" s="3">
      <c r="A1858" s="23" t="n"/>
      <c r="B1858" s="24" t="inlineStr">
        <is>
          <t>19269</t>
        </is>
      </c>
      <c r="C1858" s="23" t="inlineStr">
        <is>
          <t>ЛР СО</t>
        </is>
      </c>
      <c r="D1858" s="23" t="inlineStr">
        <is>
          <t>Эшенден Д.</t>
        </is>
      </c>
      <c r="E1858" s="23" t="inlineStr">
        <is>
          <t>Лекарство для разбитого сердца</t>
        </is>
      </c>
      <c r="F1858" s="23" t="n">
        <v>354</v>
      </c>
      <c r="G1858" s="23" t="n">
        <v>102</v>
      </c>
      <c r="H1858" s="23" t="n">
        <v>10</v>
      </c>
      <c r="I1858" s="23" t="n">
        <v>30</v>
      </c>
      <c r="J1858" s="23" t="inlineStr">
        <is>
          <t>978-5-227-09060-7</t>
        </is>
      </c>
      <c r="K1858" s="23" t="inlineStr">
        <is>
          <t>70x100 1/32</t>
        </is>
      </c>
      <c r="L1858" s="23" t="inlineStr">
        <is>
          <t>мяг</t>
        </is>
      </c>
      <c r="M1858" s="23" t="n">
        <v>160</v>
      </c>
      <c r="N1858" s="23" t="n">
        <v>2020</v>
      </c>
      <c r="O1858" s="23" t="n">
        <v>76</v>
      </c>
      <c r="P1858" s="23" t="n"/>
      <c r="Q1858" s="23" t="n"/>
      <c r="R1858" s="25" t="inlineStr">
        <is>
          <t>Несколько лет назад Энцо Кардинали, молодой итальянский миллиардер, пережил недолгий, но бурный роман с рыжеволосой красавицей Саммер. А теперь снова встретил ее, но уже замужнюю и с маленьким сыном на руках. Только оказалось, что ребенка она родила вовсе не от мужа, а от Энцо…</t>
        </is>
      </c>
      <c r="S1858" s="26">
        <f>HYPERLINK("http://www.cnpol.ru/covers/19269.jpg","фото на сайте")</f>
        <v/>
      </c>
    </row>
    <row r="1859" ht="50.1" customHeight="1" s="3">
      <c r="A1859" s="23" t="n"/>
      <c r="B1859" s="24" t="inlineStr">
        <is>
          <t>16653</t>
        </is>
      </c>
      <c r="C1859" s="23" t="inlineStr">
        <is>
          <t>ЛР СО</t>
        </is>
      </c>
      <c r="D1859" s="23" t="inlineStr">
        <is>
          <t>Шилд К.</t>
        </is>
      </c>
      <c r="E1859" s="23" t="inlineStr">
        <is>
          <t>Ловушка для влюбленных</t>
        </is>
      </c>
      <c r="F1859" s="23" t="n">
        <v>163</v>
      </c>
      <c r="G1859" s="23" t="n">
        <v>102</v>
      </c>
      <c r="H1859" s="23" t="n">
        <v>10</v>
      </c>
      <c r="I1859" s="23" t="n">
        <v>30</v>
      </c>
      <c r="J1859" s="23" t="inlineStr">
        <is>
          <t>978-5-227-06707-4</t>
        </is>
      </c>
      <c r="K1859" s="23" t="inlineStr">
        <is>
          <t>70x100 1/32</t>
        </is>
      </c>
      <c r="L1859" s="23" t="inlineStr">
        <is>
          <t>мяг</t>
        </is>
      </c>
      <c r="M1859" s="23" t="n">
        <v>160</v>
      </c>
      <c r="N1859" s="23" t="n">
        <v>2016</v>
      </c>
      <c r="O1859" s="23" t="n">
        <v>76</v>
      </c>
      <c r="P1859" s="23" t="n"/>
      <c r="Q1859" s="23" t="n"/>
      <c r="R1859" s="25" t="inlineStr">
        <is>
          <t>Выносив и родив ребенка для четы Фордов, Белла Макэндрюс рассталась с ними, хотя ей было очень трудно оставить малыша Дрю... и его отца, Блейка, в которого она влюбилась. Прошло девять месяцев, и Блейк разыскал Беллу. Ему срочно понадобилась няня для маленького сына…</t>
        </is>
      </c>
      <c r="S1859" s="26">
        <f>HYPERLINK("http://www.cnpol.ru/covers/16653.jpg","фото на сайте")</f>
        <v/>
      </c>
    </row>
    <row r="1860" ht="50.1" customHeight="1" s="3">
      <c r="A1860" s="23" t="n"/>
      <c r="B1860" s="24" t="inlineStr">
        <is>
          <t>19906</t>
        </is>
      </c>
      <c r="C1860" s="23" t="inlineStr">
        <is>
          <t>ЛР СО</t>
        </is>
      </c>
      <c r="D1860" s="23" t="inlineStr">
        <is>
          <t>Уайтфезер Ш.</t>
        </is>
      </c>
      <c r="E1860" s="23" t="inlineStr">
        <is>
          <t>Ловушка для обольстителя</t>
        </is>
      </c>
      <c r="F1860" s="23" t="n">
        <v>389</v>
      </c>
      <c r="G1860" s="23" t="n">
        <v>102</v>
      </c>
      <c r="H1860" s="23" t="n">
        <v>10</v>
      </c>
      <c r="I1860" s="23" t="n">
        <v>30</v>
      </c>
      <c r="J1860" s="23" t="inlineStr">
        <is>
          <t>978-5-227-09564-0</t>
        </is>
      </c>
      <c r="K1860" s="23" t="inlineStr">
        <is>
          <t>70x100 1/32</t>
        </is>
      </c>
      <c r="L1860" s="23" t="inlineStr">
        <is>
          <t>мяг</t>
        </is>
      </c>
      <c r="M1860" s="23" t="n">
        <v>159</v>
      </c>
      <c r="N1860" s="23" t="n">
        <v>2021</v>
      </c>
      <c r="O1860" s="23" t="n">
        <v>76</v>
      </c>
      <c r="P1860" s="23" t="n"/>
      <c r="Q1860" s="23" t="n"/>
      <c r="R1860" s="25" t="inlineStr">
        <is>
          <t>Макс и Лиззи познакомились в школе и очень быстро поняли, что у них много общего. С тех пор прошло уже больше десяти лет, но они по­прежнему лучшие друзья. За это время Макс из забитого школьного «ботаника» превратился в миллиардера, но это не помогло ему избавиться от воспоминаний о сложном детстве. Макс уверен, что Лиззи поддержит его абсолютно во всем – даже в опасной авантюре, которая заставит их обоих лгать своим друзьям и близким. Ведь они всего лишь хотят подарить крупицу счастья себе и одному маленькому сироте по имени Токони.</t>
        </is>
      </c>
      <c r="S1860" s="26">
        <f>HYPERLINK("http://www.cnpol.ru/covers/19906.jpg","фото на сайте")</f>
        <v/>
      </c>
    </row>
    <row r="1861" ht="50.1" customHeight="1" s="3">
      <c r="A1861" s="23" t="n"/>
      <c r="B1861" s="24" t="inlineStr">
        <is>
          <t>16342</t>
        </is>
      </c>
      <c r="C1861" s="23" t="inlineStr">
        <is>
          <t>ЛР СО</t>
        </is>
      </c>
      <c r="D1861" s="23" t="inlineStr">
        <is>
          <t>Бетс Хейди</t>
        </is>
      </c>
      <c r="E1861" s="23" t="inlineStr">
        <is>
          <t>Ложь, страсть и бриллианты</t>
        </is>
      </c>
      <c r="F1861" s="23" t="n">
        <v>142</v>
      </c>
      <c r="G1861" s="23" t="n">
        <v>102</v>
      </c>
      <c r="H1861" s="23" t="n">
        <v>10</v>
      </c>
      <c r="I1861" s="23" t="n">
        <v>30</v>
      </c>
      <c r="J1861" s="23" t="inlineStr">
        <is>
          <t>978-5-227-06198-0</t>
        </is>
      </c>
      <c r="K1861" s="23" t="inlineStr">
        <is>
          <t>70x100 1/32</t>
        </is>
      </c>
      <c r="L1861" s="23" t="inlineStr">
        <is>
          <t>мяг</t>
        </is>
      </c>
      <c r="M1861" s="23" t="n">
        <v>158</v>
      </c>
      <c r="N1861" s="23" t="n">
        <v>2015</v>
      </c>
      <c r="O1861" s="23" t="n">
        <v>76</v>
      </c>
      <c r="P1861" s="23" t="n"/>
      <c r="Q1861" s="23" t="n"/>
      <c r="R1861" s="25" t="inlineStr">
        <is>
          <t>Пригласив на ужин горничную отеля Джессику, ювелирный магнат Александр Бахоран хотел лишь скоротать время. Однако загадочная девушка вскоре всерьез овладевает всеми его мыслями. Удивление Александра не знает границ, когда в первую же совместную ночь Джессика таинственно исчезает. И появляется спустя год при столь же таинственных обстоятельствах…</t>
        </is>
      </c>
      <c r="S1861" s="26">
        <f>HYPERLINK("http://www.cnpol.ru/covers/16342.jpg","фото на сайте")</f>
        <v/>
      </c>
    </row>
    <row r="1862" ht="50.1" customHeight="1" s="3">
      <c r="A1862" s="23" t="inlineStr">
        <is>
          <t>Н</t>
        </is>
      </c>
      <c r="B1862" s="24" t="inlineStr">
        <is>
          <t>21491</t>
        </is>
      </c>
      <c r="C1862" s="23" t="inlineStr">
        <is>
          <t>ЛР СО</t>
        </is>
      </c>
      <c r="D1862" s="23" t="inlineStr">
        <is>
          <t>Обин С.</t>
        </is>
      </c>
      <c r="E1862" s="23" t="inlineStr">
        <is>
          <t>Лотерея соблазна</t>
        </is>
      </c>
      <c r="F1862" s="23" t="n">
        <v>450</v>
      </c>
      <c r="G1862" s="23" t="n">
        <v>102</v>
      </c>
      <c r="H1862" s="23" t="n">
        <v>10</v>
      </c>
      <c r="I1862" s="23" t="n">
        <v>30</v>
      </c>
      <c r="J1862" s="23" t="inlineStr">
        <is>
          <t>978-5-227-10695-7</t>
        </is>
      </c>
      <c r="K1862" s="23" t="inlineStr">
        <is>
          <t>70x100 1/32</t>
        </is>
      </c>
      <c r="L1862" s="23" t="inlineStr">
        <is>
          <t>мяг</t>
        </is>
      </c>
      <c r="M1862" s="23" t="n">
        <v>159</v>
      </c>
      <c r="N1862" s="23" t="n">
        <v>2024</v>
      </c>
      <c r="O1862" s="23" t="n">
        <v>76</v>
      </c>
      <c r="P1862" s="23" t="n"/>
      <c r="Q1862" s="23" t="n"/>
      <c r="R1862" s="25" t="inlineStr">
        <is>
          <t>В штате Техас в городе Ройал живут две влиятельных и богатых семьи — Дель Рио и Уинтерс. Предки их стали заклятыми врагами, с той поры такие отношения сохранились и между потомками. Однако Мэгги Дель Рио и Джерико Уинтерс знакомятся случайно на сайте и решают пожениться. На их помолвке брат Мэгги Престон решает воспользоваться потеплением между семьями и завести разговор с Тиффани Уинтерс, которая нравилась ему в юности. Притяжение оказывается взаимным, и они проводят ночь, после которой Тиффани сообщает Престону, что беременна. В ближайшие дни глава семьи Дель Рио должен объявить, что отходит от дел и передает управление компанией сыну. Если отец узнает о ребенке, возможно, он изменит решение, и не случится то, к чему Престон шел всю жизнь.</t>
        </is>
      </c>
      <c r="S1862" s="26">
        <f>HYPERLINK("http://www.cnpol.ru/covers/21491.jpg","фото на сайте")</f>
        <v/>
      </c>
    </row>
    <row r="1863" ht="50.1" customHeight="1" s="3">
      <c r="A1863" s="23" t="n"/>
      <c r="B1863" s="24" t="inlineStr">
        <is>
          <t>19337</t>
        </is>
      </c>
      <c r="C1863" s="23" t="inlineStr">
        <is>
          <t>ЛР СО</t>
        </is>
      </c>
      <c r="D1863" s="23" t="inlineStr">
        <is>
          <t>Крюс К.</t>
        </is>
      </c>
      <c r="E1863" s="23" t="inlineStr">
        <is>
          <t>Лучшая награда для него</t>
        </is>
      </c>
      <c r="F1863" s="23" t="n">
        <v>359</v>
      </c>
      <c r="G1863" s="23" t="n">
        <v>102</v>
      </c>
      <c r="H1863" s="23" t="n">
        <v>10</v>
      </c>
      <c r="I1863" s="23" t="n">
        <v>30</v>
      </c>
      <c r="J1863" s="23" t="inlineStr">
        <is>
          <t>978-5-227-09083-6</t>
        </is>
      </c>
      <c r="K1863" s="23" t="inlineStr">
        <is>
          <t>70x100 1/32</t>
        </is>
      </c>
      <c r="L1863" s="23" t="inlineStr">
        <is>
          <t>мяг</t>
        </is>
      </c>
      <c r="M1863" s="23" t="n">
        <v>160</v>
      </c>
      <c r="N1863" s="23" t="n">
        <v>2020</v>
      </c>
      <c r="O1863" s="23" t="n">
        <v>76</v>
      </c>
      <c r="P1863" s="23" t="n"/>
      <c r="Q1863" s="23" t="n"/>
      <c r="R1863" s="25" t="inlineStr">
        <is>
          <t>Мэтти Уитакер, наследница огромного состояния, ведет праздный образ жизни и может в скором времени потерять свое наследство, а именно — компанию отца. Чтобы избежать этих неприятностей, ей придется выйти замуж за магната Никодемуса Статиса, который уже давненько положил глаз на юную красавицу…</t>
        </is>
      </c>
      <c r="S1863" s="26">
        <f>HYPERLINK("http://www.cnpol.ru/covers/19337.jpg","фото на сайте")</f>
        <v/>
      </c>
    </row>
    <row r="1864" ht="50.1" customHeight="1" s="3">
      <c r="A1864" s="23" t="n"/>
      <c r="B1864" s="24" t="inlineStr">
        <is>
          <t>19969</t>
        </is>
      </c>
      <c r="C1864" s="23" t="inlineStr">
        <is>
          <t>ЛР СО</t>
        </is>
      </c>
      <c r="D1864" s="23" t="inlineStr">
        <is>
          <t>Рок Джоанна</t>
        </is>
      </c>
      <c r="E1864" s="23" t="inlineStr">
        <is>
          <t>Лучший способ влюбиться</t>
        </is>
      </c>
      <c r="F1864" s="23" t="n">
        <v>393</v>
      </c>
      <c r="G1864" s="23" t="n">
        <v>102</v>
      </c>
      <c r="H1864" s="23" t="n">
        <v>10</v>
      </c>
      <c r="I1864" s="23" t="n">
        <v>30</v>
      </c>
      <c r="J1864" s="23" t="inlineStr">
        <is>
          <t>978-5-227-09605-0</t>
        </is>
      </c>
      <c r="K1864" s="23" t="inlineStr">
        <is>
          <t>70x100 1/32</t>
        </is>
      </c>
      <c r="L1864" s="23" t="inlineStr">
        <is>
          <t>мяг</t>
        </is>
      </c>
      <c r="M1864" s="23" t="n">
        <v>159</v>
      </c>
      <c r="N1864" s="23" t="n">
        <v>2021</v>
      </c>
      <c r="O1864" s="23" t="n">
        <v>76</v>
      </c>
      <c r="P1864" s="23" t="n"/>
      <c r="Q1864" s="23" t="n"/>
      <c r="R1864" s="25" t="inlineStr">
        <is>
          <t>Ксандер Каррин  долго и мучительно переживает смерть жены. С тех пор, как она разбилась во время верховой езды, он избегает серьезных отношений с женщинами, боясь вновь испытать страдания. И все же ему с трудом удается скрыть от самого себя влечение к симпатичной работнице фермы — Фрэнки. Девушка много работает, ухаживает за животными и мечтает стать ветеринаром. Также она собирается участвовать в соревнованиях по верховой езде и выиграть главный приз — билет на знаменитый гала­концерт Техасского клуба скотоводов. Но Ксандер вдруг неожиданно решает подарить ей билет на концерт…</t>
        </is>
      </c>
      <c r="S1864" s="26">
        <f>HYPERLINK("http://www.cnpol.ru/covers/19969.jpg","фото на сайте")</f>
        <v/>
      </c>
    </row>
    <row r="1865" ht="50.1" customHeight="1" s="3">
      <c r="A1865" s="23" t="n"/>
      <c r="B1865" s="24" t="inlineStr">
        <is>
          <t>17524</t>
        </is>
      </c>
      <c r="C1865" s="23" t="inlineStr">
        <is>
          <t>ЛР СО</t>
        </is>
      </c>
      <c r="D1865" s="23" t="inlineStr">
        <is>
          <t>Крюс К.</t>
        </is>
      </c>
      <c r="E1865" s="23" t="inlineStr">
        <is>
          <t>Лучший способ примирения</t>
        </is>
      </c>
      <c r="F1865" s="23" t="n">
        <v>223</v>
      </c>
      <c r="G1865" s="23" t="n">
        <v>102</v>
      </c>
      <c r="H1865" s="23" t="n">
        <v>10</v>
      </c>
      <c r="I1865" s="23" t="n">
        <v>30</v>
      </c>
      <c r="J1865" s="23" t="inlineStr">
        <is>
          <t>978-5-227-07585-7</t>
        </is>
      </c>
      <c r="K1865" s="23" t="inlineStr">
        <is>
          <t>70x100 1/32</t>
        </is>
      </c>
      <c r="L1865" s="23" t="inlineStr">
        <is>
          <t>мяг</t>
        </is>
      </c>
      <c r="M1865" s="23" t="n">
        <v>160</v>
      </c>
      <c r="N1865" s="23" t="n">
        <v>2017</v>
      </c>
      <c r="O1865" s="23" t="n">
        <v>76</v>
      </c>
      <c r="P1865" s="23" t="n"/>
      <c r="Q1865" s="23" t="n"/>
      <c r="R1865" s="25" t="inlineStr">
        <is>
          <t>Вся жизнь Бриттани проходит на глазах у репортеров и перед камерами объективов. Красивая, своенравная и уверенная в себе, она уже три раза побывала замужем, и каждый брак приносил ей новый кирпичик, которым можно было замостить дорогу к славе и свободе. Мало кто догадывается, что скрывается под прекрасной маской ­роковой красавицы. И лишь такой же человек, как она, гордый, самостоятельный и безрассудный, способен понять истину. Кайро — изгнанный из собственной страны король, плейбой и ловелас, или, по крайней мере, таким его видят миллионы любопытных глаз. Чем обернется встреча благородного потомка древнейшего королевского рода и танцовщицы из стриптиз­клуба?</t>
        </is>
      </c>
      <c r="S1865" s="26">
        <f>HYPERLINK("http://www.cnpol.ru/covers/17524.jpg","фото на сайте")</f>
        <v/>
      </c>
    </row>
    <row r="1866" ht="50.1" customHeight="1" s="3">
      <c r="A1866" s="23" t="n"/>
      <c r="B1866" s="24" t="inlineStr">
        <is>
          <t>20544</t>
        </is>
      </c>
      <c r="C1866" s="23" t="inlineStr">
        <is>
          <t>ЛР СО</t>
        </is>
      </c>
      <c r="D1866" s="23" t="inlineStr">
        <is>
          <t>Чайлд М.</t>
        </is>
      </c>
      <c r="E1866" s="23" t="inlineStr">
        <is>
          <t>Лучший тест на страсть</t>
        </is>
      </c>
      <c r="F1866" s="23" t="n">
        <v>423</v>
      </c>
      <c r="G1866" s="23" t="n">
        <v>102</v>
      </c>
      <c r="H1866" s="23" t="n">
        <v>10</v>
      </c>
      <c r="I1866" s="23" t="n">
        <v>30</v>
      </c>
      <c r="J1866" s="23" t="inlineStr">
        <is>
          <t>978-5-227-10195-2</t>
        </is>
      </c>
      <c r="K1866" s="23" t="inlineStr">
        <is>
          <t>70x100 1/32</t>
        </is>
      </c>
      <c r="L1866" s="23" t="inlineStr">
        <is>
          <t>мяг</t>
        </is>
      </c>
      <c r="M1866" s="23" t="n">
        <v>159</v>
      </c>
      <c r="N1866" s="23" t="n">
        <v>2023</v>
      </c>
      <c r="O1866" s="23" t="n">
        <v>76</v>
      </c>
      <c r="P1866" s="23" t="n"/>
      <c r="Q1866" s="23" t="n"/>
      <c r="R1866" s="25" t="inlineStr">
        <is>
          <t>Джастин Кэри встречает бывшую возлюбленную, с которой расстался полтора года назад, без объяснений разорвав отношения. Теперь они с Сэди Харрис — деловые партнеры, вместе готовятся к открытию отеля. Его влечет к ней так же сильно, как раньше, однако Сэди не спешит возобновлять роман. Джастин не подозревает, что шесть месяцев назад стал отцом…</t>
        </is>
      </c>
      <c r="S1866" s="26">
        <f>HYPERLINK("http://www.cnpol.ru/covers/20544.jpg","фото на сайте")</f>
        <v/>
      </c>
    </row>
    <row r="1867" ht="50.1" customHeight="1" s="3">
      <c r="A1867" s="23" t="n"/>
      <c r="B1867" s="24" t="inlineStr">
        <is>
          <t>19424</t>
        </is>
      </c>
      <c r="C1867" s="23" t="inlineStr">
        <is>
          <t>ЛР СО</t>
        </is>
      </c>
      <c r="D1867" s="23" t="inlineStr">
        <is>
          <t>Беннет Д.</t>
        </is>
      </c>
      <c r="E1867" s="23" t="inlineStr">
        <is>
          <t>Любимый притворщик</t>
        </is>
      </c>
      <c r="F1867" s="23" t="n">
        <v>363</v>
      </c>
      <c r="G1867" s="23" t="n">
        <v>102</v>
      </c>
      <c r="H1867" s="23" t="n">
        <v>10</v>
      </c>
      <c r="I1867" s="23" t="n">
        <v>30</v>
      </c>
      <c r="J1867" s="23" t="inlineStr">
        <is>
          <t>978-5-227-09114-7</t>
        </is>
      </c>
      <c r="K1867" s="23" t="inlineStr">
        <is>
          <t>70x100 1/32</t>
        </is>
      </c>
      <c r="L1867" s="23" t="inlineStr">
        <is>
          <t>мяг</t>
        </is>
      </c>
      <c r="M1867" s="23" t="n">
        <v>160</v>
      </c>
      <c r="N1867" s="23" t="n">
        <v>2020</v>
      </c>
      <c r="O1867" s="23" t="n">
        <v>76</v>
      </c>
      <c r="P1867" s="23" t="n"/>
      <c r="Q1867" s="23" t="n"/>
      <c r="R1867" s="25" t="inlineStr">
        <is>
          <t>Чтобы доказать отцу, что она способна эффективно управлять его отелем, Стелла Гарсия работает не покладая рук. Внезапно она оказывается в трудной ситуации, и ей на помощь приходит неотразимый Дейн Майклз, один из постояльцев отеля. Стелла влюбляется в мужчину, окружившего ее заботой и вниманием, даже не подозревая, что он не тот, за кого себя выдает…</t>
        </is>
      </c>
      <c r="S1867" s="26">
        <f>HYPERLINK("http://www.cnpol.ru/covers/19424.jpg","фото на сайте")</f>
        <v/>
      </c>
    </row>
    <row r="1868" ht="50.1" customHeight="1" s="3">
      <c r="A1868" s="23" t="n"/>
      <c r="B1868" s="24" t="inlineStr">
        <is>
          <t>18539</t>
        </is>
      </c>
      <c r="C1868" s="23" t="inlineStr">
        <is>
          <t>ЛР СО</t>
        </is>
      </c>
      <c r="D1868" s="23" t="inlineStr">
        <is>
          <t>Сэндс Ч.</t>
        </is>
      </c>
      <c r="E1868" s="23" t="inlineStr">
        <is>
          <t>Любимый чужой муж</t>
        </is>
      </c>
      <c r="F1868" s="23" t="n">
        <v>298</v>
      </c>
      <c r="G1868" s="23" t="n">
        <v>102</v>
      </c>
      <c r="H1868" s="23" t="n">
        <v>10</v>
      </c>
      <c r="I1868" s="23" t="n">
        <v>30</v>
      </c>
      <c r="J1868" s="23" t="inlineStr">
        <is>
          <t>978-5-227-08442-2</t>
        </is>
      </c>
      <c r="K1868" s="23" t="inlineStr">
        <is>
          <t>70x100 1/32</t>
        </is>
      </c>
      <c r="L1868" s="23" t="inlineStr">
        <is>
          <t>мяг</t>
        </is>
      </c>
      <c r="M1868" s="23" t="n">
        <v>160</v>
      </c>
      <c r="N1868" s="23" t="n">
        <v>2019</v>
      </c>
      <c r="O1868" s="23" t="n">
        <v>76</v>
      </c>
      <c r="P1868" s="23" t="n"/>
      <c r="Q1868" s="23" t="n"/>
      <c r="R1868" s="25" t="inlineStr">
        <is>
          <t>В жизни Эрин все пошло наперекосяк. Мужчина, в которого она была влюблена, оказался женат, и из­за публичного скандала Эрин вынуждена была уволиться с любимой работы. Девушка дала себе слово больше не влюбляться, но случайная встреча в баре кардинально меняет ее жизнь…</t>
        </is>
      </c>
      <c r="S1868" s="26">
        <f>HYPERLINK("http://www.cnpol.ru/covers/18539.jpg","фото на сайте")</f>
        <v/>
      </c>
    </row>
    <row r="1869" ht="50.1" customHeight="1" s="3">
      <c r="A1869" s="23" t="n"/>
      <c r="B1869" s="24" t="inlineStr">
        <is>
          <t>18605</t>
        </is>
      </c>
      <c r="C1869" s="23" t="inlineStr">
        <is>
          <t>ЛР СО</t>
        </is>
      </c>
      <c r="D1869" s="23" t="inlineStr">
        <is>
          <t>Манн К.</t>
        </is>
      </c>
      <c r="E1869" s="23" t="inlineStr">
        <is>
          <t>Любовник из модного каталога</t>
        </is>
      </c>
      <c r="F1869" s="23" t="n">
        <v>303</v>
      </c>
      <c r="G1869" s="23" t="n">
        <v>102</v>
      </c>
      <c r="H1869" s="23" t="n">
        <v>10</v>
      </c>
      <c r="I1869" s="23" t="n">
        <v>30</v>
      </c>
      <c r="J1869" s="23" t="inlineStr">
        <is>
          <t>978-5-227-08515-3</t>
        </is>
      </c>
      <c r="K1869" s="23" t="inlineStr">
        <is>
          <t>70x100 1/32</t>
        </is>
      </c>
      <c r="L1869" s="23" t="inlineStr">
        <is>
          <t>мяг</t>
        </is>
      </c>
      <c r="M1869" s="23" t="n">
        <v>160</v>
      </c>
      <c r="N1869" s="23" t="n">
        <v>2019</v>
      </c>
      <c r="O1869" s="23" t="n">
        <v>78</v>
      </c>
      <c r="P1869" s="23" t="n"/>
      <c r="Q1869" s="23" t="n"/>
      <c r="R1869" s="25" t="inlineStr">
        <is>
          <t>Тристан Миккельсон соглашается по просьбе родных ненадолго возглавить крупную семейную фирму. Но для этого ему нужно изменить свой «деревенский» имидж. Заняться новым образом владельца ранчо берется консультант по имиджу Изабо Уотерс. Вот только кто же мог предвидеть, что случится дальше: их бурная ночь на чужой свадьбе, беременность Изабо и ее отказ выйти за Тристана без любви. Разберутся ли они в своих чувствах?</t>
        </is>
      </c>
      <c r="S1869" s="26">
        <f>HYPERLINK("http://www.cnpol.ru/covers/18605.jpg","фото на сайте")</f>
        <v/>
      </c>
    </row>
    <row r="1870" ht="50.1" customHeight="1" s="3">
      <c r="A1870" s="23" t="n"/>
      <c r="B1870" s="24" t="inlineStr">
        <is>
          <t>19148</t>
        </is>
      </c>
      <c r="C1870" s="23" t="inlineStr">
        <is>
          <t>ЛР СО</t>
        </is>
      </c>
      <c r="D1870" s="23" t="inlineStr">
        <is>
          <t>Лоренс А.</t>
        </is>
      </c>
      <c r="E1870" s="23" t="inlineStr">
        <is>
          <t>Любовники по ошибке</t>
        </is>
      </c>
      <c r="F1870" s="23" t="n">
        <v>348</v>
      </c>
      <c r="G1870" s="23" t="n">
        <v>102</v>
      </c>
      <c r="H1870" s="23" t="n">
        <v>10</v>
      </c>
      <c r="I1870" s="23" t="n">
        <v>30</v>
      </c>
      <c r="J1870" s="23" t="inlineStr">
        <is>
          <t>978-5-227-08969-4</t>
        </is>
      </c>
      <c r="K1870" s="23" t="inlineStr">
        <is>
          <t>70x100 1/32</t>
        </is>
      </c>
      <c r="L1870" s="23" t="inlineStr">
        <is>
          <t>мяг</t>
        </is>
      </c>
      <c r="M1870" s="23" t="n">
        <v>160</v>
      </c>
      <c r="N1870" s="23" t="n">
        <v>2020</v>
      </c>
      <c r="O1870" s="23" t="n">
        <v>76</v>
      </c>
      <c r="P1870" s="23" t="n"/>
      <c r="Q1870" s="23" t="n"/>
      <c r="R1870" s="25" t="inlineStr">
        <is>
          <t>Харли Далтон и Джейд Нолан были влюблены друг в друга в юности, но потом Джейд вышла замуж за другого. После развода она узнает о том, что в роддоме ее подменили, и выясняет, что расследовать это преступление будет не кто иной, как Харли.</t>
        </is>
      </c>
      <c r="S1870" s="26">
        <f>HYPERLINK("http://www.cnpol.ru/covers/19148.jpg","фото на сайте")</f>
        <v/>
      </c>
    </row>
    <row r="1871" ht="50.1" customHeight="1" s="3">
      <c r="A1871" s="23" t="n"/>
      <c r="B1871" s="24" t="inlineStr">
        <is>
          <t>18284</t>
        </is>
      </c>
      <c r="C1871" s="23" t="inlineStr">
        <is>
          <t>ЛР СО</t>
        </is>
      </c>
      <c r="D1871" s="23" t="inlineStr">
        <is>
          <t>Бут К.</t>
        </is>
      </c>
      <c r="E1871" s="23" t="inlineStr">
        <is>
          <t>Любовница без прошлого</t>
        </is>
      </c>
      <c r="F1871" s="23" t="n">
        <v>276</v>
      </c>
      <c r="G1871" s="23" t="n">
        <v>102</v>
      </c>
      <c r="H1871" s="23" t="n">
        <v>10</v>
      </c>
      <c r="I1871" s="23" t="n">
        <v>30</v>
      </c>
      <c r="J1871" s="23" t="inlineStr">
        <is>
          <t>978-5-227-08248-0</t>
        </is>
      </c>
      <c r="K1871" s="23" t="inlineStr">
        <is>
          <t>70x100 1/32</t>
        </is>
      </c>
      <c r="L1871" s="23" t="inlineStr">
        <is>
          <t>мяг</t>
        </is>
      </c>
      <c r="M1871" s="23" t="n">
        <v>160</v>
      </c>
      <c r="N1871" s="23" t="n">
        <v>2018</v>
      </c>
      <c r="O1871" s="23" t="n">
        <v>76</v>
      </c>
      <c r="P1871" s="23" t="n"/>
      <c r="Q1871" s="23" t="n"/>
      <c r="R1871" s="25" t="inlineStr">
        <is>
          <t>У Джой Маккинли есть секрет, который она тщательно скрывает ото всех, поэтому, познакомившись с потрясающим красавцем­миллионером Алексом Таунсендом, она называется чужим именем, думая, что их встреча — лишь случайность. Кто же мог знать, что Джой полюбит Алекса и еще горько пожалеет о том, что солгала ему...</t>
        </is>
      </c>
      <c r="S1871" s="26">
        <f>HYPERLINK("http://www.cnpol.ru/covers/18284.jpg","фото на сайте")</f>
        <v/>
      </c>
    </row>
    <row r="1872" ht="50.1" customHeight="1" s="3">
      <c r="A1872" s="23" t="n"/>
      <c r="B1872" s="24" t="inlineStr">
        <is>
          <t>17202</t>
        </is>
      </c>
      <c r="C1872" s="23" t="inlineStr">
        <is>
          <t>ЛР СО</t>
        </is>
      </c>
      <c r="D1872" s="23" t="inlineStr">
        <is>
          <t>Пэмми Т.</t>
        </is>
      </c>
      <c r="E1872" s="23" t="inlineStr">
        <is>
          <t>Любовь с аукциона</t>
        </is>
      </c>
      <c r="F1872" s="23" t="n">
        <v>199</v>
      </c>
      <c r="G1872" s="23" t="n">
        <v>102</v>
      </c>
      <c r="H1872" s="23" t="n">
        <v>10</v>
      </c>
      <c r="I1872" s="23" t="n">
        <v>30</v>
      </c>
      <c r="J1872" s="23" t="inlineStr">
        <is>
          <t>978-5-227-07213-9</t>
        </is>
      </c>
      <c r="K1872" s="23" t="inlineStr">
        <is>
          <t>70x100 1/32</t>
        </is>
      </c>
      <c r="L1872" s="23" t="inlineStr">
        <is>
          <t>мяг</t>
        </is>
      </c>
      <c r="M1872" s="23" t="n">
        <v>160</v>
      </c>
      <c r="N1872" s="23" t="n">
        <v>2016</v>
      </c>
      <c r="O1872" s="23" t="n">
        <v>76</v>
      </c>
      <c r="P1872" s="23" t="n"/>
      <c r="Q1872" s="23" t="n"/>
      <c r="R1872" s="25" t="inlineStr">
        <is>
          <t>В память о прошлом Дмитрий Карегас спасает Жасмин Дуглас от позора, когда выясняется, что она была вынуждена выставить на аукцион свою девственность. Вскоре Дмитрий убеждается, что Жасмин уже не прежняя, влюбленная в него девочка, а полная ненависти строптивая бунтарка. Взаимная страсть разгорается вновь. Дмитрий должен принять решение, что делать с Жасмин… и с ее девственностью.</t>
        </is>
      </c>
      <c r="S1872" s="26">
        <f>HYPERLINK("http://www.cnpol.ru/covers/17202.jpg","фото на сайте")</f>
        <v/>
      </c>
    </row>
    <row r="1873" ht="50.1" customHeight="1" s="3">
      <c r="A1873" s="23" t="n"/>
      <c r="B1873" s="24" t="inlineStr">
        <is>
          <t>16158</t>
        </is>
      </c>
      <c r="C1873" s="23" t="inlineStr">
        <is>
          <t>ЛР СО</t>
        </is>
      </c>
      <c r="D1873" s="23" t="inlineStr">
        <is>
          <t>Грин Э.</t>
        </is>
      </c>
      <c r="E1873" s="23" t="inlineStr">
        <is>
          <t>Любовь с первого дубля</t>
        </is>
      </c>
      <c r="F1873" s="23" t="n">
        <v>131</v>
      </c>
      <c r="G1873" s="23" t="n">
        <v>102</v>
      </c>
      <c r="H1873" s="23" t="n">
        <v>10</v>
      </c>
      <c r="I1873" s="23" t="n">
        <v>30</v>
      </c>
      <c r="J1873" s="23" t="inlineStr">
        <is>
          <t>978-5-227-06147-8</t>
        </is>
      </c>
      <c r="K1873" s="23" t="inlineStr">
        <is>
          <t>70x100 1/32</t>
        </is>
      </c>
      <c r="L1873" s="23" t="inlineStr">
        <is>
          <t>мяг</t>
        </is>
      </c>
      <c r="M1873" s="23" t="n">
        <v>158</v>
      </c>
      <c r="N1873" s="23" t="n">
        <v>2015</v>
      </c>
      <c r="O1873" s="23" t="n">
        <v>76</v>
      </c>
      <c r="P1873" s="23" t="n"/>
      <c r="Q1873" s="23" t="n"/>
      <c r="R1873" s="25" t="inlineStr">
        <is>
          <t>Миллиардер Сезар да Сильва решает устроить сюрприз для ­своего деда и организовывает съемки исторического фильма. Но знакомство с исполнительницей главной роли, обворожительной и страстной Лесли Андерсон, ставит под угрозу судьбу этого масштабного проекта. Сезар очень скоро понимает, что прошлое Лесли полно мрачных тайн…</t>
        </is>
      </c>
      <c r="S1873" s="26">
        <f>HYPERLINK("http://www.cnpol.ru/covers/16158.jpg","фото на сайте")</f>
        <v/>
      </c>
    </row>
    <row r="1874" ht="50.1" customHeight="1" s="3">
      <c r="A1874" s="23" t="n"/>
      <c r="B1874" s="24" t="inlineStr">
        <is>
          <t>19860</t>
        </is>
      </c>
      <c r="C1874" s="23" t="inlineStr">
        <is>
          <t>ЛР СО</t>
        </is>
      </c>
      <c r="D1874" s="23" t="inlineStr">
        <is>
          <t>Джеймс Д.</t>
        </is>
      </c>
      <c r="E1874" s="23" t="inlineStr">
        <is>
          <t>Любовь творит чудеса</t>
        </is>
      </c>
      <c r="F1874" s="23" t="n">
        <v>384</v>
      </c>
      <c r="G1874" s="23" t="n">
        <v>102</v>
      </c>
      <c r="H1874" s="23" t="n">
        <v>10</v>
      </c>
      <c r="I1874" s="23" t="n">
        <v>30</v>
      </c>
      <c r="J1874" s="23" t="inlineStr">
        <is>
          <t>978-5-227-09486-5</t>
        </is>
      </c>
      <c r="K1874" s="23" t="inlineStr">
        <is>
          <t>70x100 1/32</t>
        </is>
      </c>
      <c r="L1874" s="23" t="inlineStr">
        <is>
          <t>мяг</t>
        </is>
      </c>
      <c r="M1874" s="23" t="n">
        <v>159</v>
      </c>
      <c r="N1874" s="23" t="n">
        <v>2021</v>
      </c>
      <c r="O1874" s="23" t="n">
        <v>76</v>
      </c>
      <c r="P1874" s="23" t="n"/>
      <c r="Q1874" s="23" t="n"/>
      <c r="R1874" s="25" t="inlineStr">
        <is>
          <t>Сиделка Тиа возвращается с похорон своего подопечного, не­осторожно переходит дорогу и оказывается под колесами богатого и успешного грека Анатоля Кириякиса. Для него она лишь забавная новая игрушка, но дело приобретает серьезный оборот, когда Тиа неожиданно выходит замуж за дядю Анатоля…</t>
        </is>
      </c>
      <c r="S1874" s="26">
        <f>HYPERLINK("http://www.cnpol.ru/covers/19860.jpg","фото на сайте")</f>
        <v/>
      </c>
    </row>
    <row r="1875" ht="50.1" customHeight="1" s="3">
      <c r="A1875" s="23" t="inlineStr">
        <is>
          <t>Н</t>
        </is>
      </c>
      <c r="B1875" s="24" t="inlineStr">
        <is>
          <t>21100</t>
        </is>
      </c>
      <c r="C1875" s="23" t="inlineStr">
        <is>
          <t>ЛР СО</t>
        </is>
      </c>
      <c r="D1875" s="23" t="inlineStr">
        <is>
          <t>Мейсон Б.</t>
        </is>
      </c>
      <c r="E1875" s="23" t="inlineStr">
        <is>
          <t>Магия соблазна</t>
        </is>
      </c>
      <c r="F1875" s="23" t="n">
        <v>444</v>
      </c>
      <c r="G1875" s="23" t="n">
        <v>102</v>
      </c>
      <c r="H1875" s="23" t="n">
        <v>10</v>
      </c>
      <c r="I1875" s="23" t="n">
        <v>30</v>
      </c>
      <c r="J1875" s="23" t="inlineStr">
        <is>
          <t>978-5-227-10569-1</t>
        </is>
      </c>
      <c r="K1875" s="23" t="inlineStr">
        <is>
          <t>70x100 1/32</t>
        </is>
      </c>
      <c r="L1875" s="23" t="inlineStr">
        <is>
          <t>мяг</t>
        </is>
      </c>
      <c r="M1875" s="23" t="n">
        <v>159</v>
      </c>
      <c r="N1875" s="23" t="n">
        <v>2024</v>
      </c>
      <c r="O1875" s="23" t="n">
        <v>76</v>
      </c>
      <c r="P1875" s="23" t="n"/>
      <c r="Q1875" s="23" t="n"/>
      <c r="R1875" s="25" t="inlineStr">
        <is>
          <t>Лили Барнс-Шах — девушка из богатой семьи. Джулиан Форд — молодой миллиардер, добившийся всего своим трудом. У них разные цели: Лили хочет избежать навязанного ей брака с нелюбимым человеком и жить своей жизнью, а Джулиан пытается войти в высшее общество Сан-Франциско, чтобы добиться процветания своей компании, хотя каждый раз ему намекают, что человеку без связей там не место. Лили и Джулиан заключают взаимовыгодную сделку, но внезапно возникшее чувство рушит их планы...</t>
        </is>
      </c>
      <c r="S1875" s="26">
        <f>HYPERLINK("http://www.cnpol.ru/covers/21100.jpg","фото на сайте")</f>
        <v/>
      </c>
    </row>
    <row r="1876" ht="50.1" customHeight="1" s="3">
      <c r="A1876" s="23" t="n"/>
      <c r="B1876" s="24" t="inlineStr">
        <is>
          <t>18334</t>
        </is>
      </c>
      <c r="C1876" s="23" t="inlineStr">
        <is>
          <t>ЛР СО</t>
        </is>
      </c>
      <c r="D1876" s="23" t="inlineStr">
        <is>
          <t>Кэнтрелл К.</t>
        </is>
      </c>
      <c r="E1876" s="23" t="inlineStr">
        <is>
          <t>Магнетическое притяжение</t>
        </is>
      </c>
      <c r="F1876" s="23" t="n">
        <v>281</v>
      </c>
      <c r="G1876" s="23" t="n">
        <v>102</v>
      </c>
      <c r="H1876" s="23" t="n">
        <v>10</v>
      </c>
      <c r="I1876" s="23" t="n">
        <v>30</v>
      </c>
      <c r="J1876" s="23" t="inlineStr">
        <is>
          <t>978-5-227-08332-6</t>
        </is>
      </c>
      <c r="K1876" s="23" t="inlineStr">
        <is>
          <t>70x100 1/32</t>
        </is>
      </c>
      <c r="L1876" s="23" t="inlineStr">
        <is>
          <t>мяг</t>
        </is>
      </c>
      <c r="M1876" s="23" t="n">
        <v>160</v>
      </c>
      <c r="N1876" s="23" t="n">
        <v>2018</v>
      </c>
      <c r="O1876" s="23" t="n">
        <v>76</v>
      </c>
      <c r="P1876" s="23" t="n"/>
      <c r="Q1876" s="23" t="n"/>
      <c r="R1876" s="25" t="inlineStr">
        <is>
          <t>Генеральный директор миллиардной компании Уоррен Геринджер собирается разделаться со своим главным конкурентом, и ему необходимо, чтобы его первоклассный консультант по маркетингу, австралийка Тильда Барретт, осталась в Америке, несмотря на проблемы с визой. Он предлагает своей помощнице оформить фиктивный брак. Казалось бы, вопрос решен, но возникают новые сложности: под строгими костюмами Тильды скрывается самая соблазнительная женщина, которую он когда­либо встречал в своей жизни.</t>
        </is>
      </c>
      <c r="S1876" s="26">
        <f>HYPERLINK("http://www.cnpol.ru/covers/18334.jpg","фото на сайте")</f>
        <v/>
      </c>
    </row>
    <row r="1877" ht="50.1" customHeight="1" s="3">
      <c r="A1877" s="23" t="n"/>
      <c r="B1877" s="24" t="inlineStr">
        <is>
          <t>17833</t>
        </is>
      </c>
      <c r="C1877" s="23" t="inlineStr">
        <is>
          <t>ЛР СО</t>
        </is>
      </c>
      <c r="D1877" s="23" t="inlineStr">
        <is>
          <t>Бут К.</t>
        </is>
      </c>
      <c r="E1877" s="23" t="inlineStr">
        <is>
          <t>Марафон страсти с шафером</t>
        </is>
      </c>
      <c r="F1877" s="23" t="n">
        <v>247</v>
      </c>
      <c r="G1877" s="23" t="n">
        <v>102</v>
      </c>
      <c r="H1877" s="23" t="n">
        <v>10</v>
      </c>
      <c r="I1877" s="23" t="n">
        <v>30</v>
      </c>
      <c r="J1877" s="23" t="inlineStr">
        <is>
          <t>978-5-227-07761-5</t>
        </is>
      </c>
      <c r="K1877" s="23" t="inlineStr">
        <is>
          <t>70x100 1/32</t>
        </is>
      </c>
      <c r="L1877" s="23" t="inlineStr">
        <is>
          <t>мяг</t>
        </is>
      </c>
      <c r="M1877" s="23" t="n">
        <v>160</v>
      </c>
      <c r="N1877" s="23" t="n">
        <v>2017</v>
      </c>
      <c r="O1877" s="23" t="n">
        <v>76</v>
      </c>
      <c r="P1877" s="23" t="n"/>
      <c r="Q1877" s="23" t="n"/>
      <c r="R1877" s="25" t="n"/>
      <c r="S1877" s="26">
        <f>HYPERLINK("http://www.cnpol.ru/covers/17833.jpg","фото на сайте")</f>
        <v/>
      </c>
    </row>
    <row r="1878" ht="50.1" customHeight="1" s="3">
      <c r="A1878" s="23" t="n"/>
      <c r="B1878" s="24" t="inlineStr">
        <is>
          <t>17953</t>
        </is>
      </c>
      <c r="C1878" s="23" t="inlineStr">
        <is>
          <t>ЛР СО</t>
        </is>
      </c>
      <c r="D1878" s="23" t="inlineStr">
        <is>
          <t>Бут К.</t>
        </is>
      </c>
      <c r="E1878" s="23" t="inlineStr">
        <is>
          <t>Мастер незабываемого соблазнения</t>
        </is>
      </c>
      <c r="F1878" s="23" t="n">
        <v>255</v>
      </c>
      <c r="G1878" s="23" t="n">
        <v>102</v>
      </c>
      <c r="H1878" s="23" t="n">
        <v>10</v>
      </c>
      <c r="I1878" s="23" t="n">
        <v>30</v>
      </c>
      <c r="J1878" s="23" t="inlineStr">
        <is>
          <t>978-5-227-07999-2</t>
        </is>
      </c>
      <c r="K1878" s="23" t="inlineStr">
        <is>
          <t>70x100 1/32</t>
        </is>
      </c>
      <c r="L1878" s="23" t="inlineStr">
        <is>
          <t>мяг</t>
        </is>
      </c>
      <c r="M1878" s="23" t="n">
        <v>160</v>
      </c>
      <c r="N1878" s="23" t="n">
        <v>2018</v>
      </c>
      <c r="O1878" s="23" t="n">
        <v>76</v>
      </c>
      <c r="P1878" s="23" t="n"/>
      <c r="Q1878" s="23" t="n"/>
      <c r="R1878" s="25" t="n"/>
      <c r="S1878" s="26">
        <f>HYPERLINK("http://www.cnpol.ru/covers/17953.jpg","фото на сайте")</f>
        <v/>
      </c>
    </row>
    <row r="1879" ht="50.1" customHeight="1" s="3">
      <c r="A1879" s="23" t="n"/>
      <c r="B1879" s="24" t="inlineStr">
        <is>
          <t>17352</t>
        </is>
      </c>
      <c r="C1879" s="23" t="inlineStr">
        <is>
          <t>ЛР СО</t>
        </is>
      </c>
      <c r="D1879" s="23" t="inlineStr">
        <is>
          <t>Шилд К.</t>
        </is>
      </c>
      <c r="E1879" s="23" t="inlineStr">
        <is>
          <t>Мелодия для двоих</t>
        </is>
      </c>
      <c r="F1879" s="23" t="n">
        <v>210</v>
      </c>
      <c r="G1879" s="23" t="n">
        <v>102</v>
      </c>
      <c r="H1879" s="23" t="n">
        <v>10</v>
      </c>
      <c r="I1879" s="23" t="n">
        <v>30</v>
      </c>
      <c r="J1879" s="23" t="inlineStr">
        <is>
          <t>978-5-227-07320-4</t>
        </is>
      </c>
      <c r="K1879" s="23" t="inlineStr">
        <is>
          <t>70x100 1/32</t>
        </is>
      </c>
      <c r="L1879" s="23" t="inlineStr">
        <is>
          <t>мяг</t>
        </is>
      </c>
      <c r="M1879" s="23" t="n">
        <v>160</v>
      </c>
      <c r="N1879" s="23" t="n">
        <v>2017</v>
      </c>
      <c r="O1879" s="23" t="n">
        <v>76</v>
      </c>
      <c r="P1879" s="23" t="n"/>
      <c r="Q1879" s="23" t="n"/>
      <c r="R1879" s="25" t="n"/>
      <c r="S1879" s="26">
        <f>HYPERLINK("http://www.cnpol.ru/covers/17352.jpg","фото на сайте")</f>
        <v/>
      </c>
    </row>
    <row r="1880" ht="50.1" customHeight="1" s="3">
      <c r="A1880" s="23" t="inlineStr">
        <is>
          <t>Н</t>
        </is>
      </c>
      <c r="B1880" s="24" t="inlineStr">
        <is>
          <t>21175</t>
        </is>
      </c>
      <c r="C1880" s="23" t="inlineStr">
        <is>
          <t>ЛР СО</t>
        </is>
      </c>
      <c r="D1880" s="23" t="inlineStr">
        <is>
          <t>Мейнард Д.</t>
        </is>
      </c>
      <c r="E1880" s="23" t="inlineStr">
        <is>
          <t>Миг пылких чувств</t>
        </is>
      </c>
      <c r="F1880" s="23" t="n">
        <v>446</v>
      </c>
      <c r="G1880" s="23" t="n">
        <v>102</v>
      </c>
      <c r="H1880" s="23" t="n">
        <v>10</v>
      </c>
      <c r="I1880" s="23" t="n">
        <v>30</v>
      </c>
      <c r="J1880" s="23" t="inlineStr">
        <is>
          <t>978-5-227-10611-7</t>
        </is>
      </c>
      <c r="K1880" s="23" t="inlineStr">
        <is>
          <t>70x100 1/32</t>
        </is>
      </c>
      <c r="L1880" s="23" t="inlineStr">
        <is>
          <t>мяг</t>
        </is>
      </c>
      <c r="M1880" s="23" t="n">
        <v>159</v>
      </c>
      <c r="N1880" s="23" t="n">
        <v>2024</v>
      </c>
      <c r="O1880" s="23" t="n">
        <v>76</v>
      </c>
      <c r="P1880" s="23" t="n"/>
      <c r="Q1880" s="23" t="n"/>
      <c r="R1880" s="25" t="inlineStr">
        <is>
          <t>Дейли и Тристан испытывают влечение друг к другу, однако об отношениях не может быть и речи. Тристан — ловелас, к тому же его компания в скором времени поглотит небольшое рекламное агентство Дейли. Ситуацию осложняет то, что их семьи вот-вот породнятся, а значит, новых встреч не избежать. Накануне свадьбы Тристан и Дейли заключают соглашение, что их интрижка закончится в последний день празднования, однако вскоре нарушают уговор...</t>
        </is>
      </c>
      <c r="S1880" s="26">
        <f>HYPERLINK("http://www.cnpol.ru/covers/21175.jpg","фото на сайте")</f>
        <v/>
      </c>
    </row>
    <row r="1881" ht="50.1" customHeight="1" s="3">
      <c r="A1881" s="23" t="n"/>
      <c r="B1881" s="24" t="inlineStr">
        <is>
          <t>20927</t>
        </is>
      </c>
      <c r="C1881" s="23" t="inlineStr">
        <is>
          <t>ЛР СО</t>
        </is>
      </c>
      <c r="D1881" s="23" t="inlineStr">
        <is>
          <t>Грин Э.</t>
        </is>
      </c>
      <c r="E1881" s="23" t="inlineStr">
        <is>
          <t>Мир запретных ласк</t>
        </is>
      </c>
      <c r="F1881" s="23" t="n">
        <v>437</v>
      </c>
      <c r="G1881" s="23" t="n">
        <v>102</v>
      </c>
      <c r="H1881" s="23" t="n">
        <v>10</v>
      </c>
      <c r="I1881" s="23" t="n">
        <v>30</v>
      </c>
      <c r="J1881" s="23" t="inlineStr">
        <is>
          <t>978-5-227-10376-5</t>
        </is>
      </c>
      <c r="K1881" s="23" t="inlineStr">
        <is>
          <t>70x100 1/32</t>
        </is>
      </c>
      <c r="L1881" s="23" t="inlineStr">
        <is>
          <t>мяг</t>
        </is>
      </c>
      <c r="M1881" s="23" t="n">
        <v>159</v>
      </c>
      <c r="N1881" s="23" t="n">
        <v>2023</v>
      </c>
      <c r="O1881" s="23" t="n">
        <v>76</v>
      </c>
      <c r="P1881" s="23" t="n"/>
      <c r="Q1881" s="23" t="n"/>
      <c r="R1881" s="25" t="inlineStr">
        <is>
          <t>Обедневшая аристократка Ева Флорес вынуждена зарабатывать на жизнь, обслуживая номера в отеле. Поэтому, когда ее старый знакомый Видаль Суарес предлагает ей продать ему обветшалый дворец, доставшийся ей по наследству, она видит в этом свой единственный шанс избавиться от долгов и груза прошлого. Но есть одна загвоздка: Еве придется стать фиктивной невестой человека, который хочет отомстить ей за прошлые обиды.</t>
        </is>
      </c>
      <c r="S1881" s="26">
        <f>HYPERLINK("http://www.cnpol.ru/covers/20927.jpg","фото на сайте")</f>
        <v/>
      </c>
    </row>
    <row r="1882" ht="50.1" customHeight="1" s="3">
      <c r="A1882" s="23" t="n"/>
      <c r="B1882" s="24" t="inlineStr">
        <is>
          <t>18372</t>
        </is>
      </c>
      <c r="C1882" s="23" t="inlineStr">
        <is>
          <t>ЛР СО</t>
        </is>
      </c>
      <c r="D1882" s="23" t="inlineStr">
        <is>
          <t>Вуд Джосс</t>
        </is>
      </c>
      <c r="E1882" s="23" t="inlineStr">
        <is>
          <t>Мистерия ярких чувств</t>
        </is>
      </c>
      <c r="F1882" s="23" t="n">
        <v>284</v>
      </c>
      <c r="G1882" s="23" t="n">
        <v>102</v>
      </c>
      <c r="H1882" s="23" t="n">
        <v>10</v>
      </c>
      <c r="I1882" s="23" t="n">
        <v>30</v>
      </c>
      <c r="J1882" s="23" t="inlineStr">
        <is>
          <t>978-5-227-08361-6</t>
        </is>
      </c>
      <c r="K1882" s="23" t="inlineStr">
        <is>
          <t>70x100 1/32</t>
        </is>
      </c>
      <c r="L1882" s="23" t="inlineStr">
        <is>
          <t>мяг</t>
        </is>
      </c>
      <c r="M1882" s="23" t="n">
        <v>160</v>
      </c>
      <c r="N1882" s="23" t="n">
        <v>2018</v>
      </c>
      <c r="O1882" s="23" t="n">
        <v>76</v>
      </c>
      <c r="P1882" s="23" t="n"/>
      <c r="Q1882" s="23" t="n"/>
      <c r="R1882" s="25" t="n"/>
      <c r="S1882" s="26">
        <f>HYPERLINK("http://www.cnpol.ru/covers/18372.jpg","фото на сайте")</f>
        <v/>
      </c>
    </row>
    <row r="1883" ht="50.1" customHeight="1" s="3">
      <c r="A1883" s="23" t="n"/>
      <c r="B1883" s="24" t="inlineStr">
        <is>
          <t>18803</t>
        </is>
      </c>
      <c r="C1883" s="23" t="inlineStr">
        <is>
          <t>ЛР СО</t>
        </is>
      </c>
      <c r="D1883" s="23" t="inlineStr">
        <is>
          <t>Вуд Джосс</t>
        </is>
      </c>
      <c r="E1883" s="23" t="inlineStr">
        <is>
          <t>Многосерийный соблазн</t>
        </is>
      </c>
      <c r="F1883" s="23" t="n">
        <v>318</v>
      </c>
      <c r="G1883" s="23" t="n">
        <v>102</v>
      </c>
      <c r="H1883" s="23" t="n">
        <v>10</v>
      </c>
      <c r="I1883" s="23" t="n">
        <v>30</v>
      </c>
      <c r="J1883" s="23" t="inlineStr">
        <is>
          <t>978-5-227-08699-0</t>
        </is>
      </c>
      <c r="K1883" s="23" t="inlineStr">
        <is>
          <t>70x100 1/32</t>
        </is>
      </c>
      <c r="L1883" s="23" t="inlineStr">
        <is>
          <t>мяг</t>
        </is>
      </c>
      <c r="M1883" s="23" t="n">
        <v>160</v>
      </c>
      <c r="N1883" s="23" t="n">
        <v>2019</v>
      </c>
      <c r="O1883" s="23" t="n">
        <v>76</v>
      </c>
      <c r="P1883" s="23" t="n"/>
      <c r="Q1883" s="23" t="n"/>
      <c r="R1883" s="25" t="n"/>
      <c r="S1883" s="26">
        <f>HYPERLINK("http://www.cnpol.ru/covers/18803.jpg","фото на сайте")</f>
        <v/>
      </c>
    </row>
    <row r="1884" ht="50.1" customHeight="1" s="3">
      <c r="A1884" s="23" t="n"/>
      <c r="B1884" s="24" t="inlineStr">
        <is>
          <t>16147</t>
        </is>
      </c>
      <c r="C1884" s="23" t="inlineStr">
        <is>
          <t>ЛР СО</t>
        </is>
      </c>
      <c r="D1884" s="23" t="inlineStr">
        <is>
          <t>Линдсей И.</t>
        </is>
      </c>
      <c r="E1884" s="23" t="inlineStr">
        <is>
          <t>Мы не друзья</t>
        </is>
      </c>
      <c r="F1884" s="23" t="n">
        <v>129</v>
      </c>
      <c r="G1884" s="23" t="n">
        <v>102</v>
      </c>
      <c r="H1884" s="23" t="n">
        <v>10</v>
      </c>
      <c r="I1884" s="23" t="n">
        <v>30</v>
      </c>
      <c r="J1884" s="23" t="inlineStr">
        <is>
          <t>978-5-227-06109-6</t>
        </is>
      </c>
      <c r="K1884" s="23" t="inlineStr">
        <is>
          <t>70x100 1/32</t>
        </is>
      </c>
      <c r="L1884" s="23" t="inlineStr">
        <is>
          <t>мяг</t>
        </is>
      </c>
      <c r="M1884" s="23" t="n">
        <v>158</v>
      </c>
      <c r="N1884" s="23" t="n">
        <v>2015</v>
      </c>
      <c r="O1884" s="23" t="n">
        <v>76</v>
      </c>
      <c r="P1884" s="23" t="n"/>
      <c r="Q1884" s="23" t="n"/>
      <c r="R1884" s="25" t="n"/>
      <c r="S1884" s="26">
        <f>HYPERLINK("http://www.cnpol.ru/covers/16147.jpg","фото на сайте")</f>
        <v/>
      </c>
    </row>
    <row r="1885" ht="50.1" customHeight="1" s="3">
      <c r="A1885" s="23" t="n"/>
      <c r="B1885" s="24" t="inlineStr">
        <is>
          <t>20737</t>
        </is>
      </c>
      <c r="C1885" s="23" t="inlineStr">
        <is>
          <t>ЛР СО</t>
        </is>
      </c>
      <c r="D1885" s="23" t="inlineStr">
        <is>
          <t>Мейер С.</t>
        </is>
      </c>
      <c r="E1885" s="23" t="inlineStr">
        <is>
          <t>На грани искушения</t>
        </is>
      </c>
      <c r="F1885" s="23" t="n">
        <v>431</v>
      </c>
      <c r="G1885" s="23" t="n">
        <v>102</v>
      </c>
      <c r="H1885" s="23" t="n">
        <v>10</v>
      </c>
      <c r="I1885" s="23" t="n">
        <v>30</v>
      </c>
      <c r="J1885" s="23" t="inlineStr">
        <is>
          <t>978-5-227-10309-3</t>
        </is>
      </c>
      <c r="K1885" s="23" t="inlineStr">
        <is>
          <t>70x100 1/32</t>
        </is>
      </c>
      <c r="L1885" s="23" t="inlineStr">
        <is>
          <t>мяг</t>
        </is>
      </c>
      <c r="M1885" s="23" t="n">
        <v>159</v>
      </c>
      <c r="N1885" s="23" t="n">
        <v>2023</v>
      </c>
      <c r="O1885" s="23" t="n">
        <v>76</v>
      </c>
      <c r="P1885" s="23" t="n"/>
      <c r="Q1885" s="23" t="n"/>
      <c r="R1885" s="25" t="inlineStr">
        <is>
          <t>Джозеф — король маленького островного государства. Он устал от мира и желает вести отшельнический образ жизни. Но это не устраивает всех: его детей, подданных, персонал. На помощь приходит Роуэн Грей, настойчивая и бесцеремонная американка. Искры между Джозефом и Роуэн летят во все стороны, и они не сразу понимают, что влюбляются друг в друга...</t>
        </is>
      </c>
      <c r="S1885" s="26">
        <f>HYPERLINK("http://www.cnpol.ru/covers/20737.jpg","фото на сайте")</f>
        <v/>
      </c>
    </row>
    <row r="1886" ht="50.1" customHeight="1" s="3">
      <c r="A1886" s="23" t="n"/>
      <c r="B1886" s="24" t="inlineStr">
        <is>
          <t>18520</t>
        </is>
      </c>
      <c r="C1886" s="23" t="inlineStr">
        <is>
          <t>ЛР СО</t>
        </is>
      </c>
      <c r="D1886" s="23" t="inlineStr">
        <is>
          <t>Манн К.</t>
        </is>
      </c>
      <c r="E1886" s="23" t="inlineStr">
        <is>
          <t>На грани острых ощущений</t>
        </is>
      </c>
      <c r="F1886" s="23" t="n">
        <v>295</v>
      </c>
      <c r="G1886" s="23" t="n">
        <v>102</v>
      </c>
      <c r="H1886" s="23" t="n">
        <v>10</v>
      </c>
      <c r="I1886" s="23" t="n">
        <v>30</v>
      </c>
      <c r="J1886" s="23" t="inlineStr">
        <is>
          <t>978-5-227-08418-7</t>
        </is>
      </c>
      <c r="K1886" s="23" t="inlineStr">
        <is>
          <t>70x100 1/32</t>
        </is>
      </c>
      <c r="L1886" s="23" t="inlineStr">
        <is>
          <t>мяг</t>
        </is>
      </c>
      <c r="M1886" s="23" t="n">
        <v>160</v>
      </c>
      <c r="N1886" s="23" t="n">
        <v>2019</v>
      </c>
      <c r="O1886" s="23" t="n">
        <v>76</v>
      </c>
      <c r="P1886" s="23" t="n"/>
      <c r="Q1886" s="23" t="n"/>
      <c r="R1886" s="25" t="n"/>
      <c r="S1886" s="26">
        <f>HYPERLINK("http://www.cnpol.ru/covers/18520.jpg","фото на сайте")</f>
        <v/>
      </c>
    </row>
    <row r="1887" ht="50.1" customHeight="1" s="3">
      <c r="A1887" s="23" t="n"/>
      <c r="B1887" s="24" t="inlineStr">
        <is>
          <t>16794</t>
        </is>
      </c>
      <c r="C1887" s="23" t="inlineStr">
        <is>
          <t>ЛР СО</t>
        </is>
      </c>
      <c r="D1887" s="23" t="inlineStr">
        <is>
          <t>Гейтс О.</t>
        </is>
      </c>
      <c r="E1887" s="23" t="inlineStr">
        <is>
          <t>На рассоянии вдоха</t>
        </is>
      </c>
      <c r="F1887" s="23" t="n">
        <v>172</v>
      </c>
      <c r="G1887" s="23" t="n">
        <v>102</v>
      </c>
      <c r="H1887" s="23" t="n">
        <v>10</v>
      </c>
      <c r="I1887" s="23" t="n">
        <v>30</v>
      </c>
      <c r="J1887" s="23" t="inlineStr">
        <is>
          <t>978-5-227-06791-3</t>
        </is>
      </c>
      <c r="K1887" s="23" t="inlineStr">
        <is>
          <t>70x100 1/32</t>
        </is>
      </c>
      <c r="L1887" s="23" t="inlineStr">
        <is>
          <t>мяг</t>
        </is>
      </c>
      <c r="M1887" s="23" t="n">
        <v>160</v>
      </c>
      <c r="N1887" s="23" t="n">
        <v>2016</v>
      </c>
      <c r="O1887" s="23" t="n">
        <v>76</v>
      </c>
      <c r="P1887" s="23" t="n"/>
      <c r="Q1887" s="23" t="n"/>
      <c r="R1887" s="25" t="n"/>
      <c r="S1887" s="26">
        <f>HYPERLINK("http://www.cnpol.ru/covers/16794.jpg","фото на сайте")</f>
        <v/>
      </c>
    </row>
    <row r="1888" ht="50.1" customHeight="1" s="3">
      <c r="A1888" s="23" t="n"/>
      <c r="B1888" s="24" t="inlineStr">
        <is>
          <t>17333</t>
        </is>
      </c>
      <c r="C1888" s="23" t="inlineStr">
        <is>
          <t>ЛР СО</t>
        </is>
      </c>
      <c r="D1888" s="23" t="inlineStr">
        <is>
          <t>Мейнард Д.</t>
        </is>
      </c>
      <c r="E1888" s="23" t="inlineStr">
        <is>
          <t>На что способна любовь</t>
        </is>
      </c>
      <c r="F1888" s="23" t="n">
        <v>209</v>
      </c>
      <c r="G1888" s="23" t="n">
        <v>102</v>
      </c>
      <c r="H1888" s="23" t="n">
        <v>10</v>
      </c>
      <c r="I1888" s="23" t="n">
        <v>30</v>
      </c>
      <c r="J1888" s="23" t="inlineStr">
        <is>
          <t>978-5-227-07319-8</t>
        </is>
      </c>
      <c r="K1888" s="23" t="inlineStr">
        <is>
          <t>70x100 1/32</t>
        </is>
      </c>
      <c r="L1888" s="23" t="inlineStr">
        <is>
          <t>мяг</t>
        </is>
      </c>
      <c r="M1888" s="23" t="n">
        <v>160</v>
      </c>
      <c r="N1888" s="23" t="n">
        <v>2017</v>
      </c>
      <c r="O1888" s="23" t="n">
        <v>76</v>
      </c>
      <c r="P1888" s="23" t="n"/>
      <c r="Q1888" s="23" t="n"/>
      <c r="R1888" s="25" t="n"/>
      <c r="S1888" s="26">
        <f>HYPERLINK("http://www.cnpol.ru/covers/17333.jpg","фото на сайте")</f>
        <v/>
      </c>
    </row>
    <row r="1889" ht="50.1" customHeight="1" s="3">
      <c r="A1889" s="23" t="n"/>
      <c r="B1889" s="24" t="inlineStr">
        <is>
          <t>20787</t>
        </is>
      </c>
      <c r="C1889" s="23" t="inlineStr">
        <is>
          <t>ЛР СО</t>
        </is>
      </c>
      <c r="D1889" s="23" t="inlineStr">
        <is>
          <t>Мейнард Д.</t>
        </is>
      </c>
      <c r="E1889" s="23" t="inlineStr">
        <is>
          <t>Навсегда в ее сердце</t>
        </is>
      </c>
      <c r="F1889" s="23" t="n">
        <v>433</v>
      </c>
      <c r="G1889" s="23" t="n">
        <v>102</v>
      </c>
      <c r="H1889" s="23" t="n">
        <v>10</v>
      </c>
      <c r="I1889" s="23" t="n">
        <v>30</v>
      </c>
      <c r="J1889" s="23" t="inlineStr">
        <is>
          <t>978-5-227-10347-5</t>
        </is>
      </c>
      <c r="K1889" s="23" t="inlineStr">
        <is>
          <t>70x100 1/32</t>
        </is>
      </c>
      <c r="L1889" s="23" t="inlineStr">
        <is>
          <t>мяг</t>
        </is>
      </c>
      <c r="M1889" s="23" t="n">
        <v>159</v>
      </c>
      <c r="N1889" s="23" t="n">
        <v>2023</v>
      </c>
      <c r="O1889" s="23" t="n">
        <v>76</v>
      </c>
      <c r="P1889" s="23" t="n"/>
      <c r="Q1889" s="23" t="n"/>
      <c r="R1889" s="25" t="inlineStr">
        <is>
          <t>Лейла Грендин выросла в одной из самых влиятельных семей Ройяла. Но после смерти дедушки Лейлы, Виктора, Грендины узнают, что ранчо принадлежит не только им. Именно в это сложное время в город неожиданно возвращается давний друг Лейлы, Джошуа Бенкс. Сможет ли доверчивая и ранимая Лейла справиться со всеми жизненными трудностями? А может быть, она даже обретет личное счастье?</t>
        </is>
      </c>
      <c r="S1889" s="26">
        <f>HYPERLINK("http://www.cnpol.ru/covers/20787.jpg","фото на сайте")</f>
        <v/>
      </c>
    </row>
    <row r="1890" ht="50.1" customHeight="1" s="3">
      <c r="A1890" s="23" t="n"/>
      <c r="B1890" s="24" t="inlineStr">
        <is>
          <t>20272</t>
        </is>
      </c>
      <c r="C1890" s="23" t="inlineStr">
        <is>
          <t>ЛР СО</t>
        </is>
      </c>
      <c r="D1890" s="23" t="inlineStr">
        <is>
          <t>Эшенден Д.</t>
        </is>
      </c>
      <c r="E1890" s="23" t="inlineStr">
        <is>
          <t>Навсегда осталась твоей</t>
        </is>
      </c>
      <c r="F1890" s="23" t="n">
        <v>405</v>
      </c>
      <c r="G1890" s="23" t="n">
        <v>102</v>
      </c>
      <c r="H1890" s="23" t="n">
        <v>10</v>
      </c>
      <c r="I1890" s="23" t="n">
        <v>30</v>
      </c>
      <c r="J1890" s="23" t="inlineStr">
        <is>
          <t>978-5-227-09927-3</t>
        </is>
      </c>
      <c r="K1890" s="23" t="inlineStr">
        <is>
          <t>70x100 1/32</t>
        </is>
      </c>
      <c r="L1890" s="23" t="inlineStr">
        <is>
          <t>мяг</t>
        </is>
      </c>
      <c r="M1890" s="23" t="n">
        <v>159</v>
      </c>
      <c r="N1890" s="23" t="n">
        <v>2022</v>
      </c>
      <c r="O1890" s="23" t="n">
        <v>76</v>
      </c>
      <c r="P1890" s="23" t="n"/>
      <c r="Q1890" s="23" t="n"/>
      <c r="R1890" s="25" t="n"/>
      <c r="S1890" s="26">
        <f>HYPERLINK("http://www.cnpol.ru/covers/20272.jpg","фото на сайте")</f>
        <v/>
      </c>
    </row>
    <row r="1891" ht="50.1" customHeight="1" s="3">
      <c r="A1891" s="23" t="n"/>
      <c r="B1891" s="24" t="inlineStr">
        <is>
          <t>20184</t>
        </is>
      </c>
      <c r="C1891" s="23" t="inlineStr">
        <is>
          <t>ЛР СО</t>
        </is>
      </c>
      <c r="D1891" s="23" t="inlineStr">
        <is>
          <t>Синклэр К.</t>
        </is>
      </c>
      <c r="E1891" s="23" t="inlineStr">
        <is>
          <t>Наказание страстью</t>
        </is>
      </c>
      <c r="F1891" s="23" t="n">
        <v>402</v>
      </c>
      <c r="G1891" s="23" t="n">
        <v>102</v>
      </c>
      <c r="H1891" s="23" t="n">
        <v>10</v>
      </c>
      <c r="I1891" s="23" t="n">
        <v>30</v>
      </c>
      <c r="J1891" s="23" t="inlineStr">
        <is>
          <t>978-5-227-09848-1</t>
        </is>
      </c>
      <c r="K1891" s="23" t="inlineStr">
        <is>
          <t>70x100 1/32</t>
        </is>
      </c>
      <c r="L1891" s="23" t="inlineStr">
        <is>
          <t>мяг</t>
        </is>
      </c>
      <c r="M1891" s="23" t="n">
        <v>159</v>
      </c>
      <c r="N1891" s="23" t="n">
        <v>2022</v>
      </c>
      <c r="O1891" s="23" t="n">
        <v>76</v>
      </c>
      <c r="P1891" s="23" t="n"/>
      <c r="Q1891" s="23" t="n"/>
      <c r="R1891" s="25" t="n"/>
      <c r="S1891" s="26">
        <f>HYPERLINK("http://www.cnpol.ru/covers/20184.jpg","фото на сайте")</f>
        <v/>
      </c>
    </row>
    <row r="1892" ht="50.1" customHeight="1" s="3">
      <c r="A1892" s="23" t="n"/>
      <c r="B1892" s="24" t="inlineStr">
        <is>
          <t>16870</t>
        </is>
      </c>
      <c r="C1892" s="23" t="inlineStr">
        <is>
          <t>ЛР СО</t>
        </is>
      </c>
      <c r="D1892" s="23" t="inlineStr">
        <is>
          <t>Вулф Т</t>
        </is>
      </c>
      <c r="E1892" s="23" t="inlineStr">
        <is>
          <t>Направляй меня нежно</t>
        </is>
      </c>
      <c r="F1892" s="23" t="n">
        <v>177</v>
      </c>
      <c r="G1892" s="23" t="n">
        <v>102</v>
      </c>
      <c r="H1892" s="23" t="n">
        <v>10</v>
      </c>
      <c r="I1892" s="23" t="n">
        <v>30</v>
      </c>
      <c r="J1892" s="23" t="inlineStr">
        <is>
          <t>978-5-227-06830-9</t>
        </is>
      </c>
      <c r="K1892" s="23" t="inlineStr">
        <is>
          <t>70x100 1/32</t>
        </is>
      </c>
      <c r="L1892" s="23" t="inlineStr">
        <is>
          <t>мяг</t>
        </is>
      </c>
      <c r="M1892" s="23" t="n">
        <v>160</v>
      </c>
      <c r="N1892" s="23" t="n">
        <v>2016</v>
      </c>
      <c r="O1892" s="23" t="n">
        <v>76</v>
      </c>
      <c r="P1892" s="23" t="n"/>
      <c r="Q1892" s="23" t="n"/>
      <c r="R1892" s="25" t="n"/>
      <c r="S1892" s="26">
        <f>HYPERLINK("http://www.cnpol.ru/covers/16870.jpg","фото на сайте")</f>
        <v/>
      </c>
    </row>
    <row r="1893" ht="50.1" customHeight="1" s="3">
      <c r="A1893" s="23" t="n"/>
      <c r="B1893" s="24" t="inlineStr">
        <is>
          <t>17156</t>
        </is>
      </c>
      <c r="C1893" s="23" t="inlineStr">
        <is>
          <t>ЛР СО</t>
        </is>
      </c>
      <c r="D1893" s="23" t="inlineStr">
        <is>
          <t>Лоренс А.</t>
        </is>
      </c>
      <c r="E1893" s="23" t="inlineStr">
        <is>
          <t>Насладиться тобой</t>
        </is>
      </c>
      <c r="F1893" s="23" t="n">
        <v>196</v>
      </c>
      <c r="G1893" s="23" t="n">
        <v>102</v>
      </c>
      <c r="H1893" s="23" t="n">
        <v>10</v>
      </c>
      <c r="I1893" s="23" t="n">
        <v>30</v>
      </c>
      <c r="J1893" s="23" t="inlineStr">
        <is>
          <t>978-5-227-07126-2</t>
        </is>
      </c>
      <c r="K1893" s="23" t="inlineStr">
        <is>
          <t>70x100 1/32</t>
        </is>
      </c>
      <c r="L1893" s="23" t="inlineStr">
        <is>
          <t>мяг</t>
        </is>
      </c>
      <c r="M1893" s="23" t="n">
        <v>160</v>
      </c>
      <c r="N1893" s="23" t="n">
        <v>2016</v>
      </c>
      <c r="O1893" s="23" t="n">
        <v>76</v>
      </c>
      <c r="P1893" s="23" t="n"/>
      <c r="Q1893" s="23" t="n"/>
      <c r="R1893" s="25" t="n"/>
      <c r="S1893" s="26">
        <f>HYPERLINK("http://www.cnpol.ru/covers/17156.jpg","фото на сайте")</f>
        <v/>
      </c>
    </row>
    <row r="1894" ht="50.1" customHeight="1" s="3">
      <c r="A1894" s="23" t="n"/>
      <c r="B1894" s="24" t="inlineStr">
        <is>
          <t>19037</t>
        </is>
      </c>
      <c r="C1894" s="23" t="inlineStr">
        <is>
          <t>ЛР СО</t>
        </is>
      </c>
      <c r="D1894" s="23" t="inlineStr">
        <is>
          <t>Кэнтрелл К.</t>
        </is>
      </c>
      <c r="E1894" s="23" t="inlineStr">
        <is>
          <t>Наставница по соблазнению</t>
        </is>
      </c>
      <c r="F1894" s="23" t="n">
        <v>340</v>
      </c>
      <c r="G1894" s="23" t="n">
        <v>102</v>
      </c>
      <c r="H1894" s="23" t="n">
        <v>10</v>
      </c>
      <c r="I1894" s="23" t="n">
        <v>30</v>
      </c>
      <c r="J1894" s="23" t="inlineStr">
        <is>
          <t>978-5-227-08917-5</t>
        </is>
      </c>
      <c r="K1894" s="23" t="inlineStr">
        <is>
          <t>70x100 1/32</t>
        </is>
      </c>
      <c r="L1894" s="23" t="inlineStr">
        <is>
          <t>мяг</t>
        </is>
      </c>
      <c r="M1894" s="23" t="n">
        <v>160</v>
      </c>
      <c r="N1894" s="23" t="n">
        <v>2020</v>
      </c>
      <c r="O1894" s="23" t="n">
        <v>76</v>
      </c>
      <c r="P1894" s="23" t="n"/>
      <c r="Q1894" s="23" t="n"/>
      <c r="R1894" s="25" t="n"/>
      <c r="S1894" s="26">
        <f>HYPERLINK("http://www.cnpol.ru/covers/19037.jpg","фото на сайте")</f>
        <v/>
      </c>
    </row>
    <row r="1895" ht="50.1" customHeight="1" s="3">
      <c r="A1895" s="23" t="n"/>
      <c r="B1895" s="24" t="inlineStr">
        <is>
          <t>19784</t>
        </is>
      </c>
      <c r="C1895" s="23" t="inlineStr">
        <is>
          <t>ЛР СО</t>
        </is>
      </c>
      <c r="D1895" s="23" t="inlineStr">
        <is>
          <t>Колтер К.</t>
        </is>
      </c>
      <c r="E1895" s="23" t="inlineStr">
        <is>
          <t>Научи меня любить</t>
        </is>
      </c>
      <c r="F1895" s="23" t="n">
        <v>381</v>
      </c>
      <c r="G1895" s="23" t="n">
        <v>102</v>
      </c>
      <c r="H1895" s="23" t="n">
        <v>10</v>
      </c>
      <c r="I1895" s="23" t="n">
        <v>30</v>
      </c>
      <c r="J1895" s="23" t="inlineStr">
        <is>
          <t>978-5-227-09406-3</t>
        </is>
      </c>
      <c r="K1895" s="23" t="inlineStr">
        <is>
          <t>70x100 1/32</t>
        </is>
      </c>
      <c r="L1895" s="23" t="inlineStr">
        <is>
          <t>мяг</t>
        </is>
      </c>
      <c r="M1895" s="23" t="n">
        <v>160</v>
      </c>
      <c r="N1895" s="23" t="n">
        <v>2021</v>
      </c>
      <c r="O1895" s="23" t="n">
        <v>76</v>
      </c>
      <c r="P1895" s="23" t="n"/>
      <c r="Q1895" s="23" t="n"/>
      <c r="R1895" s="25" t="n"/>
      <c r="S1895" s="26">
        <f>HYPERLINK("http://www.cnpol.ru/covers/19784.jpg","фото на сайте")</f>
        <v/>
      </c>
    </row>
    <row r="1896" ht="50.1" customHeight="1" s="3">
      <c r="A1896" s="23" t="n"/>
      <c r="B1896" s="24" t="inlineStr">
        <is>
          <t>16527</t>
        </is>
      </c>
      <c r="C1896" s="23" t="inlineStr">
        <is>
          <t>ЛР СО</t>
        </is>
      </c>
      <c r="D1896" s="23" t="inlineStr">
        <is>
          <t>Шеперд К.</t>
        </is>
      </c>
      <c r="E1896" s="23" t="inlineStr">
        <is>
          <t>Наш маленький рай</t>
        </is>
      </c>
      <c r="F1896" s="23" t="n">
        <v>154</v>
      </c>
      <c r="G1896" s="23" t="n">
        <v>102</v>
      </c>
      <c r="H1896" s="23" t="n">
        <v>10</v>
      </c>
      <c r="I1896" s="23" t="n">
        <v>30</v>
      </c>
      <c r="J1896" s="23" t="inlineStr">
        <is>
          <t>978-5-227-06399-1</t>
        </is>
      </c>
      <c r="K1896" s="23" t="inlineStr">
        <is>
          <t>70x100 1/32</t>
        </is>
      </c>
      <c r="L1896" s="23" t="inlineStr">
        <is>
          <t>мяг</t>
        </is>
      </c>
      <c r="M1896" s="23" t="n">
        <v>158</v>
      </c>
      <c r="N1896" s="23" t="n">
        <v>2016</v>
      </c>
      <c r="O1896" s="23" t="n">
        <v>76</v>
      </c>
      <c r="P1896" s="23" t="n"/>
      <c r="Q1896" s="23" t="n"/>
      <c r="R1896" s="25" t="n"/>
      <c r="S1896" s="26">
        <f>HYPERLINK("http://www.cnpol.ru/covers/16527.jpg","фото на сайте")</f>
        <v/>
      </c>
    </row>
    <row r="1897" ht="50.1" customHeight="1" s="3">
      <c r="A1897" s="23" t="n"/>
      <c r="B1897" s="24" t="inlineStr">
        <is>
          <t>18725</t>
        </is>
      </c>
      <c r="C1897" s="23" t="inlineStr">
        <is>
          <t>ЛР СО</t>
        </is>
      </c>
      <c r="D1897" s="23" t="inlineStr">
        <is>
          <t>Вуд Джосс</t>
        </is>
      </c>
      <c r="E1897" s="23" t="inlineStr">
        <is>
          <t>Наша лучшая зима</t>
        </is>
      </c>
      <c r="F1897" s="23" t="n">
        <v>312</v>
      </c>
      <c r="G1897" s="23" t="n">
        <v>102</v>
      </c>
      <c r="H1897" s="23" t="n">
        <v>10</v>
      </c>
      <c r="I1897" s="23" t="n">
        <v>30</v>
      </c>
      <c r="J1897" s="23" t="inlineStr">
        <is>
          <t>978-5-227-08583-2</t>
        </is>
      </c>
      <c r="K1897" s="23" t="inlineStr">
        <is>
          <t>70x100 1/32</t>
        </is>
      </c>
      <c r="L1897" s="23" t="inlineStr">
        <is>
          <t>мяг</t>
        </is>
      </c>
      <c r="M1897" s="23" t="n">
        <v>160</v>
      </c>
      <c r="N1897" s="23" t="n">
        <v>2019</v>
      </c>
      <c r="O1897" s="23" t="n">
        <v>78</v>
      </c>
      <c r="P1897" s="23" t="n"/>
      <c r="Q1897" s="23" t="n"/>
      <c r="R1897" s="25" t="n"/>
      <c r="S1897" s="26">
        <f>HYPERLINK("http://www.cnpol.ru/covers/18725.jpg","фото на сайте")</f>
        <v/>
      </c>
    </row>
    <row r="1898" ht="50.1" customHeight="1" s="3">
      <c r="A1898" s="23" t="n"/>
      <c r="B1898" s="24" t="inlineStr">
        <is>
          <t>18399</t>
        </is>
      </c>
      <c r="C1898" s="23" t="inlineStr">
        <is>
          <t>ЛР СО</t>
        </is>
      </c>
      <c r="D1898" s="23" t="inlineStr">
        <is>
          <t>Андерсон С.</t>
        </is>
      </c>
      <c r="E1898" s="23" t="inlineStr">
        <is>
          <t>Не бойся быть ближе</t>
        </is>
      </c>
      <c r="F1898" s="23" t="n">
        <v>286</v>
      </c>
      <c r="G1898" s="23" t="n">
        <v>102</v>
      </c>
      <c r="H1898" s="23" t="n">
        <v>10</v>
      </c>
      <c r="I1898" s="23" t="n">
        <v>30</v>
      </c>
      <c r="J1898" s="23" t="inlineStr">
        <is>
          <t>978-5-227-08365-4</t>
        </is>
      </c>
      <c r="K1898" s="23" t="inlineStr">
        <is>
          <t>70x100 1/32</t>
        </is>
      </c>
      <c r="L1898" s="23" t="inlineStr">
        <is>
          <t>мяг</t>
        </is>
      </c>
      <c r="M1898" s="23" t="n">
        <v>160</v>
      </c>
      <c r="N1898" s="23" t="n">
        <v>2018</v>
      </c>
      <c r="O1898" s="23" t="n">
        <v>76</v>
      </c>
      <c r="P1898" s="23" t="n"/>
      <c r="Q1898" s="23" t="n"/>
      <c r="R1898" s="25" t="n"/>
      <c r="S1898" s="26">
        <f>HYPERLINK("http://www.cnpol.ru/covers/18399.jpg","фото на сайте")</f>
        <v/>
      </c>
    </row>
    <row r="1899" ht="50.1" customHeight="1" s="3">
      <c r="A1899" s="23" t="n"/>
      <c r="B1899" s="24" t="inlineStr">
        <is>
          <t>18165</t>
        </is>
      </c>
      <c r="C1899" s="23" t="inlineStr">
        <is>
          <t>ЛР СО</t>
        </is>
      </c>
      <c r="D1899" s="23" t="inlineStr">
        <is>
          <t>Биварли Э.</t>
        </is>
      </c>
      <c r="E1899" s="23" t="inlineStr">
        <is>
          <t>Не будем торопить ночь</t>
        </is>
      </c>
      <c r="F1899" s="23" t="n">
        <v>267</v>
      </c>
      <c r="G1899" s="23" t="n">
        <v>102</v>
      </c>
      <c r="H1899" s="23" t="n">
        <v>10</v>
      </c>
      <c r="I1899" s="23" t="n">
        <v>30</v>
      </c>
      <c r="J1899" s="23" t="inlineStr">
        <is>
          <t>978-5-227-08136-0</t>
        </is>
      </c>
      <c r="K1899" s="23" t="inlineStr">
        <is>
          <t>70x100 1/32</t>
        </is>
      </c>
      <c r="L1899" s="23" t="inlineStr">
        <is>
          <t>мяг</t>
        </is>
      </c>
      <c r="M1899" s="23" t="n">
        <v>160</v>
      </c>
      <c r="N1899" s="23" t="n">
        <v>2018</v>
      </c>
      <c r="O1899" s="23" t="n">
        <v>76</v>
      </c>
      <c r="P1899" s="23" t="n"/>
      <c r="Q1899" s="23" t="n"/>
      <c r="R1899" s="25" t="n"/>
      <c r="S1899" s="26">
        <f>HYPERLINK("http://www.cnpol.ru/covers/18165.jpg","фото на сайте")</f>
        <v/>
      </c>
    </row>
    <row r="1900" ht="50.1" customHeight="1" s="3">
      <c r="A1900" s="23" t="n"/>
      <c r="B1900" s="24" t="inlineStr">
        <is>
          <t>16883</t>
        </is>
      </c>
      <c r="C1900" s="23" t="inlineStr">
        <is>
          <t>ЛР СО</t>
        </is>
      </c>
      <c r="D1900" s="23" t="inlineStr">
        <is>
          <t>Шоу Ш.</t>
        </is>
      </c>
      <c r="E1900" s="23" t="inlineStr">
        <is>
          <t>Не называй меня Афродитой</t>
        </is>
      </c>
      <c r="F1900" s="23" t="n">
        <v>178</v>
      </c>
      <c r="G1900" s="23" t="n">
        <v>102</v>
      </c>
      <c r="H1900" s="23" t="n">
        <v>10</v>
      </c>
      <c r="I1900" s="23" t="n">
        <v>30</v>
      </c>
      <c r="J1900" s="23" t="inlineStr">
        <is>
          <t>978-5-227-06831-6</t>
        </is>
      </c>
      <c r="K1900" s="23" t="inlineStr">
        <is>
          <t>70x100 1/32</t>
        </is>
      </c>
      <c r="L1900" s="23" t="inlineStr">
        <is>
          <t>мяг</t>
        </is>
      </c>
      <c r="M1900" s="23" t="n">
        <v>160</v>
      </c>
      <c r="N1900" s="23" t="n">
        <v>2016</v>
      </c>
      <c r="O1900" s="23" t="n">
        <v>76</v>
      </c>
      <c r="P1900" s="23" t="n"/>
      <c r="Q1900" s="23" t="n"/>
      <c r="R1900" s="25" t="n"/>
      <c r="S1900" s="26">
        <f>HYPERLINK("http://www.cnpol.ru/covers/16883.jpg","фото на сайте")</f>
        <v/>
      </c>
    </row>
    <row r="1901" ht="50.1" customHeight="1" s="3">
      <c r="A1901" s="23" t="n"/>
      <c r="B1901" s="24" t="inlineStr">
        <is>
          <t>16132</t>
        </is>
      </c>
      <c r="C1901" s="23" t="inlineStr">
        <is>
          <t>ЛР СО</t>
        </is>
      </c>
      <c r="D1901" s="23" t="inlineStr">
        <is>
          <t>Лэнг К.</t>
        </is>
      </c>
      <c r="E1901" s="23" t="inlineStr">
        <is>
          <t>Не по сценарию</t>
        </is>
      </c>
      <c r="F1901" s="23" t="n">
        <v>128</v>
      </c>
      <c r="G1901" s="23" t="n">
        <v>102</v>
      </c>
      <c r="H1901" s="23" t="n">
        <v>10</v>
      </c>
      <c r="I1901" s="23" t="n">
        <v>30</v>
      </c>
      <c r="J1901" s="23" t="inlineStr">
        <is>
          <t>978-5-227-06108-9</t>
        </is>
      </c>
      <c r="K1901" s="23" t="inlineStr">
        <is>
          <t>70x100 1/32</t>
        </is>
      </c>
      <c r="L1901" s="23" t="inlineStr">
        <is>
          <t>мяг</t>
        </is>
      </c>
      <c r="M1901" s="23" t="n">
        <v>158</v>
      </c>
      <c r="N1901" s="23" t="n">
        <v>2015</v>
      </c>
      <c r="O1901" s="23" t="n">
        <v>76</v>
      </c>
      <c r="P1901" s="23" t="n"/>
      <c r="Q1901" s="23" t="n"/>
      <c r="R1901" s="25" t="n"/>
      <c r="S1901" s="26">
        <f>HYPERLINK("http://www.cnpol.ru/covers/16132.jpg","фото на сайте")</f>
        <v/>
      </c>
    </row>
    <row r="1902" ht="50.1" customHeight="1" s="3">
      <c r="A1902" s="23" t="n"/>
      <c r="B1902" s="24" t="inlineStr">
        <is>
          <t>18415</t>
        </is>
      </c>
      <c r="C1902" s="23" t="inlineStr">
        <is>
          <t>ЛР СО</t>
        </is>
      </c>
      <c r="D1902" s="23" t="inlineStr">
        <is>
          <t>Бут К.</t>
        </is>
      </c>
      <c r="E1902" s="23" t="inlineStr">
        <is>
          <t>Не устоять перед совершенством</t>
        </is>
      </c>
      <c r="F1902" s="23" t="n">
        <v>288</v>
      </c>
      <c r="G1902" s="23" t="n">
        <v>102</v>
      </c>
      <c r="H1902" s="23" t="n">
        <v>10</v>
      </c>
      <c r="I1902" s="23" t="n">
        <v>30</v>
      </c>
      <c r="J1902" s="23" t="inlineStr">
        <is>
          <t>978-5-227-08363-0</t>
        </is>
      </c>
      <c r="K1902" s="23" t="inlineStr">
        <is>
          <t>70x100 1/32</t>
        </is>
      </c>
      <c r="L1902" s="23" t="inlineStr">
        <is>
          <t>мяг</t>
        </is>
      </c>
      <c r="M1902" s="23" t="n">
        <v>160</v>
      </c>
      <c r="N1902" s="23" t="n">
        <v>2018</v>
      </c>
      <c r="O1902" s="23" t="n">
        <v>76</v>
      </c>
      <c r="P1902" s="23" t="n"/>
      <c r="Q1902" s="23" t="n"/>
      <c r="R1902" s="25" t="n"/>
      <c r="S1902" s="26">
        <f>HYPERLINK("http://www.cnpol.ru/covers/18415.jpg","фото на сайте")</f>
        <v/>
      </c>
    </row>
    <row r="1903" ht="50.1" customHeight="1" s="3">
      <c r="A1903" s="23" t="n"/>
      <c r="B1903" s="24" t="inlineStr">
        <is>
          <t>16293</t>
        </is>
      </c>
      <c r="C1903" s="23" t="inlineStr">
        <is>
          <t>ЛР СО</t>
        </is>
      </c>
      <c r="D1903" s="23" t="inlineStr">
        <is>
          <t>Чайлд М.</t>
        </is>
      </c>
      <c r="E1903" s="23" t="inlineStr">
        <is>
          <t>Невеста для плохого парня</t>
        </is>
      </c>
      <c r="F1903" s="23" t="n">
        <v>140</v>
      </c>
      <c r="G1903" s="23" t="n">
        <v>102</v>
      </c>
      <c r="H1903" s="23" t="n">
        <v>10</v>
      </c>
      <c r="I1903" s="23" t="n">
        <v>30</v>
      </c>
      <c r="J1903" s="23" t="inlineStr">
        <is>
          <t>978-5-227-06196-6</t>
        </is>
      </c>
      <c r="K1903" s="23" t="inlineStr">
        <is>
          <t>70x100 1/32</t>
        </is>
      </c>
      <c r="L1903" s="23" t="inlineStr">
        <is>
          <t>мяг</t>
        </is>
      </c>
      <c r="M1903" s="23" t="n">
        <v>158</v>
      </c>
      <c r="N1903" s="23" t="n">
        <v>2015</v>
      </c>
      <c r="O1903" s="23" t="n">
        <v>76</v>
      </c>
      <c r="P1903" s="23" t="n"/>
      <c r="Q1903" s="23" t="n"/>
      <c r="R1903" s="25" t="n"/>
      <c r="S1903" s="26">
        <f>HYPERLINK("http://www.cnpol.ru/covers/16293.jpg","фото на сайте")</f>
        <v/>
      </c>
    </row>
    <row r="1904" ht="50.1" customHeight="1" s="3">
      <c r="A1904" s="23" t="n"/>
      <c r="B1904" s="24" t="inlineStr">
        <is>
          <t>19293</t>
        </is>
      </c>
      <c r="C1904" s="23" t="inlineStr">
        <is>
          <t>ЛР СО</t>
        </is>
      </c>
      <c r="D1904" s="23" t="inlineStr">
        <is>
          <t>Пэмми Т.</t>
        </is>
      </c>
      <c r="E1904" s="23" t="inlineStr">
        <is>
          <t>Невеста-беглянка</t>
        </is>
      </c>
      <c r="F1904" s="23" t="n">
        <v>356</v>
      </c>
      <c r="G1904" s="23" t="n">
        <v>102</v>
      </c>
      <c r="H1904" s="23" t="n">
        <v>10</v>
      </c>
      <c r="I1904" s="23" t="n">
        <v>30</v>
      </c>
      <c r="J1904" s="23" t="inlineStr">
        <is>
          <t>978-5-227-09058-4</t>
        </is>
      </c>
      <c r="K1904" s="23" t="inlineStr">
        <is>
          <t>70x100 1/32</t>
        </is>
      </c>
      <c r="L1904" s="23" t="inlineStr">
        <is>
          <t>мяг</t>
        </is>
      </c>
      <c r="M1904" s="23" t="n">
        <v>160</v>
      </c>
      <c r="N1904" s="23" t="n">
        <v>2020</v>
      </c>
      <c r="O1904" s="23" t="n">
        <v>76</v>
      </c>
      <c r="P1904" s="23" t="n"/>
      <c r="Q1904" s="23" t="n"/>
      <c r="R1904" s="25" t="n"/>
      <c r="S1904" s="26">
        <f>HYPERLINK("http://www.cnpol.ru/covers/19293.jpg","фото на сайте")</f>
        <v/>
      </c>
    </row>
    <row r="1905" ht="50.1" customHeight="1" s="3">
      <c r="A1905" s="23" t="n"/>
      <c r="B1905" s="24" t="inlineStr">
        <is>
          <t>17118</t>
        </is>
      </c>
      <c r="C1905" s="23" t="inlineStr">
        <is>
          <t>ЛР СО</t>
        </is>
      </c>
      <c r="D1905" s="23" t="inlineStr">
        <is>
          <t>Линдсей И.</t>
        </is>
      </c>
      <c r="E1905" s="23" t="inlineStr">
        <is>
          <t>Невинная и роковая</t>
        </is>
      </c>
      <c r="F1905" s="23" t="n">
        <v>194</v>
      </c>
      <c r="G1905" s="23" t="n">
        <v>102</v>
      </c>
      <c r="H1905" s="23" t="n">
        <v>10</v>
      </c>
      <c r="I1905" s="23" t="n">
        <v>30</v>
      </c>
      <c r="J1905" s="23" t="inlineStr">
        <is>
          <t>978-5-227-07124-8</t>
        </is>
      </c>
      <c r="K1905" s="23" t="inlineStr">
        <is>
          <t>70x100 1/32</t>
        </is>
      </c>
      <c r="L1905" s="23" t="inlineStr">
        <is>
          <t>мяг</t>
        </is>
      </c>
      <c r="M1905" s="23" t="n">
        <v>160</v>
      </c>
      <c r="N1905" s="23" t="n">
        <v>2016</v>
      </c>
      <c r="O1905" s="23" t="n">
        <v>76</v>
      </c>
      <c r="P1905" s="23" t="n"/>
      <c r="Q1905" s="23" t="n"/>
      <c r="R1905" s="25" t="n"/>
      <c r="S1905" s="26">
        <f>HYPERLINK("http://www.cnpol.ru/covers/17118.jpg","фото на сайте")</f>
        <v/>
      </c>
    </row>
    <row r="1906" ht="50.1" customHeight="1" s="3">
      <c r="A1906" s="23" t="inlineStr">
        <is>
          <t>Н</t>
        </is>
      </c>
      <c r="B1906" s="24" t="inlineStr">
        <is>
          <t>21061</t>
        </is>
      </c>
      <c r="C1906" s="23" t="inlineStr">
        <is>
          <t>ЛР СО</t>
        </is>
      </c>
      <c r="D1906" s="23" t="inlineStr">
        <is>
          <t>Томас Р.</t>
        </is>
      </c>
      <c r="E1906" s="23" t="inlineStr">
        <is>
          <t>Невинное соблазнение</t>
        </is>
      </c>
      <c r="F1906" s="23" t="n">
        <v>443</v>
      </c>
      <c r="G1906" s="23" t="n">
        <v>102</v>
      </c>
      <c r="H1906" s="23" t="n">
        <v>10</v>
      </c>
      <c r="I1906" s="23" t="n">
        <v>30</v>
      </c>
      <c r="J1906" s="23" t="inlineStr">
        <is>
          <t>978-5-227-10522-6</t>
        </is>
      </c>
      <c r="K1906" s="23" t="inlineStr">
        <is>
          <t>70x100 1/32</t>
        </is>
      </c>
      <c r="L1906" s="23" t="inlineStr">
        <is>
          <t>мяг</t>
        </is>
      </c>
      <c r="M1906" s="23" t="n">
        <v>159</v>
      </c>
      <c r="N1906" s="23" t="n">
        <v>2024</v>
      </c>
      <c r="O1906" s="23" t="n">
        <v>76</v>
      </c>
      <c r="P1906" s="23" t="n"/>
      <c r="Q1906" s="23" t="n"/>
      <c r="R1906" s="25" t="inlineStr">
        <is>
          <t>Милая скромная Роуз — известная скрипачка. Всю свою жизнь она посвятила музыке. Влюбившись в холодного и надменного Лисандроса Дракакиса, она наконец понимает, как многого лишалась, избегая страсти и бурных чувств. Любовь между Роуз и красавцем-греком оказалась взаимной. Но в жизни девушки внезапно происходит трагедия, о которой она не может рассказать возлюбленному.</t>
        </is>
      </c>
      <c r="S1906" s="26">
        <f>HYPERLINK("http://www.cnpol.ru/covers/21061.jpg","фото на сайте")</f>
        <v/>
      </c>
    </row>
    <row r="1907" ht="50.1" customHeight="1" s="3">
      <c r="A1907" s="23" t="n"/>
      <c r="B1907" s="24" t="inlineStr">
        <is>
          <t>18864</t>
        </is>
      </c>
      <c r="C1907" s="23" t="inlineStr">
        <is>
          <t>ЛР СО</t>
        </is>
      </c>
      <c r="D1907" s="23" t="inlineStr">
        <is>
          <t>Грин Э.</t>
        </is>
      </c>
      <c r="E1907" s="23" t="inlineStr">
        <is>
          <t>Невинные брачные шалости</t>
        </is>
      </c>
      <c r="F1907" s="23" t="n">
        <v>323</v>
      </c>
      <c r="G1907" s="23" t="n">
        <v>102</v>
      </c>
      <c r="H1907" s="23" t="n">
        <v>10</v>
      </c>
      <c r="I1907" s="23" t="n">
        <v>30</v>
      </c>
      <c r="J1907" s="23" t="inlineStr">
        <is>
          <t>978-5-227-08733-1</t>
        </is>
      </c>
      <c r="K1907" s="23" t="inlineStr">
        <is>
          <t>70x100 1/32</t>
        </is>
      </c>
      <c r="L1907" s="23" t="inlineStr">
        <is>
          <t>мяг</t>
        </is>
      </c>
      <c r="M1907" s="23" t="n">
        <v>160</v>
      </c>
      <c r="N1907" s="23" t="n">
        <v>2019</v>
      </c>
      <c r="O1907" s="23" t="n">
        <v>76</v>
      </c>
      <c r="P1907" s="23" t="n"/>
      <c r="Q1907" s="23" t="n"/>
      <c r="R1907" s="25" t="n"/>
      <c r="S1907" s="26">
        <f>HYPERLINK("http://www.cnpol.ru/covers/18864.jpg","фото на сайте")</f>
        <v/>
      </c>
    </row>
    <row r="1908" ht="50.1" customHeight="1" s="3">
      <c r="A1908" s="23" t="n"/>
      <c r="B1908" s="24" t="inlineStr">
        <is>
          <t>19383</t>
        </is>
      </c>
      <c r="C1908" s="23" t="inlineStr">
        <is>
          <t>ЛР СО</t>
        </is>
      </c>
      <c r="D1908" s="23" t="inlineStr">
        <is>
          <t>Манн К.</t>
        </is>
      </c>
      <c r="E1908" s="23" t="inlineStr">
        <is>
          <t>Невыраженная любовь</t>
        </is>
      </c>
      <c r="F1908" s="23" t="n">
        <v>361</v>
      </c>
      <c r="G1908" s="23" t="n">
        <v>102</v>
      </c>
      <c r="H1908" s="23" t="n">
        <v>10</v>
      </c>
      <c r="I1908" s="23" t="n">
        <v>30</v>
      </c>
      <c r="J1908" s="23" t="inlineStr">
        <is>
          <t>978-5-227-09085-0</t>
        </is>
      </c>
      <c r="K1908" s="23" t="inlineStr">
        <is>
          <t>70x100 1/32</t>
        </is>
      </c>
      <c r="L1908" s="23" t="inlineStr">
        <is>
          <t>мяг</t>
        </is>
      </c>
      <c r="M1908" s="23" t="n">
        <v>160</v>
      </c>
      <c r="N1908" s="23" t="n">
        <v>2020</v>
      </c>
      <c r="O1908" s="23" t="n">
        <v>76</v>
      </c>
      <c r="P1908" s="23" t="n"/>
      <c r="Q1908" s="23" t="n"/>
      <c r="R1908" s="25" t="n"/>
      <c r="S1908" s="26">
        <f>HYPERLINK("http://www.cnpol.ru/covers/19383.jpg","фото на сайте")</f>
        <v/>
      </c>
    </row>
    <row r="1909" ht="50.1" customHeight="1" s="3">
      <c r="A1909" s="23" t="n"/>
      <c r="B1909" s="24" t="inlineStr">
        <is>
          <t>19818</t>
        </is>
      </c>
      <c r="C1909" s="23" t="inlineStr">
        <is>
          <t>ЛР СО</t>
        </is>
      </c>
      <c r="D1909" s="23" t="inlineStr">
        <is>
          <t>Маринелли К.</t>
        </is>
      </c>
      <c r="E1909" s="23" t="inlineStr">
        <is>
          <t>Нежное доказательство чувств</t>
        </is>
      </c>
      <c r="F1909" s="23" t="n">
        <v>383</v>
      </c>
      <c r="G1909" s="23" t="n">
        <v>102</v>
      </c>
      <c r="H1909" s="23" t="n">
        <v>10</v>
      </c>
      <c r="I1909" s="23" t="n">
        <v>30</v>
      </c>
      <c r="J1909" s="23" t="inlineStr">
        <is>
          <t>978-5-227-09422-3</t>
        </is>
      </c>
      <c r="K1909" s="23" t="inlineStr">
        <is>
          <t>70x100 1/32</t>
        </is>
      </c>
      <c r="L1909" s="23" t="inlineStr">
        <is>
          <t>мяг</t>
        </is>
      </c>
      <c r="M1909" s="23" t="n">
        <v>160</v>
      </c>
      <c r="N1909" s="23" t="n">
        <v>2021</v>
      </c>
      <c r="O1909" s="23" t="n">
        <v>76</v>
      </c>
      <c r="P1909" s="23" t="n"/>
      <c r="Q1909" s="23" t="n"/>
      <c r="R1909" s="25" t="n"/>
      <c r="S1909" s="26">
        <f>HYPERLINK("http://www.cnpol.ru/covers/19818.jpg","фото на сайте")</f>
        <v/>
      </c>
    </row>
    <row r="1910" ht="50.1" customHeight="1" s="3">
      <c r="A1910" s="23" t="n"/>
      <c r="B1910" s="24" t="inlineStr">
        <is>
          <t>20313</t>
        </is>
      </c>
      <c r="C1910" s="23" t="inlineStr">
        <is>
          <t>ЛР СО</t>
        </is>
      </c>
      <c r="D1910" s="23" t="inlineStr">
        <is>
          <t>Милн Н.</t>
        </is>
      </c>
      <c r="E1910" s="23" t="inlineStr">
        <is>
          <t>Нежное свидание в Италии</t>
        </is>
      </c>
      <c r="F1910" s="23" t="n">
        <v>407</v>
      </c>
      <c r="G1910" s="23" t="n">
        <v>102</v>
      </c>
      <c r="H1910" s="23" t="n">
        <v>10</v>
      </c>
      <c r="I1910" s="23" t="n">
        <v>30</v>
      </c>
      <c r="J1910" s="23" t="inlineStr">
        <is>
          <t>978-5-227-09944-0</t>
        </is>
      </c>
      <c r="K1910" s="23" t="inlineStr">
        <is>
          <t>70x100 1/32</t>
        </is>
      </c>
      <c r="L1910" s="23" t="inlineStr">
        <is>
          <t>мяг</t>
        </is>
      </c>
      <c r="M1910" s="23" t="n">
        <v>159</v>
      </c>
      <c r="N1910" s="23" t="n">
        <v>2022</v>
      </c>
      <c r="O1910" s="23" t="n">
        <v>76</v>
      </c>
      <c r="P1910" s="23" t="n"/>
      <c r="Q1910" s="23" t="n"/>
      <c r="R1910" s="25" t="n"/>
      <c r="S1910" s="26">
        <f>HYPERLINK("http://www.cnpol.ru/covers/20313.jpg","фото на сайте")</f>
        <v/>
      </c>
    </row>
    <row r="1911" ht="50.1" customHeight="1" s="3">
      <c r="A1911" s="23" t="n"/>
      <c r="B1911" s="24" t="inlineStr">
        <is>
          <t>16998</t>
        </is>
      </c>
      <c r="C1911" s="23" t="inlineStr">
        <is>
          <t>ЛР СО</t>
        </is>
      </c>
      <c r="D1911" s="23" t="inlineStr">
        <is>
          <t>Андерсон С.</t>
        </is>
      </c>
      <c r="E1911" s="23" t="inlineStr">
        <is>
          <t>Неистовый соблазнитель</t>
        </is>
      </c>
      <c r="F1911" s="23" t="n">
        <v>186</v>
      </c>
      <c r="G1911" s="23" t="n">
        <v>102</v>
      </c>
      <c r="H1911" s="23" t="n">
        <v>10</v>
      </c>
      <c r="I1911" s="23" t="n">
        <v>30</v>
      </c>
      <c r="J1911" s="23" t="inlineStr">
        <is>
          <t>978-5-227-07044-9</t>
        </is>
      </c>
      <c r="K1911" s="23" t="inlineStr">
        <is>
          <t>70x100 1/32</t>
        </is>
      </c>
      <c r="L1911" s="23" t="inlineStr">
        <is>
          <t>мяг</t>
        </is>
      </c>
      <c r="M1911" s="23" t="n">
        <v>160</v>
      </c>
      <c r="N1911" s="23" t="n">
        <v>2016</v>
      </c>
      <c r="O1911" s="23" t="n">
        <v>76</v>
      </c>
      <c r="P1911" s="23" t="n"/>
      <c r="Q1911" s="23" t="n"/>
      <c r="R1911" s="25" t="n"/>
      <c r="S1911" s="26">
        <f>HYPERLINK("http://www.cnpol.ru/covers/16998.jpg","фото на сайте")</f>
        <v/>
      </c>
    </row>
    <row r="1912" ht="50.1" customHeight="1" s="3">
      <c r="A1912" s="23" t="n"/>
      <c r="B1912" s="24" t="inlineStr">
        <is>
          <t>20479</t>
        </is>
      </c>
      <c r="C1912" s="23" t="inlineStr">
        <is>
          <t>ЛР СО</t>
        </is>
      </c>
      <c r="D1912" s="23" t="inlineStr">
        <is>
          <t>Джексон Б.</t>
        </is>
      </c>
      <c r="E1912" s="23" t="inlineStr">
        <is>
          <t>Неминуемая страсть</t>
        </is>
      </c>
      <c r="F1912" s="23" t="n">
        <v>418</v>
      </c>
      <c r="G1912" s="23" t="n">
        <v>102</v>
      </c>
      <c r="H1912" s="23" t="n">
        <v>10</v>
      </c>
      <c r="I1912" s="23" t="n">
        <v>30</v>
      </c>
      <c r="J1912" s="23" t="inlineStr">
        <is>
          <t>978-5-227-10143-3</t>
        </is>
      </c>
      <c r="K1912" s="23" t="inlineStr">
        <is>
          <t>70x100 1/32</t>
        </is>
      </c>
      <c r="L1912" s="23" t="inlineStr">
        <is>
          <t>мяг</t>
        </is>
      </c>
      <c r="M1912" s="23" t="n">
        <v>159</v>
      </c>
      <c r="N1912" s="23" t="n">
        <v>2022</v>
      </c>
      <c r="O1912" s="23" t="n">
        <v>76</v>
      </c>
      <c r="P1912" s="23" t="n"/>
      <c r="Q1912" s="23" t="n"/>
      <c r="R1912" s="25" t="inlineStr">
        <is>
          <t>Когда после долгой и опасной служебной командировки Терстон Макрой возвращается домой и обнаруживает, что его жена уехала, он бросается на ее поиски. Обстоятельства на грани жизни и смерти подвергнут их любовь испытанию, которое поможет осознать глубину их любви и преодолеть кризис в отношениях.</t>
        </is>
      </c>
      <c r="S1912" s="26">
        <f>HYPERLINK("http://www.cnpol.ru/covers/20479.jpg","фото на сайте")</f>
        <v/>
      </c>
    </row>
    <row r="1913" ht="50.1" customHeight="1" s="3">
      <c r="A1913" s="23" t="n"/>
      <c r="B1913" s="24" t="inlineStr">
        <is>
          <t>18910</t>
        </is>
      </c>
      <c r="C1913" s="23" t="inlineStr">
        <is>
          <t>ЛР СО</t>
        </is>
      </c>
      <c r="D1913" s="23" t="inlineStr">
        <is>
          <t>Уэст Э.</t>
        </is>
      </c>
      <c r="E1913" s="23" t="inlineStr">
        <is>
          <t>Неминуемое соблазнение</t>
        </is>
      </c>
      <c r="F1913" s="23" t="n">
        <v>328</v>
      </c>
      <c r="G1913" s="23" t="n">
        <v>102</v>
      </c>
      <c r="H1913" s="23" t="n">
        <v>10</v>
      </c>
      <c r="I1913" s="23" t="n">
        <v>30</v>
      </c>
      <c r="J1913" s="23" t="inlineStr">
        <is>
          <t>978-5-227-08778-2</t>
        </is>
      </c>
      <c r="K1913" s="23" t="inlineStr">
        <is>
          <t>70x100 1/32</t>
        </is>
      </c>
      <c r="L1913" s="23" t="inlineStr">
        <is>
          <t>мяг</t>
        </is>
      </c>
      <c r="M1913" s="23" t="n">
        <v>160</v>
      </c>
      <c r="N1913" s="23" t="n">
        <v>2019</v>
      </c>
      <c r="O1913" s="23" t="n">
        <v>76</v>
      </c>
      <c r="P1913" s="23" t="n"/>
      <c r="Q1913" s="23" t="n"/>
      <c r="R1913" s="25" t="n"/>
      <c r="S1913" s="26">
        <f>HYPERLINK("http://www.cnpol.ru/covers/18910.jpg","фото на сайте")</f>
        <v/>
      </c>
    </row>
    <row r="1914" ht="50.1" customHeight="1" s="3">
      <c r="A1914" s="23" t="n"/>
      <c r="B1914" s="24" t="inlineStr">
        <is>
          <t>19195</t>
        </is>
      </c>
      <c r="C1914" s="23" t="inlineStr">
        <is>
          <t>ЛР СО</t>
        </is>
      </c>
      <c r="D1914" s="23" t="inlineStr">
        <is>
          <t>Бут К.</t>
        </is>
      </c>
      <c r="E1914" s="23" t="inlineStr">
        <is>
          <t>Необъяснимое притяжение</t>
        </is>
      </c>
      <c r="F1914" s="23" t="n">
        <v>352</v>
      </c>
      <c r="G1914" s="23" t="n">
        <v>102</v>
      </c>
      <c r="H1914" s="23" t="n">
        <v>10</v>
      </c>
      <c r="I1914" s="23" t="n">
        <v>30</v>
      </c>
      <c r="J1914" s="23" t="inlineStr">
        <is>
          <t>978-5-227-09037-9</t>
        </is>
      </c>
      <c r="K1914" s="23" t="inlineStr">
        <is>
          <t>70x100 1/32</t>
        </is>
      </c>
      <c r="L1914" s="23" t="inlineStr">
        <is>
          <t>мяг</t>
        </is>
      </c>
      <c r="M1914" s="23" t="n">
        <v>160</v>
      </c>
      <c r="N1914" s="23" t="n">
        <v>2020</v>
      </c>
      <c r="O1914" s="23" t="n">
        <v>76</v>
      </c>
      <c r="P1914" s="23" t="n"/>
      <c r="Q1914" s="23" t="n"/>
      <c r="R1914" s="25" t="n"/>
      <c r="S1914" s="26">
        <f>HYPERLINK("http://www.cnpol.ru/covers/19195.jpg","фото на сайте")</f>
        <v/>
      </c>
    </row>
    <row r="1915" ht="50.1" customHeight="1" s="3">
      <c r="A1915" s="23" t="n"/>
      <c r="B1915" s="24" t="inlineStr">
        <is>
          <t>16215</t>
        </is>
      </c>
      <c r="C1915" s="23" t="inlineStr">
        <is>
          <t>ЛР СО</t>
        </is>
      </c>
      <c r="D1915" s="23" t="inlineStr">
        <is>
          <t>Браун Д.</t>
        </is>
      </c>
      <c r="E1915" s="23" t="inlineStr">
        <is>
          <t>Неожиданное возвращение</t>
        </is>
      </c>
      <c r="F1915" s="23" t="n">
        <v>134</v>
      </c>
      <c r="G1915" s="23" t="n">
        <v>102</v>
      </c>
      <c r="H1915" s="23" t="n">
        <v>10</v>
      </c>
      <c r="I1915" s="23" t="n">
        <v>30</v>
      </c>
      <c r="J1915" s="23" t="inlineStr">
        <is>
          <t>978-5-227-06150-8</t>
        </is>
      </c>
      <c r="K1915" s="23" t="inlineStr">
        <is>
          <t>70x100 1/32</t>
        </is>
      </c>
      <c r="L1915" s="23" t="inlineStr">
        <is>
          <t>мяг</t>
        </is>
      </c>
      <c r="M1915" s="23" t="n">
        <v>158</v>
      </c>
      <c r="N1915" s="23" t="n">
        <v>2015</v>
      </c>
      <c r="O1915" s="23" t="n">
        <v>76</v>
      </c>
      <c r="P1915" s="23" t="n"/>
      <c r="Q1915" s="23" t="n"/>
      <c r="R1915" s="25" t="n"/>
      <c r="S1915" s="26">
        <f>HYPERLINK("http://www.cnpol.ru/covers/16215.jpg","фото на сайте")</f>
        <v/>
      </c>
    </row>
    <row r="1916" ht="50.1" customHeight="1" s="3">
      <c r="A1916" s="23" t="n"/>
      <c r="B1916" s="24" t="inlineStr">
        <is>
          <t>18429</t>
        </is>
      </c>
      <c r="C1916" s="23" t="inlineStr">
        <is>
          <t>ЛР СО</t>
        </is>
      </c>
      <c r="D1916" s="23" t="inlineStr">
        <is>
          <t>Орвиг С.</t>
        </is>
      </c>
      <c r="E1916" s="23" t="inlineStr">
        <is>
          <t>Неразгаданное искушение</t>
        </is>
      </c>
      <c r="F1916" s="23" t="n">
        <v>289</v>
      </c>
      <c r="G1916" s="23" t="n">
        <v>102</v>
      </c>
      <c r="H1916" s="23" t="n">
        <v>10</v>
      </c>
      <c r="I1916" s="23" t="n">
        <v>30</v>
      </c>
      <c r="J1916" s="23" t="inlineStr">
        <is>
          <t>978-5-227-08392-0</t>
        </is>
      </c>
      <c r="K1916" s="23" t="inlineStr">
        <is>
          <t>70x108 1/32</t>
        </is>
      </c>
      <c r="L1916" s="23" t="inlineStr">
        <is>
          <t>мяг</t>
        </is>
      </c>
      <c r="M1916" s="23" t="n">
        <v>160</v>
      </c>
      <c r="N1916" s="23" t="n">
        <v>2018</v>
      </c>
      <c r="O1916" s="23" t="n">
        <v>76</v>
      </c>
      <c r="P1916" s="23" t="n"/>
      <c r="Q1916" s="23" t="n"/>
      <c r="R1916" s="25" t="n"/>
      <c r="S1916" s="26">
        <f>HYPERLINK("http://www.cnpol.ru/covers/18429.jpg","фото на сайте")</f>
        <v/>
      </c>
    </row>
    <row r="1917" ht="50.1" customHeight="1" s="3">
      <c r="A1917" s="23" t="n"/>
      <c r="B1917" s="24" t="inlineStr">
        <is>
          <t>17588</t>
        </is>
      </c>
      <c r="C1917" s="23" t="inlineStr">
        <is>
          <t>ЛР СО</t>
        </is>
      </c>
      <c r="D1917" s="23" t="inlineStr">
        <is>
          <t>Кэнтрелл К.</t>
        </is>
      </c>
      <c r="E1917" s="23" t="inlineStr">
        <is>
          <t>Неспящие в Чикаго</t>
        </is>
      </c>
      <c r="F1917" s="23" t="n">
        <v>228</v>
      </c>
      <c r="G1917" s="23" t="n">
        <v>102</v>
      </c>
      <c r="H1917" s="23" t="n">
        <v>10</v>
      </c>
      <c r="I1917" s="23" t="n">
        <v>30</v>
      </c>
      <c r="J1917" s="23" t="inlineStr">
        <is>
          <t>978-5-227-07619-9</t>
        </is>
      </c>
      <c r="K1917" s="23" t="inlineStr">
        <is>
          <t>70x100 1/32</t>
        </is>
      </c>
      <c r="L1917" s="23" t="inlineStr">
        <is>
          <t>мяг</t>
        </is>
      </c>
      <c r="M1917" s="23" t="n">
        <v>160</v>
      </c>
      <c r="N1917" s="23" t="n">
        <v>2017</v>
      </c>
      <c r="O1917" s="23" t="n">
        <v>76</v>
      </c>
      <c r="P1917" s="23" t="n"/>
      <c r="Q1917" s="23" t="n"/>
      <c r="R1917" s="25" t="n"/>
      <c r="S1917" s="26">
        <f>HYPERLINK("http://www.cnpol.ru/covers/17588.jpg","фото на сайте")</f>
        <v/>
      </c>
    </row>
    <row r="1918" ht="50.1" customHeight="1" s="3">
      <c r="A1918" s="23" t="n"/>
      <c r="B1918" s="24" t="inlineStr">
        <is>
          <t>18995</t>
        </is>
      </c>
      <c r="C1918" s="23" t="inlineStr">
        <is>
          <t>ЛР СО</t>
        </is>
      </c>
      <c r="D1918" s="23" t="inlineStr">
        <is>
          <t>Беннет Д.</t>
        </is>
      </c>
      <c r="E1918" s="23" t="inlineStr">
        <is>
          <t>Нет ничего невозможного</t>
        </is>
      </c>
      <c r="F1918" s="23" t="n">
        <v>336</v>
      </c>
      <c r="G1918" s="23" t="n">
        <v>102</v>
      </c>
      <c r="H1918" s="23" t="n">
        <v>10</v>
      </c>
      <c r="I1918" s="23" t="n">
        <v>30</v>
      </c>
      <c r="J1918" s="23" t="inlineStr">
        <is>
          <t>978-5-227-08887-1</t>
        </is>
      </c>
      <c r="K1918" s="23" t="inlineStr">
        <is>
          <t>70x100 1/32</t>
        </is>
      </c>
      <c r="L1918" s="23" t="inlineStr">
        <is>
          <t>мяг</t>
        </is>
      </c>
      <c r="M1918" s="23" t="n">
        <v>160</v>
      </c>
      <c r="N1918" s="23" t="n">
        <v>2019</v>
      </c>
      <c r="O1918" s="23" t="n">
        <v>76</v>
      </c>
      <c r="P1918" s="23" t="n"/>
      <c r="Q1918" s="23" t="n"/>
      <c r="R1918" s="25" t="n"/>
      <c r="S1918" s="26">
        <f>HYPERLINK("http://www.cnpol.ru/covers/18995.jpg","фото на сайте")</f>
        <v/>
      </c>
    </row>
    <row r="1919" ht="50.1" customHeight="1" s="3">
      <c r="A1919" s="23" t="n"/>
      <c r="B1919" s="24" t="inlineStr">
        <is>
          <t>18579</t>
        </is>
      </c>
      <c r="C1919" s="23" t="inlineStr">
        <is>
          <t>ЛР СО</t>
        </is>
      </c>
      <c r="D1919" s="23" t="inlineStr">
        <is>
          <t>Чайлд М.</t>
        </is>
      </c>
      <c r="E1919" s="23" t="inlineStr">
        <is>
          <t>Ночь дерзких открытий</t>
        </is>
      </c>
      <c r="F1919" s="23" t="n">
        <v>301</v>
      </c>
      <c r="G1919" s="23" t="n">
        <v>102</v>
      </c>
      <c r="H1919" s="23" t="n">
        <v>10</v>
      </c>
      <c r="I1919" s="23" t="n">
        <v>30</v>
      </c>
      <c r="J1919" s="23" t="inlineStr">
        <is>
          <t>978-5-227-08445-3</t>
        </is>
      </c>
      <c r="K1919" s="23" t="inlineStr">
        <is>
          <t>70x100 1/32</t>
        </is>
      </c>
      <c r="L1919" s="23" t="inlineStr">
        <is>
          <t>мяг</t>
        </is>
      </c>
      <c r="M1919" s="23" t="n">
        <v>160</v>
      </c>
      <c r="N1919" s="23" t="n">
        <v>2019</v>
      </c>
      <c r="O1919" s="23" t="n">
        <v>76</v>
      </c>
      <c r="P1919" s="23" t="n"/>
      <c r="Q1919" s="23" t="n"/>
      <c r="R1919" s="25" t="n"/>
      <c r="S1919" s="26">
        <f>HYPERLINK("http://www.cnpol.ru/covers/18579.jpg","фото на сайте")</f>
        <v/>
      </c>
    </row>
    <row r="1920" ht="50.1" customHeight="1" s="3">
      <c r="A1920" s="23" t="n"/>
      <c r="B1920" s="24" t="inlineStr">
        <is>
          <t>19132</t>
        </is>
      </c>
      <c r="C1920" s="23" t="inlineStr">
        <is>
          <t>ЛР СО</t>
        </is>
      </c>
      <c r="D1920" s="23" t="inlineStr">
        <is>
          <t>Андерсон С.</t>
        </is>
      </c>
      <c r="E1920" s="23" t="inlineStr">
        <is>
          <t>Ночь пламенных воспоминаний</t>
        </is>
      </c>
      <c r="F1920" s="23" t="n">
        <v>347</v>
      </c>
      <c r="G1920" s="23" t="n">
        <v>102</v>
      </c>
      <c r="H1920" s="23" t="n">
        <v>10</v>
      </c>
      <c r="I1920" s="23" t="n">
        <v>30</v>
      </c>
      <c r="J1920" s="23" t="inlineStr">
        <is>
          <t>978-5-227-08968-7</t>
        </is>
      </c>
      <c r="K1920" s="23" t="inlineStr">
        <is>
          <t>70x100 1/32</t>
        </is>
      </c>
      <c r="L1920" s="23" t="inlineStr">
        <is>
          <t>мяг</t>
        </is>
      </c>
      <c r="M1920" s="23" t="n">
        <v>160</v>
      </c>
      <c r="N1920" s="23" t="n">
        <v>2020</v>
      </c>
      <c r="O1920" s="23" t="n">
        <v>76</v>
      </c>
      <c r="P1920" s="23" t="n"/>
      <c r="Q1920" s="23" t="n"/>
      <c r="R1920" s="25" t="n"/>
      <c r="S1920" s="26">
        <f>HYPERLINK("http://www.cnpol.ru/covers/19132.jpg","фото на сайте")</f>
        <v/>
      </c>
    </row>
    <row r="1921" ht="50.1" customHeight="1" s="3">
      <c r="A1921" s="23" t="n"/>
      <c r="B1921" s="24" t="inlineStr">
        <is>
          <t>17281</t>
        </is>
      </c>
      <c r="C1921" s="23" t="inlineStr">
        <is>
          <t>ЛР СО</t>
        </is>
      </c>
      <c r="D1921" s="23" t="inlineStr">
        <is>
          <t>Грейди Р.</t>
        </is>
      </c>
      <c r="E1921" s="23" t="inlineStr">
        <is>
          <t>Ночь с последствиями</t>
        </is>
      </c>
      <c r="F1921" s="23" t="n">
        <v>204</v>
      </c>
      <c r="G1921" s="23" t="n">
        <v>102</v>
      </c>
      <c r="H1921" s="23" t="n">
        <v>10</v>
      </c>
      <c r="I1921" s="23" t="n">
        <v>30</v>
      </c>
      <c r="J1921" s="23" t="inlineStr">
        <is>
          <t>978-5-227-07291-7</t>
        </is>
      </c>
      <c r="K1921" s="23" t="inlineStr">
        <is>
          <t>70x100 1/32</t>
        </is>
      </c>
      <c r="L1921" s="23" t="inlineStr">
        <is>
          <t>мяг</t>
        </is>
      </c>
      <c r="M1921" s="23" t="n">
        <v>160</v>
      </c>
      <c r="N1921" s="23" t="n">
        <v>2017</v>
      </c>
      <c r="O1921" s="23" t="n">
        <v>76</v>
      </c>
      <c r="P1921" s="23" t="n"/>
      <c r="Q1921" s="23" t="n"/>
      <c r="R1921" s="25" t="n"/>
      <c r="S1921" s="26">
        <f>HYPERLINK("http://www.cnpol.ru/covers/17281.jpg","фото на сайте")</f>
        <v/>
      </c>
    </row>
    <row r="1922" ht="50.1" customHeight="1" s="3">
      <c r="A1922" s="23" t="n"/>
      <c r="B1922" s="24" t="inlineStr">
        <is>
          <t>17657</t>
        </is>
      </c>
      <c r="C1922" s="23" t="inlineStr">
        <is>
          <t>ЛР СО</t>
        </is>
      </c>
      <c r="D1922" s="23" t="inlineStr">
        <is>
          <t>Бейли Р.</t>
        </is>
      </c>
      <c r="E1922" s="23" t="inlineStr">
        <is>
          <t>Ночь сумашедшего экстаза</t>
        </is>
      </c>
      <c r="F1922" s="23" t="n">
        <v>234</v>
      </c>
      <c r="G1922" s="23" t="n">
        <v>102</v>
      </c>
      <c r="H1922" s="23" t="n">
        <v>10</v>
      </c>
      <c r="I1922" s="23" t="n">
        <v>30</v>
      </c>
      <c r="J1922" s="23" t="inlineStr">
        <is>
          <t>978-5-227-07688-5</t>
        </is>
      </c>
      <c r="K1922" s="23" t="inlineStr">
        <is>
          <t>70x100 1/32</t>
        </is>
      </c>
      <c r="L1922" s="23" t="inlineStr">
        <is>
          <t>мяг</t>
        </is>
      </c>
      <c r="M1922" s="23" t="n">
        <v>160</v>
      </c>
      <c r="N1922" s="23" t="n">
        <v>2017</v>
      </c>
      <c r="O1922" s="23" t="n">
        <v>76</v>
      </c>
      <c r="P1922" s="23" t="n"/>
      <c r="Q1922" s="23" t="n"/>
      <c r="R1922" s="25" t="n"/>
      <c r="S1922" s="26">
        <f>HYPERLINK("http://www.cnpol.ru/covers/17657.jpg","фото на сайте")</f>
        <v/>
      </c>
    </row>
    <row r="1923" ht="50.1" customHeight="1" s="3">
      <c r="A1923" s="23" t="n"/>
      <c r="B1923" s="24" t="inlineStr">
        <is>
          <t>19330</t>
        </is>
      </c>
      <c r="C1923" s="23" t="inlineStr">
        <is>
          <t>ЛР СО</t>
        </is>
      </c>
      <c r="D1923" s="23" t="inlineStr">
        <is>
          <t>Шилд К.</t>
        </is>
      </c>
      <c r="E1923" s="23" t="inlineStr">
        <is>
          <t>Ночь урагана страсти</t>
        </is>
      </c>
      <c r="F1923" s="23" t="n">
        <v>358</v>
      </c>
      <c r="G1923" s="23" t="n">
        <v>102</v>
      </c>
      <c r="H1923" s="23" t="n">
        <v>10</v>
      </c>
      <c r="I1923" s="23" t="n">
        <v>30</v>
      </c>
      <c r="J1923" s="23" t="inlineStr">
        <is>
          <t>978-5-227-09082-9</t>
        </is>
      </c>
      <c r="K1923" s="23" t="inlineStr">
        <is>
          <t>70x100 1/32</t>
        </is>
      </c>
      <c r="L1923" s="23" t="inlineStr">
        <is>
          <t>мяг</t>
        </is>
      </c>
      <c r="M1923" s="23" t="n">
        <v>160</v>
      </c>
      <c r="N1923" s="23" t="n">
        <v>2020</v>
      </c>
      <c r="O1923" s="23" t="n">
        <v>76</v>
      </c>
      <c r="P1923" s="23" t="n"/>
      <c r="Q1923" s="23" t="n"/>
      <c r="R1923" s="25" t="n"/>
      <c r="S1923" s="26">
        <f>HYPERLINK("http://www.cnpol.ru/covers/19330.jpg","фото на сайте")</f>
        <v/>
      </c>
    </row>
    <row r="1924" ht="50.1" customHeight="1" s="3">
      <c r="A1924" s="23" t="n"/>
      <c r="B1924" s="24" t="inlineStr">
        <is>
          <t>20632</t>
        </is>
      </c>
      <c r="C1924" s="23" t="inlineStr">
        <is>
          <t>ЛР СО</t>
        </is>
      </c>
      <c r="D1924" s="23" t="inlineStr">
        <is>
          <t>Бэлл М.</t>
        </is>
      </c>
      <c r="E1924" s="23" t="inlineStr">
        <is>
          <t>Ночь, которой не было</t>
        </is>
      </c>
      <c r="F1924" s="23" t="n">
        <v>426</v>
      </c>
      <c r="G1924" s="23" t="n">
        <v>102</v>
      </c>
      <c r="H1924" s="23" t="n">
        <v>10</v>
      </c>
      <c r="I1924" s="23" t="n">
        <v>30</v>
      </c>
      <c r="J1924" s="23" t="inlineStr">
        <is>
          <t>978-5-227-10244-7</t>
        </is>
      </c>
      <c r="K1924" s="23" t="inlineStr">
        <is>
          <t>70x100 1/32</t>
        </is>
      </c>
      <c r="L1924" s="23" t="inlineStr">
        <is>
          <t>мяг</t>
        </is>
      </c>
      <c r="M1924" s="23" t="n">
        <v>159</v>
      </c>
      <c r="N1924" s="23" t="n">
        <v>2023</v>
      </c>
      <c r="O1924" s="23" t="n">
        <v>76</v>
      </c>
      <c r="P1924" s="23" t="n"/>
      <c r="Q1924" s="23" t="n"/>
      <c r="R1924" s="25" t="inlineStr">
        <is>
          <t>Дженна Мустафа служит в королевской гвардии островного государства и охраняет саму королеву. Однако, надевая форму, девушка словно становится невидимкой для окружающих, и жизнь ее проходит незаметно. Столкнувшись на празднике с привлекательным герцогом Редклиффом, Дженна игнорирует его очевидные заигрывания, не веря, что он может всерьез ею заинтересоваться. Не верит в это и сам Себастиан, рассчитывая провести с красавицей всего одну ночь…</t>
        </is>
      </c>
      <c r="S1924" s="26">
        <f>HYPERLINK("http://www.cnpol.ru/covers/20632.jpg","фото на сайте")</f>
        <v/>
      </c>
    </row>
    <row r="1925" ht="50.1" customHeight="1" s="3">
      <c r="A1925" s="23" t="n"/>
      <c r="B1925" s="24" t="inlineStr">
        <is>
          <t>18870</t>
        </is>
      </c>
      <c r="C1925" s="23" t="inlineStr">
        <is>
          <t>ЛР СО</t>
        </is>
      </c>
      <c r="D1925" s="23" t="inlineStr">
        <is>
          <t>Лукас Д.</t>
        </is>
      </c>
      <c r="E1925" s="23" t="inlineStr">
        <is>
          <t>Оазис страсти</t>
        </is>
      </c>
      <c r="F1925" s="23" t="n">
        <v>324</v>
      </c>
      <c r="G1925" s="23" t="n">
        <v>102</v>
      </c>
      <c r="H1925" s="23" t="n">
        <v>10</v>
      </c>
      <c r="I1925" s="23" t="n">
        <v>30</v>
      </c>
      <c r="J1925" s="23" t="inlineStr">
        <is>
          <t>978-5-227-08734-8</t>
        </is>
      </c>
      <c r="K1925" s="23" t="inlineStr">
        <is>
          <t>70x100 1/32</t>
        </is>
      </c>
      <c r="L1925" s="23" t="inlineStr">
        <is>
          <t>мяг</t>
        </is>
      </c>
      <c r="M1925" s="23" t="n">
        <v>160</v>
      </c>
      <c r="N1925" s="23" t="n">
        <v>2019</v>
      </c>
      <c r="O1925" s="23" t="n">
        <v>76</v>
      </c>
      <c r="P1925" s="23" t="n"/>
      <c r="Q1925" s="23" t="n"/>
      <c r="R1925" s="25" t="n"/>
      <c r="S1925" s="26">
        <f>HYPERLINK("http://www.cnpol.ru/covers/18870.jpg","фото на сайте")</f>
        <v/>
      </c>
    </row>
    <row r="1926" ht="50.1" customHeight="1" s="3">
      <c r="A1926" s="23" t="n"/>
      <c r="B1926" s="24" t="inlineStr">
        <is>
          <t>20318</t>
        </is>
      </c>
      <c r="C1926" s="23" t="inlineStr">
        <is>
          <t>ЛР СО</t>
        </is>
      </c>
      <c r="D1926" s="23" t="inlineStr">
        <is>
          <t>Эшенден Д.</t>
        </is>
      </c>
      <c r="E1926" s="23" t="inlineStr">
        <is>
          <t>Обещанная любовь</t>
        </is>
      </c>
      <c r="F1926" s="23" t="n">
        <v>408</v>
      </c>
      <c r="G1926" s="23" t="n">
        <v>102</v>
      </c>
      <c r="H1926" s="23" t="n">
        <v>10</v>
      </c>
      <c r="I1926" s="23" t="n">
        <v>30</v>
      </c>
      <c r="J1926" s="23" t="inlineStr">
        <is>
          <t>978-5-227-09945-7</t>
        </is>
      </c>
      <c r="K1926" s="23" t="inlineStr">
        <is>
          <t>70x100 1/32</t>
        </is>
      </c>
      <c r="L1926" s="23" t="inlineStr">
        <is>
          <t>мяг</t>
        </is>
      </c>
      <c r="M1926" s="23" t="n">
        <v>159</v>
      </c>
      <c r="N1926" s="23" t="n">
        <v>2022</v>
      </c>
      <c r="O1926" s="23" t="n">
        <v>76</v>
      </c>
      <c r="P1926" s="23" t="n"/>
      <c r="Q1926" s="23" t="n"/>
      <c r="R1926" s="25" t="n"/>
      <c r="S1926" s="26">
        <f>HYPERLINK("http://www.cnpol.ru/covers/20318.jpg","фото на сайте")</f>
        <v/>
      </c>
    </row>
    <row r="1927" ht="50.1" customHeight="1" s="3">
      <c r="A1927" s="23" t="n"/>
      <c r="B1927" s="24" t="inlineStr">
        <is>
          <t>19322</t>
        </is>
      </c>
      <c r="C1927" s="23" t="inlineStr">
        <is>
          <t>ЛР СО</t>
        </is>
      </c>
      <c r="D1927" s="23" t="inlineStr">
        <is>
          <t>Чайлд М.</t>
        </is>
      </c>
      <c r="E1927" s="23" t="inlineStr">
        <is>
          <t>Обжигающая нежность</t>
        </is>
      </c>
      <c r="F1927" s="23" t="n">
        <v>357</v>
      </c>
      <c r="G1927" s="23" t="n">
        <v>102</v>
      </c>
      <c r="H1927" s="23" t="n">
        <v>10</v>
      </c>
      <c r="I1927" s="23" t="n">
        <v>30</v>
      </c>
      <c r="J1927" s="23" t="inlineStr">
        <is>
          <t>978-5-227-09059-1</t>
        </is>
      </c>
      <c r="K1927" s="23" t="inlineStr">
        <is>
          <t>70x100 1/32</t>
        </is>
      </c>
      <c r="L1927" s="23" t="inlineStr">
        <is>
          <t>мяг</t>
        </is>
      </c>
      <c r="M1927" s="23" t="n">
        <v>160</v>
      </c>
      <c r="N1927" s="23" t="n">
        <v>2020</v>
      </c>
      <c r="O1927" s="23" t="n">
        <v>76</v>
      </c>
      <c r="P1927" s="23" t="n"/>
      <c r="Q1927" s="23" t="n"/>
      <c r="R1927" s="25" t="n"/>
      <c r="S1927" s="26">
        <f>HYPERLINK("http://www.cnpol.ru/covers/19322.jpg","фото на сайте")</f>
        <v/>
      </c>
    </row>
    <row r="1928" ht="50.1" customHeight="1" s="3">
      <c r="A1928" s="23" t="n"/>
      <c r="B1928" s="24" t="inlineStr">
        <is>
          <t>17016</t>
        </is>
      </c>
      <c r="C1928" s="23" t="inlineStr">
        <is>
          <t>ЛР СО</t>
        </is>
      </c>
      <c r="D1928" s="23" t="inlineStr">
        <is>
          <t>Роу Паула</t>
        </is>
      </c>
      <c r="E1928" s="23" t="inlineStr">
        <is>
          <t>Обитель искушений</t>
        </is>
      </c>
      <c r="F1928" s="23" t="n">
        <v>187</v>
      </c>
      <c r="G1928" s="23" t="n">
        <v>102</v>
      </c>
      <c r="H1928" s="23" t="n">
        <v>10</v>
      </c>
      <c r="I1928" s="23" t="n">
        <v>30</v>
      </c>
      <c r="J1928" s="23" t="inlineStr">
        <is>
          <t>978-5-227-07045-6</t>
        </is>
      </c>
      <c r="K1928" s="23" t="inlineStr">
        <is>
          <t>70x100 1/32</t>
        </is>
      </c>
      <c r="L1928" s="23" t="inlineStr">
        <is>
          <t>мяг</t>
        </is>
      </c>
      <c r="M1928" s="23" t="n">
        <v>160</v>
      </c>
      <c r="N1928" s="23" t="n">
        <v>2016</v>
      </c>
      <c r="O1928" s="23" t="n">
        <v>76</v>
      </c>
      <c r="P1928" s="23" t="n"/>
      <c r="Q1928" s="23" t="n"/>
      <c r="R1928" s="25" t="n"/>
      <c r="S1928" s="26">
        <f>HYPERLINK("http://www.cnpol.ru/covers/17016.jpg","фото на сайте")</f>
        <v/>
      </c>
    </row>
    <row r="1929" ht="50.1" customHeight="1" s="3">
      <c r="A1929" s="23" t="n"/>
      <c r="B1929" s="24" t="inlineStr">
        <is>
          <t>15987</t>
        </is>
      </c>
      <c r="C1929" s="23" t="inlineStr">
        <is>
          <t>ЛР СО</t>
        </is>
      </c>
      <c r="D1929" s="23" t="inlineStr">
        <is>
          <t>Чайлд М.</t>
        </is>
      </c>
      <c r="E1929" s="23" t="inlineStr">
        <is>
          <t>Обитель страсти</t>
        </is>
      </c>
      <c r="F1929" s="23" t="n">
        <v>118</v>
      </c>
      <c r="G1929" s="23" t="n">
        <v>102</v>
      </c>
      <c r="H1929" s="23" t="n">
        <v>10</v>
      </c>
      <c r="I1929" s="23" t="n">
        <v>30</v>
      </c>
      <c r="J1929" s="23" t="inlineStr">
        <is>
          <t>978-5-227-05951-2</t>
        </is>
      </c>
      <c r="K1929" s="23" t="inlineStr">
        <is>
          <t>70x100 1/32</t>
        </is>
      </c>
      <c r="L1929" s="23" t="inlineStr">
        <is>
          <t>мяг</t>
        </is>
      </c>
      <c r="M1929" s="23" t="n">
        <v>158</v>
      </c>
      <c r="N1929" s="23" t="n">
        <v>2015</v>
      </c>
      <c r="O1929" s="23" t="n">
        <v>76</v>
      </c>
      <c r="P1929" s="23" t="n"/>
      <c r="Q1929" s="23" t="n"/>
      <c r="R1929" s="25" t="n"/>
      <c r="S1929" s="26">
        <f>HYPERLINK("http://www.cnpol.ru/covers/15987.jpg","фото на сайте")</f>
        <v/>
      </c>
    </row>
    <row r="1930" ht="50.1" customHeight="1" s="3">
      <c r="A1930" s="23" t="n"/>
      <c r="B1930" s="24" t="inlineStr">
        <is>
          <t>18925</t>
        </is>
      </c>
      <c r="C1930" s="23" t="inlineStr">
        <is>
          <t>ЛР СО</t>
        </is>
      </c>
      <c r="D1930" s="23" t="inlineStr">
        <is>
          <t>Линдсей И.</t>
        </is>
      </c>
      <c r="E1930" s="23" t="inlineStr">
        <is>
          <t>Обойдемся без свадьбы</t>
        </is>
      </c>
      <c r="F1930" s="23" t="n">
        <v>329</v>
      </c>
      <c r="G1930" s="23" t="n">
        <v>102</v>
      </c>
      <c r="H1930" s="23" t="n">
        <v>10</v>
      </c>
      <c r="I1930" s="23" t="n">
        <v>30</v>
      </c>
      <c r="J1930" s="23" t="inlineStr">
        <is>
          <t>978-5-227-08779-9</t>
        </is>
      </c>
      <c r="K1930" s="23" t="inlineStr">
        <is>
          <t>70x100 1/32</t>
        </is>
      </c>
      <c r="L1930" s="23" t="inlineStr">
        <is>
          <t>мяг</t>
        </is>
      </c>
      <c r="M1930" s="23" t="n">
        <v>160</v>
      </c>
      <c r="N1930" s="23" t="n">
        <v>2019</v>
      </c>
      <c r="O1930" s="23" t="n">
        <v>76</v>
      </c>
      <c r="P1930" s="23" t="n"/>
      <c r="Q1930" s="23" t="n"/>
      <c r="R1930" s="25" t="n"/>
      <c r="S1930" s="26">
        <f>HYPERLINK("http://www.cnpol.ru/covers/18925.jpg","фото на сайте")</f>
        <v/>
      </c>
    </row>
    <row r="1931" ht="50.1" customHeight="1" s="3">
      <c r="A1931" s="23" t="n"/>
      <c r="B1931" s="24" t="inlineStr">
        <is>
          <t>18790</t>
        </is>
      </c>
      <c r="C1931" s="23" t="inlineStr">
        <is>
          <t>ЛР СО</t>
        </is>
      </c>
      <c r="D1931" s="23" t="inlineStr">
        <is>
          <t>Рок Джоанна</t>
        </is>
      </c>
      <c r="E1931" s="23" t="inlineStr">
        <is>
          <t>Обольщение со второго дубля</t>
        </is>
      </c>
      <c r="F1931" s="23" t="n">
        <v>317</v>
      </c>
      <c r="G1931" s="23" t="n">
        <v>102</v>
      </c>
      <c r="H1931" s="23" t="n">
        <v>10</v>
      </c>
      <c r="I1931" s="23" t="n">
        <v>30</v>
      </c>
      <c r="J1931" s="23" t="inlineStr">
        <is>
          <t>978-5-227-08668-6</t>
        </is>
      </c>
      <c r="K1931" s="23" t="inlineStr">
        <is>
          <t>70x100 1/32</t>
        </is>
      </c>
      <c r="L1931" s="23" t="inlineStr">
        <is>
          <t>мяг</t>
        </is>
      </c>
      <c r="M1931" s="23" t="n">
        <v>160</v>
      </c>
      <c r="N1931" s="23" t="n">
        <v>2019</v>
      </c>
      <c r="O1931" s="23" t="n">
        <v>76</v>
      </c>
      <c r="P1931" s="23" t="n"/>
      <c r="Q1931" s="23" t="n"/>
      <c r="R1931" s="25" t="n"/>
      <c r="S1931" s="26">
        <f>HYPERLINK("http://www.cnpol.ru/covers/18790.jpg","фото на сайте")</f>
        <v/>
      </c>
    </row>
    <row r="1932" ht="50.1" customHeight="1" s="3">
      <c r="A1932" s="23" t="n"/>
      <c r="B1932" s="24" t="inlineStr">
        <is>
          <t>20367</t>
        </is>
      </c>
      <c r="C1932" s="23" t="inlineStr">
        <is>
          <t>ЛР СО</t>
        </is>
      </c>
      <c r="D1932" s="23" t="inlineStr">
        <is>
          <t>Леммон Д.</t>
        </is>
      </c>
      <c r="E1932" s="23" t="inlineStr">
        <is>
          <t>Огненное прикосновение чувств</t>
        </is>
      </c>
      <c r="F1932" s="23" t="n">
        <v>410</v>
      </c>
      <c r="G1932" s="23" t="n">
        <v>102</v>
      </c>
      <c r="H1932" s="23" t="n">
        <v>10</v>
      </c>
      <c r="I1932" s="23" t="n">
        <v>30</v>
      </c>
      <c r="J1932" s="23" t="inlineStr">
        <is>
          <t>978-5-227-10023-8</t>
        </is>
      </c>
      <c r="K1932" s="23" t="inlineStr">
        <is>
          <t>70x100 1/32</t>
        </is>
      </c>
      <c r="L1932" s="23" t="inlineStr">
        <is>
          <t>мяг</t>
        </is>
      </c>
      <c r="M1932" s="23" t="n">
        <v>159</v>
      </c>
      <c r="N1932" s="23" t="n">
        <v>2022</v>
      </c>
      <c r="O1932" s="23" t="n">
        <v>76</v>
      </c>
      <c r="P1932" s="23" t="n"/>
      <c r="Q1932" s="23" t="n"/>
      <c r="R1932" s="25" t="n"/>
      <c r="S1932" s="26">
        <f>HYPERLINK("http://www.cnpol.ru/covers/20367.jpg","фото на сайте")</f>
        <v/>
      </c>
    </row>
    <row r="1933" ht="50.1" customHeight="1" s="3">
      <c r="A1933" s="23" t="n"/>
      <c r="B1933" s="24" t="inlineStr">
        <is>
          <t>18750</t>
        </is>
      </c>
      <c r="C1933" s="23" t="inlineStr">
        <is>
          <t>ЛР СО</t>
        </is>
      </c>
      <c r="D1933" s="23" t="inlineStr">
        <is>
          <t>Вуд Джосс</t>
        </is>
      </c>
      <c r="E1933" s="23" t="inlineStr">
        <is>
          <t>Одержимый ветреной нимфой</t>
        </is>
      </c>
      <c r="F1933" s="23" t="n">
        <v>314</v>
      </c>
      <c r="G1933" s="23" t="n">
        <v>102</v>
      </c>
      <c r="H1933" s="23" t="n">
        <v>10</v>
      </c>
      <c r="I1933" s="23" t="n">
        <v>30</v>
      </c>
      <c r="J1933" s="23" t="inlineStr">
        <is>
          <t>978-5-227-08665-5</t>
        </is>
      </c>
      <c r="K1933" s="23" t="inlineStr">
        <is>
          <t>70x100 1/32</t>
        </is>
      </c>
      <c r="L1933" s="23" t="inlineStr">
        <is>
          <t>мяг</t>
        </is>
      </c>
      <c r="M1933" s="23" t="n">
        <v>160</v>
      </c>
      <c r="N1933" s="23" t="n">
        <v>2019</v>
      </c>
      <c r="O1933" s="23" t="n">
        <v>76</v>
      </c>
      <c r="P1933" s="23" t="n"/>
      <c r="Q1933" s="23" t="n"/>
      <c r="R1933" s="25" t="n"/>
      <c r="S1933" s="26">
        <f>HYPERLINK("http://www.cnpol.ru/covers/18750.jpg","фото на сайте")</f>
        <v/>
      </c>
    </row>
    <row r="1934" ht="50.1" customHeight="1" s="3">
      <c r="A1934" s="23" t="n"/>
      <c r="B1934" s="24" t="inlineStr">
        <is>
          <t>19903</t>
        </is>
      </c>
      <c r="C1934" s="23" t="inlineStr">
        <is>
          <t>ЛР СО</t>
        </is>
      </c>
      <c r="D1934" s="23" t="inlineStr">
        <is>
          <t>Крейвен С.</t>
        </is>
      </c>
      <c r="E1934" s="23" t="inlineStr">
        <is>
          <t>Одержимый запретным желанием</t>
        </is>
      </c>
      <c r="F1934" s="23" t="n">
        <v>388</v>
      </c>
      <c r="G1934" s="23" t="n">
        <v>102</v>
      </c>
      <c r="H1934" s="23" t="n">
        <v>10</v>
      </c>
      <c r="I1934" s="23" t="n">
        <v>30</v>
      </c>
      <c r="J1934" s="23" t="inlineStr">
        <is>
          <t>978-5-227-09565-7</t>
        </is>
      </c>
      <c r="K1934" s="23" t="inlineStr">
        <is>
          <t>70x100 1/32</t>
        </is>
      </c>
      <c r="L1934" s="23" t="inlineStr">
        <is>
          <t>мяг</t>
        </is>
      </c>
      <c r="M1934" s="23" t="n">
        <v>159</v>
      </c>
      <c r="N1934" s="23" t="n">
        <v>2021</v>
      </c>
      <c r="O1934" s="23" t="n">
        <v>76</v>
      </c>
      <c r="P1934" s="23" t="n"/>
      <c r="Q1934" s="23" t="n"/>
      <c r="R1934" s="25" t="n"/>
      <c r="S1934" s="26">
        <f>HYPERLINK("http://www.cnpol.ru/covers/19903.jpg","фото на сайте")</f>
        <v/>
      </c>
    </row>
    <row r="1935" ht="50.1" customHeight="1" s="3">
      <c r="A1935" s="23" t="n"/>
      <c r="B1935" s="24" t="inlineStr">
        <is>
          <t>17247</t>
        </is>
      </c>
      <c r="C1935" s="23" t="inlineStr">
        <is>
          <t>ЛР СО</t>
        </is>
      </c>
      <c r="D1935" s="23" t="inlineStr">
        <is>
          <t>Грэхем Л.</t>
        </is>
      </c>
      <c r="E1935" s="23" t="inlineStr">
        <is>
          <t>Одержимый тобой</t>
        </is>
      </c>
      <c r="F1935" s="23" t="n">
        <v>202</v>
      </c>
      <c r="G1935" s="23" t="n">
        <v>102</v>
      </c>
      <c r="H1935" s="23" t="n">
        <v>10</v>
      </c>
      <c r="I1935" s="23" t="n">
        <v>30</v>
      </c>
      <c r="J1935" s="23" t="inlineStr">
        <is>
          <t>978-5-227-07216-0</t>
        </is>
      </c>
      <c r="K1935" s="23" t="inlineStr">
        <is>
          <t>70x100 1/32</t>
        </is>
      </c>
      <c r="L1935" s="23" t="inlineStr">
        <is>
          <t>мяг</t>
        </is>
      </c>
      <c r="M1935" s="23" t="n">
        <v>160</v>
      </c>
      <c r="N1935" s="23" t="n">
        <v>2017</v>
      </c>
      <c r="O1935" s="23" t="n">
        <v>76</v>
      </c>
      <c r="P1935" s="23" t="n"/>
      <c r="Q1935" s="23" t="n"/>
      <c r="R1935" s="25" t="n"/>
      <c r="S1935" s="26">
        <f>HYPERLINK("http://www.cnpol.ru/covers/17247.jpg","фото на сайте")</f>
        <v/>
      </c>
    </row>
    <row r="1936" ht="50.1" customHeight="1" s="3">
      <c r="A1936" s="23" t="n"/>
      <c r="B1936" s="24" t="inlineStr">
        <is>
          <t>18256</t>
        </is>
      </c>
      <c r="C1936" s="23" t="inlineStr">
        <is>
          <t>ЛР СО</t>
        </is>
      </c>
      <c r="D1936" s="23" t="inlineStr">
        <is>
          <t>Вуд Джосс</t>
        </is>
      </c>
      <c r="E1936" s="23" t="inlineStr">
        <is>
          <t>Ожившее желание</t>
        </is>
      </c>
      <c r="F1936" s="23" t="n">
        <v>274</v>
      </c>
      <c r="G1936" s="23" t="n">
        <v>102</v>
      </c>
      <c r="H1936" s="23" t="n">
        <v>10</v>
      </c>
      <c r="I1936" s="23" t="n">
        <v>30</v>
      </c>
      <c r="J1936" s="23" t="inlineStr">
        <is>
          <t>978-5-227-08226-8</t>
        </is>
      </c>
      <c r="K1936" s="23" t="inlineStr">
        <is>
          <t>70x100 1/32</t>
        </is>
      </c>
      <c r="L1936" s="23" t="inlineStr">
        <is>
          <t>мяг</t>
        </is>
      </c>
      <c r="M1936" s="23" t="n">
        <v>160</v>
      </c>
      <c r="N1936" s="23" t="n">
        <v>2018</v>
      </c>
      <c r="O1936" s="23" t="n">
        <v>76</v>
      </c>
      <c r="P1936" s="23" t="n"/>
      <c r="Q1936" s="23" t="n"/>
      <c r="R1936" s="25" t="n"/>
      <c r="S1936" s="26">
        <f>HYPERLINK("http://www.cnpol.ru/covers/18256.jpg","фото на сайте")</f>
        <v/>
      </c>
    </row>
    <row r="1937" ht="50.1" customHeight="1" s="3">
      <c r="A1937" s="23" t="n"/>
      <c r="B1937" s="24" t="inlineStr">
        <is>
          <t>18463</t>
        </is>
      </c>
      <c r="C1937" s="23" t="inlineStr">
        <is>
          <t>ЛР СО</t>
        </is>
      </c>
      <c r="D1937" s="23" t="inlineStr">
        <is>
          <t>Данлоп Б.</t>
        </is>
      </c>
      <c r="E1937" s="23" t="inlineStr">
        <is>
          <t>Опасная притягательность</t>
        </is>
      </c>
      <c r="F1937" s="23" t="n">
        <v>292</v>
      </c>
      <c r="G1937" s="23" t="n">
        <v>102</v>
      </c>
      <c r="H1937" s="23" t="n">
        <v>10</v>
      </c>
      <c r="I1937" s="23" t="n">
        <v>30</v>
      </c>
      <c r="J1937" s="23" t="inlineStr">
        <is>
          <t>978-5-227-08395-1</t>
        </is>
      </c>
      <c r="K1937" s="23" t="inlineStr">
        <is>
          <t>70x100 1/32</t>
        </is>
      </c>
      <c r="L1937" s="23" t="inlineStr">
        <is>
          <t>мяг</t>
        </is>
      </c>
      <c r="M1937" s="23" t="n">
        <v>160</v>
      </c>
      <c r="N1937" s="23" t="n">
        <v>2019</v>
      </c>
      <c r="O1937" s="23" t="n">
        <v>76</v>
      </c>
      <c r="P1937" s="23" t="n"/>
      <c r="Q1937" s="23" t="n"/>
      <c r="R1937" s="25" t="n"/>
      <c r="S1937" s="26">
        <f>HYPERLINK("http://www.cnpol.ru/covers/18463.jpg","фото на сайте")</f>
        <v/>
      </c>
    </row>
    <row r="1938" ht="50.1" customHeight="1" s="3">
      <c r="A1938" s="23" t="n"/>
      <c r="B1938" s="24" t="inlineStr">
        <is>
          <t>17863</t>
        </is>
      </c>
      <c r="C1938" s="23" t="inlineStr">
        <is>
          <t>ЛР СО</t>
        </is>
      </c>
      <c r="D1938" s="23" t="inlineStr">
        <is>
          <t>Кэнтрелл К.</t>
        </is>
      </c>
      <c r="E1938" s="23" t="inlineStr">
        <is>
          <t>Опасная чувственность</t>
        </is>
      </c>
      <c r="F1938" s="23" t="n">
        <v>249</v>
      </c>
      <c r="G1938" s="23" t="n">
        <v>102</v>
      </c>
      <c r="H1938" s="23" t="n">
        <v>10</v>
      </c>
      <c r="I1938" s="23" t="n">
        <v>30</v>
      </c>
      <c r="J1938" s="23" t="inlineStr">
        <is>
          <t>978-5-227-07789-9</t>
        </is>
      </c>
      <c r="K1938" s="23" t="inlineStr">
        <is>
          <t>70x100 1/32</t>
        </is>
      </c>
      <c r="L1938" s="23" t="inlineStr">
        <is>
          <t>мяг</t>
        </is>
      </c>
      <c r="M1938" s="23" t="n">
        <v>160</v>
      </c>
      <c r="N1938" s="23" t="n">
        <v>2017</v>
      </c>
      <c r="O1938" s="23" t="n">
        <v>76</v>
      </c>
      <c r="P1938" s="23" t="n"/>
      <c r="Q1938" s="23" t="n"/>
      <c r="R1938" s="25" t="n"/>
      <c r="S1938" s="26">
        <f>HYPERLINK("http://www.cnpol.ru/covers/17863.jpg","фото на сайте")</f>
        <v/>
      </c>
    </row>
    <row r="1939" ht="50.1" customHeight="1" s="3">
      <c r="A1939" s="23" t="n"/>
      <c r="B1939" s="24" t="inlineStr">
        <is>
          <t>20221</t>
        </is>
      </c>
      <c r="C1939" s="23" t="inlineStr">
        <is>
          <t>ЛР СО</t>
        </is>
      </c>
      <c r="D1939" s="23" t="inlineStr">
        <is>
          <t>Вуд Джосс</t>
        </is>
      </c>
      <c r="E1939" s="23" t="inlineStr">
        <is>
          <t>Опасное соблазнение</t>
        </is>
      </c>
      <c r="F1939" s="23" t="n">
        <v>404</v>
      </c>
      <c r="G1939" s="23" t="n">
        <v>102</v>
      </c>
      <c r="H1939" s="23" t="n">
        <v>10</v>
      </c>
      <c r="I1939" s="23" t="n">
        <v>30</v>
      </c>
      <c r="J1939" s="23" t="inlineStr">
        <is>
          <t>978-5-227-09926-6</t>
        </is>
      </c>
      <c r="K1939" s="23" t="inlineStr">
        <is>
          <t>70x100 1/32</t>
        </is>
      </c>
      <c r="L1939" s="23" t="inlineStr">
        <is>
          <t>мяг</t>
        </is>
      </c>
      <c r="M1939" s="23" t="n">
        <v>159</v>
      </c>
      <c r="N1939" s="23" t="n">
        <v>2022</v>
      </c>
      <c r="O1939" s="23" t="n">
        <v>76</v>
      </c>
      <c r="P1939" s="23" t="n"/>
      <c r="Q1939" s="23" t="n"/>
      <c r="R1939" s="25" t="n"/>
      <c r="S1939" s="26">
        <f>HYPERLINK("http://www.cnpol.ru/covers/20221.jpg","фото на сайте")</f>
        <v/>
      </c>
    </row>
    <row r="1940" ht="50.1" customHeight="1" s="3">
      <c r="A1940" s="23" t="inlineStr">
        <is>
          <t>Н</t>
        </is>
      </c>
      <c r="B1940" s="24" t="inlineStr">
        <is>
          <t>21249</t>
        </is>
      </c>
      <c r="C1940" s="23" t="inlineStr">
        <is>
          <t>ЛР СО</t>
        </is>
      </c>
      <c r="D1940" s="23" t="inlineStr">
        <is>
          <t>Смарт М.</t>
        </is>
      </c>
      <c r="E1940" s="23" t="inlineStr">
        <is>
          <t>Опьяненная страстью</t>
        </is>
      </c>
      <c r="F1940" s="23" t="n">
        <v>448</v>
      </c>
      <c r="G1940" s="23" t="n">
        <v>102</v>
      </c>
      <c r="H1940" s="23" t="n">
        <v>10</v>
      </c>
      <c r="I1940" s="23" t="n">
        <v>30</v>
      </c>
      <c r="J1940" s="23" t="inlineStr">
        <is>
          <t>978-5-227-10665-0</t>
        </is>
      </c>
      <c r="K1940" s="23" t="inlineStr">
        <is>
          <t>70x100 1/32</t>
        </is>
      </c>
      <c r="L1940" s="23" t="inlineStr">
        <is>
          <t>мяг</t>
        </is>
      </c>
      <c r="M1940" s="23" t="n">
        <v>159</v>
      </c>
      <c r="N1940" s="23" t="n">
        <v>2024</v>
      </c>
      <c r="O1940" s="23" t="n">
        <v>76</v>
      </c>
      <c r="P1940" s="23" t="n"/>
      <c r="Q1940" s="23" t="n"/>
      <c r="R1940" s="25" t="inlineStr">
        <is>
          <t>Лена Вейр всю себя посвятила работе. Она трудится за полярным кругом управляющей в отеле, которым владеет харизматичный миллионер Константинос Сиопис. Романтические отношения с мужчинами не вписываются в ее планы, по крайней мере сейчас, когда Лена получает долгожданное повышение. Но внезапно вспыхнувшая искра страсти между нею и боссом круто меняет жизненный сценарий. Сможет ли Лена противостоять обаянию Константиноса? Ведь она точно знает, что он никогда не женится на ней…</t>
        </is>
      </c>
      <c r="S1940" s="26">
        <f>HYPERLINK("http://www.cnpol.ru/covers/21249.jpg","фото на сайте")</f>
        <v/>
      </c>
    </row>
    <row r="1941" ht="50.1" customHeight="1" s="3">
      <c r="A1941" s="23" t="n"/>
      <c r="B1941" s="24" t="inlineStr">
        <is>
          <t>17362</t>
        </is>
      </c>
      <c r="C1941" s="23" t="inlineStr">
        <is>
          <t>ЛР СО</t>
        </is>
      </c>
      <c r="D1941" s="23" t="inlineStr">
        <is>
          <t>Лоренс А.</t>
        </is>
      </c>
      <c r="E1941" s="23" t="inlineStr">
        <is>
          <t>Опьяненный гавайским солнцем</t>
        </is>
      </c>
      <c r="F1941" s="23" t="n">
        <v>211</v>
      </c>
      <c r="G1941" s="23" t="n">
        <v>102</v>
      </c>
      <c r="H1941" s="23" t="n">
        <v>10</v>
      </c>
      <c r="I1941" s="23" t="n">
        <v>30</v>
      </c>
      <c r="J1941" s="23" t="inlineStr">
        <is>
          <t>978-5-227-07431-7</t>
        </is>
      </c>
      <c r="K1941" s="23" t="inlineStr">
        <is>
          <t>70x100 1/32</t>
        </is>
      </c>
      <c r="L1941" s="23" t="inlineStr">
        <is>
          <t>мяг</t>
        </is>
      </c>
      <c r="M1941" s="23" t="n">
        <v>160</v>
      </c>
      <c r="N1941" s="23" t="n">
        <v>2017</v>
      </c>
      <c r="O1941" s="23" t="n">
        <v>76</v>
      </c>
      <c r="P1941" s="23" t="n"/>
      <c r="Q1941" s="23" t="n"/>
      <c r="R1941" s="25" t="n"/>
      <c r="S1941" s="26">
        <f>HYPERLINK("http://www.cnpol.ru/covers/17362.jpg","фото на сайте")</f>
        <v/>
      </c>
    </row>
    <row r="1942" ht="50.1" customHeight="1" s="3">
      <c r="A1942" s="23" t="n"/>
      <c r="B1942" s="24" t="inlineStr">
        <is>
          <t>17986</t>
        </is>
      </c>
      <c r="C1942" s="23" t="inlineStr">
        <is>
          <t>ЛР СО</t>
        </is>
      </c>
      <c r="D1942" s="23" t="inlineStr">
        <is>
          <t>Лоренс А.</t>
        </is>
      </c>
      <c r="E1942" s="23" t="inlineStr">
        <is>
          <t>Осмелилась тебя желать</t>
        </is>
      </c>
      <c r="F1942" s="23" t="n">
        <v>257</v>
      </c>
      <c r="G1942" s="23" t="n">
        <v>102</v>
      </c>
      <c r="H1942" s="23" t="n">
        <v>10</v>
      </c>
      <c r="I1942" s="23" t="n">
        <v>30</v>
      </c>
      <c r="J1942" s="23" t="inlineStr">
        <is>
          <t>978-5-227-08025-7</t>
        </is>
      </c>
      <c r="K1942" s="23" t="inlineStr">
        <is>
          <t>70x100 1/32</t>
        </is>
      </c>
      <c r="L1942" s="23" t="inlineStr">
        <is>
          <t>мяг</t>
        </is>
      </c>
      <c r="M1942" s="23" t="n">
        <v>160</v>
      </c>
      <c r="N1942" s="23" t="n">
        <v>2018</v>
      </c>
      <c r="O1942" s="23" t="n">
        <v>76</v>
      </c>
      <c r="P1942" s="23" t="n"/>
      <c r="Q1942" s="23" t="n"/>
      <c r="R1942" s="25" t="n"/>
      <c r="S1942" s="26">
        <f>HYPERLINK("http://www.cnpol.ru/covers/17986.jpg","фото на сайте")</f>
        <v/>
      </c>
    </row>
    <row r="1943" ht="50.1" customHeight="1" s="3">
      <c r="A1943" s="23" t="n"/>
      <c r="B1943" s="24" t="inlineStr">
        <is>
          <t>19796</t>
        </is>
      </c>
      <c r="C1943" s="23" t="inlineStr">
        <is>
          <t>ЛР СО</t>
        </is>
      </c>
      <c r="D1943" s="23" t="inlineStr">
        <is>
          <t>Грин Э.</t>
        </is>
      </c>
      <c r="E1943" s="23" t="inlineStr">
        <is>
          <t>Осмелишься соблазнить?</t>
        </is>
      </c>
      <c r="F1943" s="23" t="n">
        <v>382</v>
      </c>
      <c r="G1943" s="23" t="n">
        <v>102</v>
      </c>
      <c r="H1943" s="23" t="n">
        <v>10</v>
      </c>
      <c r="I1943" s="23" t="n">
        <v>30</v>
      </c>
      <c r="J1943" s="23" t="inlineStr">
        <is>
          <t>978-5-227-09421-6</t>
        </is>
      </c>
      <c r="K1943" s="23" t="inlineStr">
        <is>
          <t>70x100 1/32</t>
        </is>
      </c>
      <c r="L1943" s="23" t="inlineStr">
        <is>
          <t>мяг</t>
        </is>
      </c>
      <c r="M1943" s="23" t="n">
        <v>160</v>
      </c>
      <c r="N1943" s="23" t="n">
        <v>2021</v>
      </c>
      <c r="O1943" s="23" t="n">
        <v>76</v>
      </c>
      <c r="P1943" s="23" t="n"/>
      <c r="Q1943" s="23" t="n"/>
      <c r="R1943" s="25" t="n"/>
      <c r="S1943" s="26">
        <f>HYPERLINK("http://www.cnpol.ru/covers/19796.jpg","фото на сайте")</f>
        <v/>
      </c>
    </row>
    <row r="1944" ht="50.1" customHeight="1" s="3">
      <c r="A1944" s="23" t="n"/>
      <c r="B1944" s="24" t="inlineStr">
        <is>
          <t>16978</t>
        </is>
      </c>
      <c r="C1944" s="23" t="inlineStr">
        <is>
          <t>ЛР СО</t>
        </is>
      </c>
      <c r="D1944" s="23" t="inlineStr">
        <is>
          <t>Карлайл К.</t>
        </is>
      </c>
      <c r="E1944" s="23" t="inlineStr">
        <is>
          <t>Остров нашего счастья</t>
        </is>
      </c>
      <c r="F1944" s="23" t="n">
        <v>184</v>
      </c>
      <c r="G1944" s="23" t="n">
        <v>102</v>
      </c>
      <c r="H1944" s="23" t="n">
        <v>10</v>
      </c>
      <c r="I1944" s="23" t="n">
        <v>30</v>
      </c>
      <c r="J1944" s="23" t="inlineStr">
        <is>
          <t>978-5-227-06925-2</t>
        </is>
      </c>
      <c r="K1944" s="23" t="inlineStr">
        <is>
          <t>70x100 1/32</t>
        </is>
      </c>
      <c r="L1944" s="23" t="inlineStr">
        <is>
          <t>мяг</t>
        </is>
      </c>
      <c r="M1944" s="23" t="n">
        <v>158</v>
      </c>
      <c r="N1944" s="23" t="n">
        <v>2016</v>
      </c>
      <c r="O1944" s="23" t="n">
        <v>72</v>
      </c>
      <c r="P1944" s="23" t="n"/>
      <c r="Q1944" s="23" t="n"/>
      <c r="R1944" s="25" t="n"/>
      <c r="S1944" s="26">
        <f>HYPERLINK("http://www.cnpol.ru/covers/16978.jpg","фото на сайте")</f>
        <v/>
      </c>
    </row>
    <row r="1945" ht="50.1" customHeight="1" s="3">
      <c r="A1945" s="23" t="n"/>
      <c r="B1945" s="24" t="inlineStr">
        <is>
          <t>17397</t>
        </is>
      </c>
      <c r="C1945" s="23" t="inlineStr">
        <is>
          <t>ЛР СО</t>
        </is>
      </c>
      <c r="D1945" s="23" t="inlineStr">
        <is>
          <t>Хейворд Дженнифер</t>
        </is>
      </c>
      <c r="E1945" s="23" t="inlineStr">
        <is>
          <t>Остров сбывшихся желаний</t>
        </is>
      </c>
      <c r="F1945" s="23" t="n">
        <v>213</v>
      </c>
      <c r="G1945" s="23" t="n">
        <v>102</v>
      </c>
      <c r="H1945" s="23" t="n">
        <v>10</v>
      </c>
      <c r="I1945" s="23" t="n">
        <v>30</v>
      </c>
      <c r="J1945" s="23" t="inlineStr">
        <is>
          <t>978-5-227-07441-6</t>
        </is>
      </c>
      <c r="K1945" s="23" t="inlineStr">
        <is>
          <t>70x100 1/32</t>
        </is>
      </c>
      <c r="L1945" s="23" t="inlineStr">
        <is>
          <t>мяг</t>
        </is>
      </c>
      <c r="M1945" s="23" t="n">
        <v>160</v>
      </c>
      <c r="N1945" s="23" t="n">
        <v>2017</v>
      </c>
      <c r="O1945" s="23" t="n">
        <v>76</v>
      </c>
      <c r="P1945" s="23" t="n"/>
      <c r="Q1945" s="23" t="n"/>
      <c r="R1945" s="25" t="n"/>
      <c r="S1945" s="26">
        <f>HYPERLINK("http://www.cnpol.ru/covers/17397.jpg","фото на сайте")</f>
        <v/>
      </c>
    </row>
    <row r="1946" ht="50.1" customHeight="1" s="3">
      <c r="A1946" s="23" t="n"/>
      <c r="B1946" s="24" t="inlineStr">
        <is>
          <t>20852</t>
        </is>
      </c>
      <c r="C1946" s="23" t="inlineStr">
        <is>
          <t>ЛР СО</t>
        </is>
      </c>
      <c r="D1946" s="23" t="inlineStr">
        <is>
          <t>Хилл Д.</t>
        </is>
      </c>
      <c r="E1946" s="23" t="inlineStr">
        <is>
          <t>Острота тайных ласк</t>
        </is>
      </c>
      <c r="F1946" s="23" t="n">
        <v>435</v>
      </c>
      <c r="G1946" s="23" t="n">
        <v>102</v>
      </c>
      <c r="H1946" s="23" t="n">
        <v>10</v>
      </c>
      <c r="I1946" s="23" t="n">
        <v>30</v>
      </c>
      <c r="J1946" s="23" t="inlineStr">
        <is>
          <t>978-5-227-10366-6</t>
        </is>
      </c>
      <c r="K1946" s="23" t="inlineStr">
        <is>
          <t>70x100 1/32</t>
        </is>
      </c>
      <c r="L1946" s="23" t="inlineStr">
        <is>
          <t>мяг</t>
        </is>
      </c>
      <c r="M1946" s="23" t="n">
        <v>159</v>
      </c>
      <c r="N1946" s="23" t="n">
        <v>2023</v>
      </c>
      <c r="O1946" s="23" t="n">
        <v>76</v>
      </c>
      <c r="P1946" s="23" t="n"/>
      <c r="Q1946" s="23" t="n"/>
      <c r="R1946" s="25" t="inlineStr">
        <is>
          <t>Лекси Рэндалл приехала спасать семейный бизнес. Ее цель — доказать отцу, что наследницей фирмы должна стать именно она, а не ее безответственный брат. Лекси создает архитектурный проект и предлагает его на рассмотрение известному бизнесмену Монтгомери Гранту. Вскоре они приступают к реализации проекта, однако влечение, возникшее между ними с первых секунд, контролировать все сложнее. К тому же Лекси больше всего на свете боится быть разоблаченной…</t>
        </is>
      </c>
      <c r="S1946" s="26">
        <f>HYPERLINK("http://www.cnpol.ru/covers/20852.jpg","фото на сайте")</f>
        <v/>
      </c>
    </row>
    <row r="1947" ht="50.1" customHeight="1" s="3">
      <c r="A1947" s="23" t="n"/>
      <c r="B1947" s="24" t="inlineStr">
        <is>
          <t>19464</t>
        </is>
      </c>
      <c r="C1947" s="23" t="inlineStr">
        <is>
          <t>ЛР СО</t>
        </is>
      </c>
      <c r="D1947" s="23" t="inlineStr">
        <is>
          <t>Крюс К.</t>
        </is>
      </c>
      <c r="E1947" s="23" t="inlineStr">
        <is>
          <t>Откупиться страстью</t>
        </is>
      </c>
      <c r="F1947" s="23" t="n">
        <v>364</v>
      </c>
      <c r="G1947" s="23" t="n">
        <v>102</v>
      </c>
      <c r="H1947" s="23" t="n">
        <v>10</v>
      </c>
      <c r="I1947" s="23" t="n">
        <v>30</v>
      </c>
      <c r="J1947" s="23" t="inlineStr">
        <is>
          <t>978-5-227-09115-4</t>
        </is>
      </c>
      <c r="K1947" s="23" t="inlineStr">
        <is>
          <t>70x100 1/32</t>
        </is>
      </c>
      <c r="L1947" s="23" t="inlineStr">
        <is>
          <t>мяг</t>
        </is>
      </c>
      <c r="M1947" s="23" t="n">
        <v>160</v>
      </c>
      <c r="N1947" s="23" t="n">
        <v>2020</v>
      </c>
      <c r="O1947" s="23" t="n">
        <v>76</v>
      </c>
      <c r="P1947" s="23" t="n"/>
      <c r="Q1947" s="23" t="n"/>
      <c r="R1947" s="25" t="n"/>
      <c r="S1947" s="26">
        <f>HYPERLINK("http://www.cnpol.ru/covers/19464.jpg","фото на сайте")</f>
        <v/>
      </c>
    </row>
    <row r="1948" ht="50.1" customHeight="1" s="3">
      <c r="A1948" s="23" t="n"/>
      <c r="B1948" s="24" t="inlineStr">
        <is>
          <t>19501</t>
        </is>
      </c>
      <c r="C1948" s="23" t="inlineStr">
        <is>
          <t>ЛР СО</t>
        </is>
      </c>
      <c r="D1948" s="23" t="inlineStr">
        <is>
          <t>Лукас Д.</t>
        </is>
      </c>
      <c r="E1948" s="23" t="inlineStr">
        <is>
          <t>Память о лучшей ночи</t>
        </is>
      </c>
      <c r="F1948" s="23" t="n">
        <v>365</v>
      </c>
      <c r="G1948" s="23" t="n">
        <v>102</v>
      </c>
      <c r="H1948" s="23" t="n">
        <v>10</v>
      </c>
      <c r="I1948" s="23" t="n">
        <v>30</v>
      </c>
      <c r="J1948" s="23" t="inlineStr">
        <is>
          <t>978-5-227-09116-1</t>
        </is>
      </c>
      <c r="K1948" s="23" t="inlineStr">
        <is>
          <t>70x100 1/32</t>
        </is>
      </c>
      <c r="L1948" s="23" t="inlineStr">
        <is>
          <t>мяг</t>
        </is>
      </c>
      <c r="M1948" s="23" t="n">
        <v>160</v>
      </c>
      <c r="N1948" s="23" t="n">
        <v>2021</v>
      </c>
      <c r="O1948" s="23" t="n">
        <v>76</v>
      </c>
      <c r="P1948" s="23" t="n"/>
      <c r="Q1948" s="23" t="n"/>
      <c r="R1948" s="25" t="n"/>
      <c r="S1948" s="26">
        <f>HYPERLINK("http://www.cnpol.ru/covers/19501.jpg","фото на сайте")</f>
        <v/>
      </c>
    </row>
    <row r="1949" ht="50.1" customHeight="1" s="3">
      <c r="A1949" s="23" t="n"/>
      <c r="B1949" s="24" t="inlineStr">
        <is>
          <t>18531</t>
        </is>
      </c>
      <c r="C1949" s="23" t="inlineStr">
        <is>
          <t>ЛР СО</t>
        </is>
      </c>
      <c r="D1949" s="23" t="inlineStr">
        <is>
          <t>Вуд Джосс</t>
        </is>
      </c>
      <c r="E1949" s="23" t="inlineStr">
        <is>
          <t>Пароль к знойному свиданию</t>
        </is>
      </c>
      <c r="F1949" s="23" t="n">
        <v>297</v>
      </c>
      <c r="G1949" s="23" t="n">
        <v>102</v>
      </c>
      <c r="H1949" s="23" t="n">
        <v>10</v>
      </c>
      <c r="I1949" s="23" t="n">
        <v>30</v>
      </c>
      <c r="J1949" s="23" t="inlineStr">
        <is>
          <t>978-5-227-08420-0</t>
        </is>
      </c>
      <c r="K1949" s="23" t="inlineStr">
        <is>
          <t>70x100 1/32</t>
        </is>
      </c>
      <c r="L1949" s="23" t="inlineStr">
        <is>
          <t>мяг</t>
        </is>
      </c>
      <c r="M1949" s="23" t="n">
        <v>160</v>
      </c>
      <c r="N1949" s="23" t="n">
        <v>2019</v>
      </c>
      <c r="O1949" s="23" t="n">
        <v>76</v>
      </c>
      <c r="P1949" s="23" t="n"/>
      <c r="Q1949" s="23" t="n"/>
      <c r="R1949" s="25" t="n"/>
      <c r="S1949" s="26">
        <f>HYPERLINK("http://www.cnpol.ru/covers/18531.jpg","фото на сайте")</f>
        <v/>
      </c>
    </row>
    <row r="1950" ht="50.1" customHeight="1" s="3">
      <c r="A1950" s="23" t="n"/>
      <c r="B1950" s="24" t="inlineStr">
        <is>
          <t>17060</t>
        </is>
      </c>
      <c r="C1950" s="23" t="inlineStr">
        <is>
          <t>ЛР СО</t>
        </is>
      </c>
      <c r="D1950" s="23" t="inlineStr">
        <is>
          <t>Хейворд Дженнифер</t>
        </is>
      </c>
      <c r="E1950" s="23" t="inlineStr">
        <is>
          <t>Паутина соблазна</t>
        </is>
      </c>
      <c r="F1950" s="23" t="n">
        <v>190</v>
      </c>
      <c r="G1950" s="23" t="n">
        <v>102</v>
      </c>
      <c r="H1950" s="23" t="n">
        <v>10</v>
      </c>
      <c r="I1950" s="23" t="n">
        <v>30</v>
      </c>
      <c r="J1950" s="23" t="inlineStr">
        <is>
          <t>978-5-227-07075-3</t>
        </is>
      </c>
      <c r="K1950" s="23" t="inlineStr">
        <is>
          <t>70x100 1/32</t>
        </is>
      </c>
      <c r="L1950" s="23" t="inlineStr">
        <is>
          <t>мяг</t>
        </is>
      </c>
      <c r="M1950" s="23" t="n">
        <v>160</v>
      </c>
      <c r="N1950" s="23" t="n">
        <v>2016</v>
      </c>
      <c r="O1950" s="23" t="n">
        <v>76</v>
      </c>
      <c r="P1950" s="23" t="n"/>
      <c r="Q1950" s="23" t="n"/>
      <c r="R1950" s="25" t="n"/>
      <c r="S1950" s="26">
        <f>HYPERLINK("http://www.cnpol.ru/covers/17060.jpg","фото на сайте")</f>
        <v/>
      </c>
    </row>
    <row r="1951" ht="50.1" customHeight="1" s="3">
      <c r="A1951" s="23" t="n"/>
      <c r="B1951" s="24" t="inlineStr">
        <is>
          <t>18930</t>
        </is>
      </c>
      <c r="C1951" s="23" t="inlineStr">
        <is>
          <t>ЛР СО</t>
        </is>
      </c>
      <c r="D1951" s="23" t="inlineStr">
        <is>
          <t>Джеймс С.</t>
        </is>
      </c>
      <c r="E1951" s="23" t="inlineStr">
        <is>
          <t>Песня нашей любви</t>
        </is>
      </c>
      <c r="F1951" s="23" t="n">
        <v>330</v>
      </c>
      <c r="G1951" s="23" t="n">
        <v>102</v>
      </c>
      <c r="H1951" s="23" t="n">
        <v>10</v>
      </c>
      <c r="I1951" s="23" t="n">
        <v>30</v>
      </c>
      <c r="J1951" s="23" t="inlineStr">
        <is>
          <t>978-5-227-08796-6</t>
        </is>
      </c>
      <c r="K1951" s="23" t="inlineStr">
        <is>
          <t>70x100 1/32</t>
        </is>
      </c>
      <c r="L1951" s="23" t="inlineStr">
        <is>
          <t>мяг</t>
        </is>
      </c>
      <c r="M1951" s="23" t="n">
        <v>160</v>
      </c>
      <c r="N1951" s="23" t="n">
        <v>2019</v>
      </c>
      <c r="O1951" s="23" t="n">
        <v>76</v>
      </c>
      <c r="P1951" s="23" t="n"/>
      <c r="Q1951" s="23" t="n"/>
      <c r="R1951" s="25" t="n"/>
      <c r="S1951" s="26">
        <f>HYPERLINK("http://www.cnpol.ru/covers/18930.jpg","фото на сайте")</f>
        <v/>
      </c>
    </row>
    <row r="1952" ht="50.1" customHeight="1" s="3">
      <c r="A1952" s="23" t="n"/>
      <c r="B1952" s="24" t="inlineStr">
        <is>
          <t>15891</t>
        </is>
      </c>
      <c r="C1952" s="23" t="inlineStr">
        <is>
          <t>ЛР СО</t>
        </is>
      </c>
      <c r="D1952" s="23" t="inlineStr">
        <is>
          <t>Лавлейс Мерлин</t>
        </is>
      </c>
      <c r="E1952" s="23" t="inlineStr">
        <is>
          <t>Пикантная сделка</t>
        </is>
      </c>
      <c r="F1952" s="23" t="n">
        <v>112</v>
      </c>
      <c r="G1952" s="23" t="n">
        <v>102</v>
      </c>
      <c r="H1952" s="23" t="n">
        <v>10</v>
      </c>
      <c r="I1952" s="23" t="n">
        <v>30</v>
      </c>
      <c r="J1952" s="23" t="inlineStr">
        <is>
          <t>978-5-227-05840-9</t>
        </is>
      </c>
      <c r="K1952" s="23" t="inlineStr">
        <is>
          <t>70x100 1/32</t>
        </is>
      </c>
      <c r="L1952" s="23" t="inlineStr">
        <is>
          <t>мяг</t>
        </is>
      </c>
      <c r="M1952" s="23" t="n">
        <v>158</v>
      </c>
      <c r="N1952" s="23" t="n">
        <v>2015</v>
      </c>
      <c r="O1952" s="23" t="n">
        <v>76</v>
      </c>
      <c r="P1952" s="23" t="n"/>
      <c r="Q1952" s="23" t="n"/>
      <c r="R1952" s="25" t="n"/>
      <c r="S1952" s="26">
        <f>HYPERLINK("http://www.cnpol.ru/covers/15891.jpg","фото на сайте")</f>
        <v/>
      </c>
    </row>
    <row r="1953" ht="50.1" customHeight="1" s="3">
      <c r="A1953" s="23" t="inlineStr">
        <is>
          <t>Н</t>
        </is>
      </c>
      <c r="B1953" s="24" t="inlineStr">
        <is>
          <t>21009</t>
        </is>
      </c>
      <c r="C1953" s="23" t="inlineStr">
        <is>
          <t>ЛР СО</t>
        </is>
      </c>
      <c r="D1953" s="23" t="inlineStr">
        <is>
          <t>Хэйс Э.</t>
        </is>
      </c>
      <c r="E1953" s="23" t="inlineStr">
        <is>
          <t>Пламя незабываемой встречи</t>
        </is>
      </c>
      <c r="F1953" s="23" t="n">
        <v>441</v>
      </c>
      <c r="G1953" s="23" t="n">
        <v>102</v>
      </c>
      <c r="H1953" s="23" t="n">
        <v>10</v>
      </c>
      <c r="I1953" s="23" t="n">
        <v>30</v>
      </c>
      <c r="J1953" s="23" t="inlineStr">
        <is>
          <t>978-5-227-10475-5</t>
        </is>
      </c>
      <c r="K1953" s="23" t="inlineStr">
        <is>
          <t>70x100 1/32</t>
        </is>
      </c>
      <c r="L1953" s="23" t="inlineStr">
        <is>
          <t>мяг</t>
        </is>
      </c>
      <c r="M1953" s="23" t="n">
        <v>159</v>
      </c>
      <c r="N1953" s="23" t="n">
        <v>2024</v>
      </c>
      <c r="O1953" s="23" t="n">
        <v>76</v>
      </c>
      <c r="P1953" s="23" t="n"/>
      <c r="Q1953" s="23" t="n"/>
      <c r="R1953" s="25" t="inlineStr">
        <is>
          <t>Дульси, застенчивая и скромная девушка, пережившая предательство и насмешки в юном возрасте, навсегда закрыла свое сердце. Она больше не верит людям и не верит в любовь. Но встреча с Рафаэлем постепенно помогает ей разрушить стены, которые она возвела вокруг себя. Рафаэль — добрый и благородный, с ним она чувствует себя в безопасности. Но даже у самых благородных мужчин есть свои секреты...</t>
        </is>
      </c>
      <c r="S1953" s="26">
        <f>HYPERLINK("http://www.cnpol.ru/covers/21009.jpg","фото на сайте")</f>
        <v/>
      </c>
    </row>
    <row r="1954" ht="50.1" customHeight="1" s="3">
      <c r="A1954" s="23" t="n"/>
      <c r="B1954" s="24" t="inlineStr">
        <is>
          <t>17670</t>
        </is>
      </c>
      <c r="C1954" s="23" t="inlineStr">
        <is>
          <t>ЛР СО</t>
        </is>
      </c>
      <c r="D1954" s="23" t="inlineStr">
        <is>
          <t>Селмер М.</t>
        </is>
      </c>
      <c r="E1954" s="23" t="inlineStr">
        <is>
          <t>Плейбоев не ревнуют</t>
        </is>
      </c>
      <c r="F1954" s="23" t="n">
        <v>235</v>
      </c>
      <c r="G1954" s="23" t="n">
        <v>102</v>
      </c>
      <c r="H1954" s="23" t="n">
        <v>10</v>
      </c>
      <c r="I1954" s="23" t="n">
        <v>30</v>
      </c>
      <c r="J1954" s="23" t="inlineStr">
        <is>
          <t>978-5-227-07708-0</t>
        </is>
      </c>
      <c r="K1954" s="23" t="inlineStr">
        <is>
          <t>70x100 1/32</t>
        </is>
      </c>
      <c r="L1954" s="23" t="inlineStr">
        <is>
          <t>мяг</t>
        </is>
      </c>
      <c r="M1954" s="23" t="n">
        <v>160</v>
      </c>
      <c r="N1954" s="23" t="n">
        <v>2017</v>
      </c>
      <c r="O1954" s="23" t="n">
        <v>76</v>
      </c>
      <c r="P1954" s="23" t="n"/>
      <c r="Q1954" s="23" t="n"/>
      <c r="R1954" s="25" t="n"/>
      <c r="S1954" s="26">
        <f>HYPERLINK("http://www.cnpol.ru/covers/17670.jpg","фото на сайте")</f>
        <v/>
      </c>
    </row>
    <row r="1955" ht="50.1" customHeight="1" s="3">
      <c r="A1955" s="23" t="n"/>
      <c r="B1955" s="24" t="inlineStr">
        <is>
          <t>18963</t>
        </is>
      </c>
      <c r="C1955" s="23" t="inlineStr">
        <is>
          <t>ЛР СО</t>
        </is>
      </c>
      <c r="D1955" s="23" t="inlineStr">
        <is>
          <t>Уайтфезер Ш.</t>
        </is>
      </c>
      <c r="E1955" s="23" t="inlineStr">
        <is>
          <t>Плейбой из Теннесси</t>
        </is>
      </c>
      <c r="F1955" s="23" t="n">
        <v>333</v>
      </c>
      <c r="G1955" s="23" t="n">
        <v>102</v>
      </c>
      <c r="H1955" s="23" t="n">
        <v>10</v>
      </c>
      <c r="I1955" s="23" t="n">
        <v>30</v>
      </c>
      <c r="J1955" s="23" t="inlineStr">
        <is>
          <t>978-5-227-08799-7</t>
        </is>
      </c>
      <c r="K1955" s="23" t="inlineStr">
        <is>
          <t>70x100 1/32</t>
        </is>
      </c>
      <c r="L1955" s="23" t="inlineStr">
        <is>
          <t>мяг</t>
        </is>
      </c>
      <c r="M1955" s="23" t="n">
        <v>160</v>
      </c>
      <c r="N1955" s="23" t="n">
        <v>2019</v>
      </c>
      <c r="O1955" s="23" t="n">
        <v>76</v>
      </c>
      <c r="P1955" s="23" t="n"/>
      <c r="Q1955" s="23" t="n"/>
      <c r="R1955" s="25" t="n"/>
      <c r="S1955" s="26">
        <f>HYPERLINK("http://www.cnpol.ru/covers/18963.jpg","фото на сайте")</f>
        <v/>
      </c>
    </row>
    <row r="1956" ht="50.1" customHeight="1" s="3">
      <c r="A1956" s="23" t="n"/>
      <c r="B1956" s="24" t="inlineStr">
        <is>
          <t>17316</t>
        </is>
      </c>
      <c r="C1956" s="23" t="inlineStr">
        <is>
          <t>ЛР СО</t>
        </is>
      </c>
      <c r="D1956" s="23" t="inlineStr">
        <is>
          <t>Манн К.</t>
        </is>
      </c>
      <c r="E1956" s="23" t="inlineStr">
        <is>
          <t>По зову сердца</t>
        </is>
      </c>
      <c r="F1956" s="23" t="n">
        <v>207</v>
      </c>
      <c r="G1956" s="23" t="n">
        <v>102</v>
      </c>
      <c r="H1956" s="23" t="n">
        <v>10</v>
      </c>
      <c r="I1956" s="23" t="n">
        <v>30</v>
      </c>
      <c r="J1956" s="23" t="inlineStr">
        <is>
          <t>978-5-227-07317-4</t>
        </is>
      </c>
      <c r="K1956" s="23" t="inlineStr">
        <is>
          <t>70x100 1/32</t>
        </is>
      </c>
      <c r="L1956" s="23" t="inlineStr">
        <is>
          <t>мяг</t>
        </is>
      </c>
      <c r="M1956" s="23" t="n">
        <v>160</v>
      </c>
      <c r="N1956" s="23" t="n">
        <v>2017</v>
      </c>
      <c r="O1956" s="23" t="n">
        <v>76</v>
      </c>
      <c r="P1956" s="23" t="n"/>
      <c r="Q1956" s="23" t="n"/>
      <c r="R1956" s="25" t="n"/>
      <c r="S1956" s="26">
        <f>HYPERLINK("http://www.cnpol.ru/covers/17316.jpg","фото на сайте")</f>
        <v/>
      </c>
    </row>
    <row r="1957" ht="50.1" customHeight="1" s="3">
      <c r="A1957" s="23" t="n"/>
      <c r="B1957" s="24" t="inlineStr">
        <is>
          <t>17566</t>
        </is>
      </c>
      <c r="C1957" s="23" t="inlineStr">
        <is>
          <t>ЛР СО</t>
        </is>
      </c>
      <c r="D1957" s="23" t="inlineStr">
        <is>
          <t>Манн К.</t>
        </is>
      </c>
      <c r="E1957" s="23" t="inlineStr">
        <is>
          <t>Повелительница соблазна</t>
        </is>
      </c>
      <c r="F1957" s="23" t="n">
        <v>226</v>
      </c>
      <c r="G1957" s="23" t="n">
        <v>102</v>
      </c>
      <c r="H1957" s="23" t="n">
        <v>10</v>
      </c>
      <c r="I1957" s="23" t="n">
        <v>30</v>
      </c>
      <c r="J1957" s="23" t="inlineStr">
        <is>
          <t>978-5-227-07617-5</t>
        </is>
      </c>
      <c r="K1957" s="23" t="inlineStr">
        <is>
          <t>70x100 1/32</t>
        </is>
      </c>
      <c r="L1957" s="23" t="inlineStr">
        <is>
          <t>мяг</t>
        </is>
      </c>
      <c r="M1957" s="23" t="n">
        <v>160</v>
      </c>
      <c r="N1957" s="23" t="n">
        <v>2017</v>
      </c>
      <c r="O1957" s="23" t="n">
        <v>76</v>
      </c>
      <c r="P1957" s="23" t="n"/>
      <c r="Q1957" s="23" t="n"/>
      <c r="R1957" s="25" t="n"/>
      <c r="S1957" s="26">
        <f>HYPERLINK("http://www.cnpol.ru/covers/17566.jpg","фото на сайте")</f>
        <v/>
      </c>
    </row>
    <row r="1958" ht="50.1" customHeight="1" s="3">
      <c r="A1958" s="23" t="n"/>
      <c r="B1958" s="24" t="inlineStr">
        <is>
          <t>17884</t>
        </is>
      </c>
      <c r="C1958" s="23" t="inlineStr">
        <is>
          <t>ЛР СО</t>
        </is>
      </c>
      <c r="D1958" s="23" t="inlineStr">
        <is>
          <t>Вейд Д.</t>
        </is>
      </c>
      <c r="E1958" s="23" t="inlineStr">
        <is>
          <t>Повелительница страсти</t>
        </is>
      </c>
      <c r="F1958" s="23" t="n">
        <v>250</v>
      </c>
      <c r="G1958" s="23" t="n">
        <v>102</v>
      </c>
      <c r="H1958" s="23" t="n">
        <v>10</v>
      </c>
      <c r="I1958" s="23" t="n">
        <v>30</v>
      </c>
      <c r="J1958" s="23" t="inlineStr">
        <is>
          <t>978-5-227-07790-5</t>
        </is>
      </c>
      <c r="K1958" s="23" t="inlineStr">
        <is>
          <t>70x100 1/32</t>
        </is>
      </c>
      <c r="L1958" s="23" t="inlineStr">
        <is>
          <t>мяг</t>
        </is>
      </c>
      <c r="M1958" s="23" t="n">
        <v>160</v>
      </c>
      <c r="N1958" s="23" t="n">
        <v>2017</v>
      </c>
      <c r="O1958" s="23" t="n">
        <v>76</v>
      </c>
      <c r="P1958" s="23" t="n"/>
      <c r="Q1958" s="23" t="n"/>
      <c r="R1958" s="25" t="n"/>
      <c r="S1958" s="26">
        <f>HYPERLINK("http://www.cnpol.ru/covers/17884.jpg","фото на сайте")</f>
        <v/>
      </c>
    </row>
    <row r="1959" ht="50.1" customHeight="1" s="3">
      <c r="A1959" s="23" t="n"/>
      <c r="B1959" s="24" t="inlineStr">
        <is>
          <t>18180</t>
        </is>
      </c>
      <c r="C1959" s="23" t="inlineStr">
        <is>
          <t>ЛР СО</t>
        </is>
      </c>
      <c r="D1959" s="23" t="inlineStr">
        <is>
          <t>Гарбера К.</t>
        </is>
      </c>
      <c r="E1959" s="23" t="inlineStr">
        <is>
          <t>Повторить мгновения счастья</t>
        </is>
      </c>
      <c r="F1959" s="23" t="n">
        <v>268</v>
      </c>
      <c r="G1959" s="23" t="n">
        <v>102</v>
      </c>
      <c r="H1959" s="23" t="n">
        <v>10</v>
      </c>
      <c r="I1959" s="23" t="n">
        <v>30</v>
      </c>
      <c r="J1959" s="23" t="inlineStr">
        <is>
          <t>978-5-227-08158-2</t>
        </is>
      </c>
      <c r="K1959" s="23" t="inlineStr">
        <is>
          <t>70x100 1/32</t>
        </is>
      </c>
      <c r="L1959" s="23" t="inlineStr">
        <is>
          <t>мяг</t>
        </is>
      </c>
      <c r="M1959" s="23" t="n">
        <v>160</v>
      </c>
      <c r="N1959" s="23" t="n">
        <v>2018</v>
      </c>
      <c r="O1959" s="23" t="n">
        <v>76</v>
      </c>
      <c r="P1959" s="23" t="n"/>
      <c r="Q1959" s="23" t="n"/>
      <c r="R1959" s="25" t="n"/>
      <c r="S1959" s="26">
        <f>HYPERLINK("http://www.cnpol.ru/covers/18180.jpg","фото на сайте")</f>
        <v/>
      </c>
    </row>
    <row r="1960" ht="50.1" customHeight="1" s="3">
      <c r="A1960" s="23" t="n"/>
      <c r="B1960" s="24" t="inlineStr">
        <is>
          <t>19539</t>
        </is>
      </c>
      <c r="C1960" s="23" t="inlineStr">
        <is>
          <t>ЛР СО</t>
        </is>
      </c>
      <c r="D1960" s="23" t="inlineStr">
        <is>
          <t>Чайлд М.</t>
        </is>
      </c>
      <c r="E1960" s="23" t="inlineStr">
        <is>
          <t>Под венец с другом детства</t>
        </is>
      </c>
      <c r="F1960" s="23" t="n">
        <v>368</v>
      </c>
      <c r="G1960" s="23" t="n">
        <v>102</v>
      </c>
      <c r="H1960" s="23" t="n">
        <v>10</v>
      </c>
      <c r="I1960" s="23" t="n">
        <v>30</v>
      </c>
      <c r="J1960" s="23" t="inlineStr">
        <is>
          <t>978-5-227-09158-1</t>
        </is>
      </c>
      <c r="K1960" s="23" t="inlineStr">
        <is>
          <t>70x100 1/32</t>
        </is>
      </c>
      <c r="L1960" s="23" t="inlineStr">
        <is>
          <t>мяг</t>
        </is>
      </c>
      <c r="M1960" s="23" t="n">
        <v>160</v>
      </c>
      <c r="N1960" s="23" t="n">
        <v>2021</v>
      </c>
      <c r="O1960" s="23" t="n">
        <v>76</v>
      </c>
      <c r="P1960" s="23" t="n"/>
      <c r="Q1960" s="23" t="n"/>
      <c r="R1960" s="25" t="n"/>
      <c r="S1960" s="26">
        <f>HYPERLINK("http://www.cnpol.ru/covers/19539.jpg","фото на сайте")</f>
        <v/>
      </c>
    </row>
    <row r="1961" ht="50.1" customHeight="1" s="3">
      <c r="A1961" s="23" t="n"/>
      <c r="B1961" s="24" t="inlineStr">
        <is>
          <t>18886</t>
        </is>
      </c>
      <c r="C1961" s="23" t="inlineStr">
        <is>
          <t>ЛР СО</t>
        </is>
      </c>
      <c r="D1961" s="23" t="inlineStr">
        <is>
          <t>Аштон Л.</t>
        </is>
      </c>
      <c r="E1961" s="23" t="inlineStr">
        <is>
          <t>Под защитой трепетного сердца</t>
        </is>
      </c>
      <c r="F1961" s="23" t="n">
        <v>325</v>
      </c>
      <c r="G1961" s="23" t="n">
        <v>102</v>
      </c>
      <c r="H1961" s="23" t="n">
        <v>10</v>
      </c>
      <c r="I1961" s="23" t="n">
        <v>30</v>
      </c>
      <c r="J1961" s="23" t="inlineStr">
        <is>
          <t>978-5-227-08735-5</t>
        </is>
      </c>
      <c r="K1961" s="23" t="inlineStr">
        <is>
          <t>70x100 1/32</t>
        </is>
      </c>
      <c r="L1961" s="23" t="inlineStr">
        <is>
          <t>мяг</t>
        </is>
      </c>
      <c r="M1961" s="23" t="n">
        <v>160</v>
      </c>
      <c r="N1961" s="23" t="n">
        <v>2019</v>
      </c>
      <c r="O1961" s="23" t="n">
        <v>76</v>
      </c>
      <c r="P1961" s="23" t="n"/>
      <c r="Q1961" s="23" t="n"/>
      <c r="R1961" s="25" t="n"/>
      <c r="S1961" s="26">
        <f>HYPERLINK("http://www.cnpol.ru/covers/18886.jpg","фото на сайте")</f>
        <v/>
      </c>
    </row>
    <row r="1962" ht="50.1" customHeight="1" s="3">
      <c r="A1962" s="23" t="n"/>
      <c r="B1962" s="24" t="inlineStr">
        <is>
          <t>20120</t>
        </is>
      </c>
      <c r="C1962" s="23" t="inlineStr">
        <is>
          <t>ЛР СО</t>
        </is>
      </c>
      <c r="D1962" s="23" t="inlineStr">
        <is>
          <t>Уильямс А.</t>
        </is>
      </c>
      <c r="E1962" s="23" t="inlineStr">
        <is>
          <t>Под покровом желания</t>
        </is>
      </c>
      <c r="F1962" s="23" t="n">
        <v>399</v>
      </c>
      <c r="G1962" s="23" t="n">
        <v>102</v>
      </c>
      <c r="H1962" s="23" t="n">
        <v>10</v>
      </c>
      <c r="I1962" s="23" t="n">
        <v>30</v>
      </c>
      <c r="J1962" s="23" t="inlineStr">
        <is>
          <t>978-5-227-09810-8</t>
        </is>
      </c>
      <c r="K1962" s="23" t="inlineStr">
        <is>
          <t>70x100 1/32</t>
        </is>
      </c>
      <c r="L1962" s="23" t="inlineStr">
        <is>
          <t>мяг</t>
        </is>
      </c>
      <c r="M1962" s="23" t="n">
        <v>159</v>
      </c>
      <c r="N1962" s="23" t="n">
        <v>2022</v>
      </c>
      <c r="O1962" s="23" t="n">
        <v>76</v>
      </c>
      <c r="P1962" s="23" t="n"/>
      <c r="Q1962" s="23" t="n"/>
      <c r="R1962" s="25" t="n"/>
      <c r="S1962" s="26">
        <f>HYPERLINK("http://www.cnpol.ru/covers/20120.jpg","фото на сайте")</f>
        <v/>
      </c>
    </row>
    <row r="1963" ht="50.1" customHeight="1" s="3">
      <c r="A1963" s="23" t="n"/>
      <c r="B1963" s="24" t="inlineStr">
        <is>
          <t>18760</t>
        </is>
      </c>
      <c r="C1963" s="23" t="inlineStr">
        <is>
          <t>ЛР СО</t>
        </is>
      </c>
      <c r="D1963" s="23" t="inlineStr">
        <is>
          <t>Бут К.</t>
        </is>
      </c>
      <c r="E1963" s="23" t="inlineStr">
        <is>
          <t>Под прицелом соблазна</t>
        </is>
      </c>
      <c r="F1963" s="23" t="n">
        <v>315</v>
      </c>
      <c r="G1963" s="23" t="n">
        <v>102</v>
      </c>
      <c r="H1963" s="23" t="n">
        <v>10</v>
      </c>
      <c r="I1963" s="23" t="n">
        <v>30</v>
      </c>
      <c r="J1963" s="23" t="inlineStr">
        <is>
          <t>978-5-227-08666-2</t>
        </is>
      </c>
      <c r="K1963" s="23" t="inlineStr">
        <is>
          <t>70x100 1/32</t>
        </is>
      </c>
      <c r="L1963" s="23" t="inlineStr">
        <is>
          <t>мяг</t>
        </is>
      </c>
      <c r="M1963" s="23" t="n">
        <v>160</v>
      </c>
      <c r="N1963" s="23" t="n">
        <v>2019</v>
      </c>
      <c r="O1963" s="23" t="n">
        <v>76</v>
      </c>
      <c r="P1963" s="23" t="n"/>
      <c r="Q1963" s="23" t="n"/>
      <c r="R1963" s="25" t="n"/>
      <c r="S1963" s="26">
        <f>HYPERLINK("http://www.cnpol.ru/covers/18760.jpg","фото на сайте")</f>
        <v/>
      </c>
    </row>
    <row r="1964" ht="50.1" customHeight="1" s="3">
      <c r="A1964" s="23" t="n"/>
      <c r="B1964" s="24" t="inlineStr">
        <is>
          <t>20014</t>
        </is>
      </c>
      <c r="C1964" s="23" t="inlineStr">
        <is>
          <t>ЛР СО</t>
        </is>
      </c>
      <c r="D1964" s="23" t="inlineStr">
        <is>
          <t>Ковингтон Р.</t>
        </is>
      </c>
      <c r="E1964" s="23" t="inlineStr">
        <is>
          <t>Подари мне поцелуй</t>
        </is>
      </c>
      <c r="F1964" s="23" t="n">
        <v>395</v>
      </c>
      <c r="G1964" s="23" t="n">
        <v>102</v>
      </c>
      <c r="H1964" s="23" t="n">
        <v>10</v>
      </c>
      <c r="I1964" s="23" t="n">
        <v>30</v>
      </c>
      <c r="J1964" s="23" t="inlineStr">
        <is>
          <t>978-5-227-09683-8</t>
        </is>
      </c>
      <c r="K1964" s="23" t="inlineStr">
        <is>
          <t>70x100 1/32</t>
        </is>
      </c>
      <c r="L1964" s="23" t="inlineStr">
        <is>
          <t>мяг</t>
        </is>
      </c>
      <c r="M1964" s="23" t="n">
        <v>159</v>
      </c>
      <c r="N1964" s="23" t="n">
        <v>2022</v>
      </c>
      <c r="O1964" s="23" t="n">
        <v>76</v>
      </c>
      <c r="P1964" s="23" t="n"/>
      <c r="Q1964" s="23" t="n"/>
      <c r="R1964" s="25" t="n"/>
      <c r="S1964" s="26">
        <f>HYPERLINK("http://www.cnpol.ru/covers/20014.jpg","фото на сайте")</f>
        <v/>
      </c>
    </row>
    <row r="1965" ht="50.1" customHeight="1" s="3">
      <c r="A1965" s="23" t="n"/>
      <c r="B1965" s="24" t="inlineStr">
        <is>
          <t>16755</t>
        </is>
      </c>
      <c r="C1965" s="23" t="inlineStr">
        <is>
          <t>ЛР СО</t>
        </is>
      </c>
      <c r="D1965" s="23" t="inlineStr">
        <is>
          <t>Мейнард Д.</t>
        </is>
      </c>
      <c r="E1965" s="23" t="inlineStr">
        <is>
          <t>Поддаться искушению</t>
        </is>
      </c>
      <c r="F1965" s="23" t="n">
        <v>170</v>
      </c>
      <c r="G1965" s="23" t="n">
        <v>102</v>
      </c>
      <c r="H1965" s="23" t="n">
        <v>10</v>
      </c>
      <c r="I1965" s="23" t="n">
        <v>30</v>
      </c>
      <c r="J1965" s="23" t="inlineStr">
        <is>
          <t>978-5-227-06745-6</t>
        </is>
      </c>
      <c r="K1965" s="23" t="inlineStr">
        <is>
          <t>70x100 1/32</t>
        </is>
      </c>
      <c r="L1965" s="23" t="inlineStr">
        <is>
          <t>мяг</t>
        </is>
      </c>
      <c r="M1965" s="23" t="n">
        <v>160</v>
      </c>
      <c r="N1965" s="23" t="n">
        <v>2016</v>
      </c>
      <c r="O1965" s="23" t="n">
        <v>76</v>
      </c>
      <c r="P1965" s="23" t="n"/>
      <c r="Q1965" s="23" t="n"/>
      <c r="R1965" s="25" t="n"/>
      <c r="S1965" s="26">
        <f>HYPERLINK("http://www.cnpol.ru/covers/16755.jpg","фото на сайте")</f>
        <v/>
      </c>
    </row>
    <row r="1966" ht="50.1" customHeight="1" s="3">
      <c r="A1966" s="23" t="n"/>
      <c r="B1966" s="24" t="inlineStr">
        <is>
          <t>19181</t>
        </is>
      </c>
      <c r="C1966" s="23" t="inlineStr">
        <is>
          <t>ЛР СО</t>
        </is>
      </c>
      <c r="D1966" s="23" t="inlineStr">
        <is>
          <t>Мейнард Д.</t>
        </is>
      </c>
      <c r="E1966" s="23" t="inlineStr">
        <is>
          <t>Подлинное искушение</t>
        </is>
      </c>
      <c r="F1966" s="23" t="n">
        <v>350</v>
      </c>
      <c r="G1966" s="23" t="n">
        <v>102</v>
      </c>
      <c r="H1966" s="23" t="n">
        <v>10</v>
      </c>
      <c r="I1966" s="23" t="n">
        <v>30</v>
      </c>
      <c r="J1966" s="23" t="inlineStr">
        <is>
          <t>978-5-227-09035-5</t>
        </is>
      </c>
      <c r="K1966" s="23" t="inlineStr">
        <is>
          <t>70x100 1/32</t>
        </is>
      </c>
      <c r="L1966" s="23" t="inlineStr">
        <is>
          <t>мяг</t>
        </is>
      </c>
      <c r="M1966" s="23" t="n">
        <v>160</v>
      </c>
      <c r="N1966" s="23" t="n">
        <v>2020</v>
      </c>
      <c r="O1966" s="23" t="n">
        <v>76</v>
      </c>
      <c r="P1966" s="23" t="n"/>
      <c r="Q1966" s="23" t="n"/>
      <c r="R1966" s="25" t="n"/>
      <c r="S1966" s="26">
        <f>HYPERLINK("http://www.cnpol.ru/covers/19181.jpg","фото на сайте")</f>
        <v/>
      </c>
    </row>
    <row r="1967" ht="50.1" customHeight="1" s="3">
      <c r="A1967" s="23" t="inlineStr">
        <is>
          <t>Н</t>
        </is>
      </c>
      <c r="B1967" s="24" t="inlineStr">
        <is>
          <t>21236</t>
        </is>
      </c>
      <c r="C1967" s="23" t="inlineStr">
        <is>
          <t>ЛР СО</t>
        </is>
      </c>
      <c r="D1967" s="23" t="inlineStr">
        <is>
          <t>Джеймс Д.</t>
        </is>
      </c>
      <c r="E1967" s="23" t="inlineStr">
        <is>
          <t>Покорить дерзкого парня</t>
        </is>
      </c>
      <c r="F1967" s="23" t="n">
        <v>447</v>
      </c>
      <c r="G1967" s="23" t="n">
        <v>102</v>
      </c>
      <c r="H1967" s="23" t="n">
        <v>10</v>
      </c>
      <c r="I1967" s="23" t="n">
        <v>30</v>
      </c>
      <c r="J1967" s="23" t="inlineStr">
        <is>
          <t>978-5-227-10635-3</t>
        </is>
      </c>
      <c r="K1967" s="23" t="inlineStr">
        <is>
          <t>70x100 1/32</t>
        </is>
      </c>
      <c r="L1967" s="23" t="inlineStr">
        <is>
          <t>мяг</t>
        </is>
      </c>
      <c r="M1967" s="23" t="n">
        <v>159</v>
      </c>
      <c r="N1967" s="23" t="n">
        <v>2024</v>
      </c>
      <c r="O1967" s="23" t="n">
        <v>76</v>
      </c>
      <c r="P1967" s="23" t="n"/>
      <c r="Q1967" s="23" t="n"/>
      <c r="R1967" s="25" t="inlineStr">
        <is>
          <t>Конни лихорадочно искала выход из трудного положения: за бабушкой нужен постоянный уход, хозяин арендованного дома требует, чтобы женщины съехали, а куда? Тех денег, что девушка зарабатывает, слишком мало для поиска нового жилья. И тут появляется богатый красавец и предлагает ей сделку — фиктивный брак. По завещанию деда он должен срочно жениться, иначе не получит огромное наследство. Брак должен продлиться не менее полутора лет, за это Конни и ее бабушка будут полностью обеспечены, а затем развод. Конни согласилась. Молодые люди не представляли, на какой скользкий путь они вступают…</t>
        </is>
      </c>
      <c r="S1967" s="26">
        <f>HYPERLINK("http://www.cnpol.ru/covers/21236.jpg","фото на сайте")</f>
        <v/>
      </c>
    </row>
    <row r="1968" ht="50.1" customHeight="1" s="3">
      <c r="A1968" s="23" t="n"/>
      <c r="B1968" s="24" t="inlineStr">
        <is>
          <t>19154</t>
        </is>
      </c>
      <c r="C1968" s="23" t="inlineStr">
        <is>
          <t>ЛР СО</t>
        </is>
      </c>
      <c r="D1968" s="23" t="inlineStr">
        <is>
          <t>Леммон Д.</t>
        </is>
      </c>
      <c r="E1968" s="23" t="inlineStr">
        <is>
          <t>Полузабытое искушение</t>
        </is>
      </c>
      <c r="F1968" s="23" t="n">
        <v>349</v>
      </c>
      <c r="G1968" s="23" t="n">
        <v>102</v>
      </c>
      <c r="H1968" s="23" t="n">
        <v>10</v>
      </c>
      <c r="I1968" s="23" t="n">
        <v>30</v>
      </c>
      <c r="J1968" s="23" t="inlineStr">
        <is>
          <t>978-5-227-08970-0</t>
        </is>
      </c>
      <c r="K1968" s="23" t="inlineStr">
        <is>
          <t>70x100 1/32</t>
        </is>
      </c>
      <c r="L1968" s="23" t="inlineStr">
        <is>
          <t>мяг</t>
        </is>
      </c>
      <c r="M1968" s="23" t="n">
        <v>160</v>
      </c>
      <c r="N1968" s="23" t="n">
        <v>2020</v>
      </c>
      <c r="O1968" s="23" t="n">
        <v>76</v>
      </c>
      <c r="P1968" s="23" t="n"/>
      <c r="Q1968" s="23" t="n"/>
      <c r="R1968" s="25" t="n"/>
      <c r="S1968" s="26">
        <f>HYPERLINK("http://www.cnpol.ru/covers/19154.jpg","фото на сайте")</f>
        <v/>
      </c>
    </row>
    <row r="1969" ht="50.1" customHeight="1" s="3">
      <c r="A1969" s="23" t="n"/>
      <c r="B1969" s="24" t="inlineStr">
        <is>
          <t>20942</t>
        </is>
      </c>
      <c r="C1969" s="23" t="inlineStr">
        <is>
          <t>ЛР СО</t>
        </is>
      </c>
      <c r="D1969" s="23" t="inlineStr">
        <is>
          <t>Крич М.</t>
        </is>
      </c>
      <c r="E1969" s="23" t="inlineStr">
        <is>
          <t>Попробуй стать моим</t>
        </is>
      </c>
      <c r="F1969" s="23" t="n">
        <v>438</v>
      </c>
      <c r="G1969" s="23" t="n">
        <v>102</v>
      </c>
      <c r="H1969" s="23" t="n">
        <v>10</v>
      </c>
      <c r="I1969" s="23" t="n">
        <v>30</v>
      </c>
      <c r="J1969" s="23" t="inlineStr">
        <is>
          <t>978-5-227-10451-9</t>
        </is>
      </c>
      <c r="K1969" s="23" t="inlineStr">
        <is>
          <t>70x100 1/32</t>
        </is>
      </c>
      <c r="L1969" s="23" t="inlineStr">
        <is>
          <t>мяг</t>
        </is>
      </c>
      <c r="M1969" s="23" t="n">
        <v>159</v>
      </c>
      <c r="N1969" s="23" t="n">
        <v>2024</v>
      </c>
      <c r="O1969" s="23" t="n">
        <v>76</v>
      </c>
      <c r="P1969" s="23" t="n"/>
      <c r="Q1969" s="23" t="n"/>
      <c r="R1969" s="25" t="inlineStr">
        <is>
          <t>Уилла получила предложение руки и сердца от парня, с которым десять лет назад провела упоительную ночь, после чего их пути разошлись, казалось, навсегда. И вот теперь Гаррет предлагает ей игру в жениха и невесту, а затем фиктивный брак, который решит ее финансовые проблемы, а он получит ранчо от деда, пожелавшего, чтобы внук не отдавал все свои силы работе и создал, наконец, семью. Странно, Уилла и Гаррет все эти десять лет любят друг друга, но по разным причинам не могут разобраться в своих чувствах. А что, если игра в жениха и невесту поможет им в этом?</t>
        </is>
      </c>
      <c r="S1969" s="26">
        <f>HYPERLINK("http://www.cnpol.ru/covers/20942.jpg","фото на сайте")</f>
        <v/>
      </c>
    </row>
    <row r="1970" ht="50.1" customHeight="1" s="3">
      <c r="A1970" s="23" t="n"/>
      <c r="B1970" s="24" t="inlineStr">
        <is>
          <t>16587</t>
        </is>
      </c>
      <c r="C1970" s="23" t="inlineStr">
        <is>
          <t>ЛР СО</t>
        </is>
      </c>
      <c r="D1970" s="23" t="inlineStr">
        <is>
          <t>Шилд К.</t>
        </is>
      </c>
      <c r="E1970" s="23" t="inlineStr">
        <is>
          <t>Порочная связь</t>
        </is>
      </c>
      <c r="F1970" s="23" t="n">
        <v>159</v>
      </c>
      <c r="G1970" s="23" t="n">
        <v>102</v>
      </c>
      <c r="H1970" s="23" t="n">
        <v>10</v>
      </c>
      <c r="I1970" s="23" t="n">
        <v>30</v>
      </c>
      <c r="J1970" s="23" t="inlineStr">
        <is>
          <t>978-5-227-06534-6</t>
        </is>
      </c>
      <c r="K1970" s="23" t="inlineStr">
        <is>
          <t>70x100 1/32</t>
        </is>
      </c>
      <c r="L1970" s="23" t="inlineStr">
        <is>
          <t>мяг</t>
        </is>
      </c>
      <c r="M1970" s="23" t="n">
        <v>160</v>
      </c>
      <c r="N1970" s="23" t="n">
        <v>2016</v>
      </c>
      <c r="O1970" s="23" t="n">
        <v>76</v>
      </c>
      <c r="P1970" s="23" t="n"/>
      <c r="Q1970" s="23" t="n"/>
      <c r="R1970" s="25" t="n"/>
      <c r="S1970" s="26">
        <f>HYPERLINK("http://www.cnpol.ru/covers/16587.jpg","фото на сайте")</f>
        <v/>
      </c>
    </row>
    <row r="1971" ht="50.1" customHeight="1" s="3">
      <c r="A1971" s="23" t="n"/>
      <c r="B1971" s="24" t="inlineStr">
        <is>
          <t>19051</t>
        </is>
      </c>
      <c r="C1971" s="23" t="inlineStr">
        <is>
          <t>ЛР СО</t>
        </is>
      </c>
      <c r="D1971" s="23" t="inlineStr">
        <is>
          <t>Манн К.</t>
        </is>
      </c>
      <c r="E1971" s="23" t="inlineStr">
        <is>
          <t>Похить мое сердце дважды</t>
        </is>
      </c>
      <c r="F1971" s="23" t="n">
        <v>341</v>
      </c>
      <c r="G1971" s="23" t="n">
        <v>102</v>
      </c>
      <c r="H1971" s="23" t="n">
        <v>10</v>
      </c>
      <c r="I1971" s="23" t="n">
        <v>30</v>
      </c>
      <c r="J1971" s="23" t="inlineStr">
        <is>
          <t>978-5-227-08918-2</t>
        </is>
      </c>
      <c r="K1971" s="23" t="inlineStr">
        <is>
          <t>70x100 1/32</t>
        </is>
      </c>
      <c r="L1971" s="23" t="inlineStr">
        <is>
          <t>мяг</t>
        </is>
      </c>
      <c r="M1971" s="23" t="n">
        <v>160</v>
      </c>
      <c r="N1971" s="23" t="n">
        <v>2020</v>
      </c>
      <c r="O1971" s="23" t="n">
        <v>76</v>
      </c>
      <c r="P1971" s="23" t="n"/>
      <c r="Q1971" s="23" t="n"/>
      <c r="R1971" s="25" t="n"/>
      <c r="S1971" s="26">
        <f>HYPERLINK("http://www.cnpol.ru/covers/19051.jpg","фото на сайте")</f>
        <v/>
      </c>
    </row>
    <row r="1972" ht="50.1" customHeight="1" s="3">
      <c r="A1972" s="23" t="n"/>
      <c r="B1972" s="24" t="inlineStr">
        <is>
          <t>17022</t>
        </is>
      </c>
      <c r="C1972" s="23" t="inlineStr">
        <is>
          <t>ЛР СО</t>
        </is>
      </c>
      <c r="D1972" s="23" t="inlineStr">
        <is>
          <t>Хейворд Дженнифер</t>
        </is>
      </c>
      <c r="E1972" s="23" t="inlineStr">
        <is>
          <t>Поцелуй, обещающий рай</t>
        </is>
      </c>
      <c r="F1972" s="23" t="n">
        <v>188</v>
      </c>
      <c r="G1972" s="23" t="n">
        <v>102</v>
      </c>
      <c r="H1972" s="23" t="n">
        <v>10</v>
      </c>
      <c r="I1972" s="23" t="n">
        <v>30</v>
      </c>
      <c r="J1972" s="23" t="inlineStr">
        <is>
          <t>978-5-227-07046-3</t>
        </is>
      </c>
      <c r="K1972" s="23" t="inlineStr">
        <is>
          <t>70x100 1/32</t>
        </is>
      </c>
      <c r="L1972" s="23" t="inlineStr">
        <is>
          <t>мяг</t>
        </is>
      </c>
      <c r="M1972" s="23" t="n">
        <v>158</v>
      </c>
      <c r="N1972" s="23" t="n">
        <v>2016</v>
      </c>
      <c r="O1972" s="23" t="n">
        <v>76</v>
      </c>
      <c r="P1972" s="23" t="n"/>
      <c r="Q1972" s="23" t="n"/>
      <c r="R1972" s="25" t="n"/>
      <c r="S1972" s="26">
        <f>HYPERLINK("http://www.cnpol.ru/covers/17022.jpg","фото на сайте")</f>
        <v/>
      </c>
    </row>
    <row r="1973" ht="50.1" customHeight="1" s="3">
      <c r="A1973" s="23" t="n"/>
      <c r="B1973" s="24" t="inlineStr">
        <is>
          <t>17805</t>
        </is>
      </c>
      <c r="C1973" s="23" t="inlineStr">
        <is>
          <t>ЛР СО</t>
        </is>
      </c>
      <c r="D1973" s="23" t="inlineStr">
        <is>
          <t>Вуд Джосс</t>
        </is>
      </c>
      <c r="E1973" s="23" t="inlineStr">
        <is>
          <t>Почти реальные чувства</t>
        </is>
      </c>
      <c r="F1973" s="23" t="n">
        <v>245</v>
      </c>
      <c r="G1973" s="23" t="n">
        <v>102</v>
      </c>
      <c r="H1973" s="23" t="n">
        <v>10</v>
      </c>
      <c r="I1973" s="23" t="n">
        <v>30</v>
      </c>
      <c r="J1973" s="23" t="inlineStr">
        <is>
          <t>978-5-227-07759-2</t>
        </is>
      </c>
      <c r="K1973" s="23" t="inlineStr">
        <is>
          <t>70x100 1/32</t>
        </is>
      </c>
      <c r="L1973" s="23" t="inlineStr">
        <is>
          <t>мяг</t>
        </is>
      </c>
      <c r="M1973" s="23" t="n">
        <v>160</v>
      </c>
      <c r="N1973" s="23" t="n">
        <v>2017</v>
      </c>
      <c r="O1973" s="23" t="n">
        <v>76</v>
      </c>
      <c r="P1973" s="23" t="n"/>
      <c r="Q1973" s="23" t="n"/>
      <c r="R1973" s="25" t="n"/>
      <c r="S1973" s="26">
        <f>HYPERLINK("http://www.cnpol.ru/covers/17805.jpg","фото на сайте")</f>
        <v/>
      </c>
    </row>
    <row r="1974" ht="50.1" customHeight="1" s="3">
      <c r="A1974" s="23" t="n"/>
      <c r="B1974" s="24" t="inlineStr">
        <is>
          <t>18359</t>
        </is>
      </c>
      <c r="C1974" s="23" t="inlineStr">
        <is>
          <t>ЛР СО</t>
        </is>
      </c>
      <c r="D1974" s="23" t="inlineStr">
        <is>
          <t>Орвиг С.</t>
        </is>
      </c>
      <c r="E1974" s="23" t="inlineStr">
        <is>
          <t>Почувствуй, что я рядом</t>
        </is>
      </c>
      <c r="F1974" s="23" t="n">
        <v>283</v>
      </c>
      <c r="G1974" s="23" t="n">
        <v>102</v>
      </c>
      <c r="H1974" s="23" t="n">
        <v>10</v>
      </c>
      <c r="I1974" s="23" t="n">
        <v>30</v>
      </c>
      <c r="J1974" s="23" t="inlineStr">
        <is>
          <t>978-5-227-08334-0</t>
        </is>
      </c>
      <c r="K1974" s="23" t="inlineStr">
        <is>
          <t>70x100 1/32</t>
        </is>
      </c>
      <c r="L1974" s="23" t="inlineStr">
        <is>
          <t>мяг</t>
        </is>
      </c>
      <c r="M1974" s="23" t="n">
        <v>160</v>
      </c>
      <c r="N1974" s="23" t="n">
        <v>2018</v>
      </c>
      <c r="O1974" s="23" t="n">
        <v>76</v>
      </c>
      <c r="P1974" s="23" t="n"/>
      <c r="Q1974" s="23" t="n"/>
      <c r="R1974" s="25" t="n"/>
      <c r="S1974" s="26">
        <f>HYPERLINK("http://www.cnpol.ru/covers/18359.jpg","фото на сайте")</f>
        <v/>
      </c>
    </row>
    <row r="1975" ht="50.1" customHeight="1" s="3">
      <c r="A1975" s="23" t="n"/>
      <c r="B1975" s="24" t="inlineStr">
        <is>
          <t>17270</t>
        </is>
      </c>
      <c r="C1975" s="23" t="inlineStr">
        <is>
          <t>ЛР СО</t>
        </is>
      </c>
      <c r="D1975" s="23" t="inlineStr">
        <is>
          <t>Чайлд М.</t>
        </is>
      </c>
      <c r="E1975" s="23" t="inlineStr">
        <is>
          <t>Правила соблазнения</t>
        </is>
      </c>
      <c r="F1975" s="23" t="n">
        <v>203</v>
      </c>
      <c r="G1975" s="23" t="n">
        <v>102</v>
      </c>
      <c r="H1975" s="23" t="n">
        <v>10</v>
      </c>
      <c r="I1975" s="23" t="n">
        <v>30</v>
      </c>
      <c r="J1975" s="23" t="inlineStr">
        <is>
          <t>978-5-227-07290-0</t>
        </is>
      </c>
      <c r="K1975" s="23" t="inlineStr">
        <is>
          <t>70x100 1/32</t>
        </is>
      </c>
      <c r="L1975" s="23" t="inlineStr">
        <is>
          <t>мяг</t>
        </is>
      </c>
      <c r="M1975" s="23" t="n">
        <v>160</v>
      </c>
      <c r="N1975" s="23" t="n">
        <v>2017</v>
      </c>
      <c r="O1975" s="23" t="n">
        <v>76</v>
      </c>
      <c r="P1975" s="23" t="n"/>
      <c r="Q1975" s="23" t="n"/>
      <c r="R1975" s="25" t="n"/>
      <c r="S1975" s="26">
        <f>HYPERLINK("http://www.cnpol.ru/covers/17270.jpg","фото на сайте")</f>
        <v/>
      </c>
    </row>
    <row r="1976" ht="50.1" customHeight="1" s="3">
      <c r="A1976" s="23" t="n"/>
      <c r="B1976" s="24" t="inlineStr">
        <is>
          <t>15597</t>
        </is>
      </c>
      <c r="C1976" s="23" t="inlineStr">
        <is>
          <t>ЛР СО</t>
        </is>
      </c>
      <c r="D1976" s="23" t="inlineStr">
        <is>
          <t>Гарнье Р.</t>
        </is>
      </c>
      <c r="E1976" s="23" t="inlineStr">
        <is>
          <t>Правильный поцелуй</t>
        </is>
      </c>
      <c r="F1976" s="23" t="n">
        <v>93</v>
      </c>
      <c r="G1976" s="23" t="n">
        <v>102</v>
      </c>
      <c r="H1976" s="23" t="n">
        <v>10</v>
      </c>
      <c r="I1976" s="23" t="n">
        <v>30</v>
      </c>
      <c r="J1976" s="23" t="inlineStr">
        <is>
          <t>978-5-227-05617-7</t>
        </is>
      </c>
      <c r="K1976" s="23" t="inlineStr">
        <is>
          <t>70x100 1/32</t>
        </is>
      </c>
      <c r="L1976" s="23" t="inlineStr">
        <is>
          <t>мяг</t>
        </is>
      </c>
      <c r="M1976" s="23" t="n">
        <v>158</v>
      </c>
      <c r="N1976" s="23" t="n">
        <v>2014</v>
      </c>
      <c r="O1976" s="23" t="n">
        <v>76</v>
      </c>
      <c r="P1976" s="23" t="n"/>
      <c r="Q1976" s="23" t="n"/>
      <c r="R1976" s="25" t="n"/>
      <c r="S1976" s="26">
        <f>HYPERLINK("http://www.cnpol.ru/covers/15597.jpg","фото на сайте")</f>
        <v/>
      </c>
    </row>
    <row r="1977" ht="50.1" customHeight="1" s="3">
      <c r="A1977" s="23" t="n"/>
      <c r="B1977" s="24" t="inlineStr">
        <is>
          <t>18551</t>
        </is>
      </c>
      <c r="C1977" s="23" t="inlineStr">
        <is>
          <t>ЛР СО</t>
        </is>
      </c>
      <c r="D1977" s="23" t="inlineStr">
        <is>
          <t>Рок Джоанна</t>
        </is>
      </c>
      <c r="E1977" s="23" t="inlineStr">
        <is>
          <t>Предвкушая желанный скандал</t>
        </is>
      </c>
      <c r="F1977" s="23" t="n">
        <v>299</v>
      </c>
      <c r="G1977" s="23" t="n">
        <v>102</v>
      </c>
      <c r="H1977" s="23" t="n">
        <v>10</v>
      </c>
      <c r="I1977" s="23" t="n">
        <v>30</v>
      </c>
      <c r="J1977" s="23" t="inlineStr">
        <is>
          <t>978-5-227-08443-9</t>
        </is>
      </c>
      <c r="K1977" s="23" t="inlineStr">
        <is>
          <t>70x100 1/32</t>
        </is>
      </c>
      <c r="L1977" s="23" t="inlineStr">
        <is>
          <t>мяг</t>
        </is>
      </c>
      <c r="M1977" s="23" t="n">
        <v>160</v>
      </c>
      <c r="N1977" s="23" t="n">
        <v>2019</v>
      </c>
      <c r="O1977" s="23" t="n">
        <v>76</v>
      </c>
      <c r="P1977" s="23" t="n"/>
      <c r="Q1977" s="23" t="n"/>
      <c r="R1977" s="25" t="n"/>
      <c r="S1977" s="26">
        <f>HYPERLINK("http://www.cnpol.ru/covers/18551.jpg","фото на сайте")</f>
        <v/>
      </c>
    </row>
    <row r="1978" ht="50.1" customHeight="1" s="3">
      <c r="A1978" s="23" t="n"/>
      <c r="B1978" s="24" t="inlineStr">
        <is>
          <t>17733</t>
        </is>
      </c>
      <c r="C1978" s="23" t="inlineStr">
        <is>
          <t>ЛР СО</t>
        </is>
      </c>
      <c r="D1978" s="23" t="inlineStr">
        <is>
          <t>Бут К.</t>
        </is>
      </c>
      <c r="E1978" s="23" t="inlineStr">
        <is>
          <t>Представь, что мы вместе</t>
        </is>
      </c>
      <c r="F1978" s="23" t="n">
        <v>240</v>
      </c>
      <c r="G1978" s="23" t="n">
        <v>102</v>
      </c>
      <c r="H1978" s="23" t="n">
        <v>10</v>
      </c>
      <c r="I1978" s="23" t="n">
        <v>30</v>
      </c>
      <c r="J1978" s="23" t="inlineStr">
        <is>
          <t>978-5-227-07729-5</t>
        </is>
      </c>
      <c r="K1978" s="23" t="inlineStr">
        <is>
          <t>70x100 1/32</t>
        </is>
      </c>
      <c r="L1978" s="23" t="inlineStr">
        <is>
          <t>мяг</t>
        </is>
      </c>
      <c r="M1978" s="23" t="n">
        <v>160</v>
      </c>
      <c r="N1978" s="23" t="n">
        <v>2017</v>
      </c>
      <c r="O1978" s="23" t="n">
        <v>76</v>
      </c>
      <c r="P1978" s="23" t="n"/>
      <c r="Q1978" s="23" t="n"/>
      <c r="R1978" s="25" t="n"/>
      <c r="S1978" s="26">
        <f>HYPERLINK("http://www.cnpol.ru/covers/17733.jpg","фото на сайте")</f>
        <v/>
      </c>
    </row>
    <row r="1979" ht="50.1" customHeight="1" s="3">
      <c r="A1979" s="23" t="n"/>
      <c r="B1979" s="24" t="inlineStr">
        <is>
          <t>16993</t>
        </is>
      </c>
      <c r="C1979" s="23" t="inlineStr">
        <is>
          <t>ЛР СО</t>
        </is>
      </c>
      <c r="D1979" s="23" t="inlineStr">
        <is>
          <t>Бранд Ф.</t>
        </is>
      </c>
      <c r="E1979" s="23" t="inlineStr">
        <is>
          <t>Прекрасная мстительница</t>
        </is>
      </c>
      <c r="F1979" s="23" t="n">
        <v>185</v>
      </c>
      <c r="G1979" s="23" t="n">
        <v>102</v>
      </c>
      <c r="H1979" s="23" t="n">
        <v>10</v>
      </c>
      <c r="I1979" s="23" t="n">
        <v>30</v>
      </c>
      <c r="J1979" s="23" t="inlineStr">
        <is>
          <t>978-5-227-07043-2</t>
        </is>
      </c>
      <c r="K1979" s="23" t="inlineStr">
        <is>
          <t>70x100 1/32</t>
        </is>
      </c>
      <c r="L1979" s="23" t="inlineStr">
        <is>
          <t>мяг</t>
        </is>
      </c>
      <c r="M1979" s="23" t="n">
        <v>160</v>
      </c>
      <c r="N1979" s="23" t="n">
        <v>2016</v>
      </c>
      <c r="O1979" s="23" t="n">
        <v>72</v>
      </c>
      <c r="P1979" s="23" t="n"/>
      <c r="Q1979" s="23" t="n"/>
      <c r="R1979" s="25" t="n"/>
      <c r="S1979" s="26">
        <f>HYPERLINK("http://www.cnpol.ru/covers/16993.jpg","фото на сайте")</f>
        <v/>
      </c>
    </row>
    <row r="1980" ht="50.1" customHeight="1" s="3">
      <c r="A1980" s="23" t="n"/>
      <c r="B1980" s="24" t="inlineStr">
        <is>
          <t>17817</t>
        </is>
      </c>
      <c r="C1980" s="23" t="inlineStr">
        <is>
          <t>ЛР СО</t>
        </is>
      </c>
      <c r="D1980" s="23" t="inlineStr">
        <is>
          <t>Биварли Э.</t>
        </is>
      </c>
      <c r="E1980" s="23" t="inlineStr">
        <is>
          <t>Преступное влечение</t>
        </is>
      </c>
      <c r="F1980" s="23" t="n">
        <v>246</v>
      </c>
      <c r="G1980" s="23" t="n">
        <v>102</v>
      </c>
      <c r="H1980" s="23" t="n">
        <v>10</v>
      </c>
      <c r="I1980" s="23" t="n">
        <v>30</v>
      </c>
      <c r="J1980" s="23" t="inlineStr">
        <is>
          <t>978-5-227-07760-8</t>
        </is>
      </c>
      <c r="K1980" s="23" t="inlineStr">
        <is>
          <t>70x100 1/32</t>
        </is>
      </c>
      <c r="L1980" s="23" t="inlineStr">
        <is>
          <t>мяг</t>
        </is>
      </c>
      <c r="M1980" s="23" t="n">
        <v>160</v>
      </c>
      <c r="N1980" s="23" t="n">
        <v>2017</v>
      </c>
      <c r="O1980" s="23" t="n">
        <v>76</v>
      </c>
      <c r="P1980" s="23" t="n"/>
      <c r="Q1980" s="23" t="n"/>
      <c r="R1980" s="25" t="n"/>
      <c r="S1980" s="26">
        <f>HYPERLINK("http://www.cnpol.ru/covers/17817.jpg","фото на сайте")</f>
        <v/>
      </c>
    </row>
    <row r="1981" ht="50.1" customHeight="1" s="3">
      <c r="A1981" s="23" t="n"/>
      <c r="B1981" s="24" t="inlineStr">
        <is>
          <t>20663</t>
        </is>
      </c>
      <c r="C1981" s="23" t="inlineStr">
        <is>
          <t>ЛР СО</t>
        </is>
      </c>
      <c r="D1981" s="23" t="inlineStr">
        <is>
          <t>Милберн М.</t>
        </is>
      </c>
      <c r="E1981" s="23" t="inlineStr">
        <is>
          <t>Приглашение в мир чувств</t>
        </is>
      </c>
      <c r="F1981" s="23" t="n">
        <v>428</v>
      </c>
      <c r="G1981" s="23" t="n">
        <v>102</v>
      </c>
      <c r="H1981" s="23" t="n">
        <v>10</v>
      </c>
      <c r="I1981" s="23" t="n">
        <v>30</v>
      </c>
      <c r="J1981" s="23" t="inlineStr">
        <is>
          <t>978-5-227-10288-1</t>
        </is>
      </c>
      <c r="K1981" s="23" t="inlineStr">
        <is>
          <t>70x100 1/32</t>
        </is>
      </c>
      <c r="L1981" s="23" t="inlineStr">
        <is>
          <t>мяг</t>
        </is>
      </c>
      <c r="M1981" s="23" t="n">
        <v>159</v>
      </c>
      <c r="N1981" s="23" t="n">
        <v>2023</v>
      </c>
      <c r="O1981" s="23" t="n">
        <v>76</v>
      </c>
      <c r="P1981" s="23" t="n"/>
      <c r="Q1981" s="23" t="n"/>
      <c r="R1981" s="25" t="inlineStr">
        <is>
          <t>Знаменитый миллиардер Лукас Ротвелл старательно скрывает свой секрет от всего мира. Он намерен жить затворником до тех пор, пока к нему не вернется зрение. В самый неподходящий для него момент в его поместье появляется давняя знакомая Руби Пеннингтон и начинает выдвигать ему странные условия…</t>
        </is>
      </c>
      <c r="S1981" s="26">
        <f>HYPERLINK("http://www.cnpol.ru/covers/20663.jpg","фото на сайте")</f>
        <v/>
      </c>
    </row>
    <row r="1982" ht="50.1" customHeight="1" s="3">
      <c r="A1982" s="23" t="n"/>
      <c r="B1982" s="24" t="inlineStr">
        <is>
          <t>17612</t>
        </is>
      </c>
      <c r="C1982" s="23" t="inlineStr">
        <is>
          <t>ЛР СО</t>
        </is>
      </c>
      <c r="D1982" s="23" t="inlineStr">
        <is>
          <t>Беннет Д.</t>
        </is>
      </c>
      <c r="E1982" s="23" t="inlineStr">
        <is>
          <t>Придуманная помолвка</t>
        </is>
      </c>
      <c r="F1982" s="23" t="n">
        <v>230</v>
      </c>
      <c r="G1982" s="23" t="n">
        <v>102</v>
      </c>
      <c r="H1982" s="23" t="n">
        <v>10</v>
      </c>
      <c r="I1982" s="23" t="n">
        <v>30</v>
      </c>
      <c r="J1982" s="23" t="inlineStr">
        <is>
          <t>978-5-227-07684-7</t>
        </is>
      </c>
      <c r="K1982" s="23" t="inlineStr">
        <is>
          <t>70x100 1/32</t>
        </is>
      </c>
      <c r="L1982" s="23" t="inlineStr">
        <is>
          <t>мяг</t>
        </is>
      </c>
      <c r="M1982" s="23" t="n">
        <v>160</v>
      </c>
      <c r="N1982" s="23" t="n">
        <v>2017</v>
      </c>
      <c r="O1982" s="23" t="n">
        <v>76</v>
      </c>
      <c r="P1982" s="23" t="n"/>
      <c r="Q1982" s="23" t="n"/>
      <c r="R1982" s="25" t="n"/>
      <c r="S1982" s="26">
        <f>HYPERLINK("http://www.cnpol.ru/covers/17612.jpg","фото на сайте")</f>
        <v/>
      </c>
    </row>
    <row r="1983" ht="50.1" customHeight="1" s="3">
      <c r="A1983" s="23" t="n"/>
      <c r="B1983" s="24" t="inlineStr">
        <is>
          <t>18649</t>
        </is>
      </c>
      <c r="C1983" s="23" t="inlineStr">
        <is>
          <t>ЛР СО</t>
        </is>
      </c>
      <c r="D1983" s="23" t="inlineStr">
        <is>
          <t>Шилд К.</t>
        </is>
      </c>
      <c r="E1983" s="23" t="inlineStr">
        <is>
          <t>Принадлежать лишь ему</t>
        </is>
      </c>
      <c r="F1983" s="23" t="n">
        <v>306</v>
      </c>
      <c r="G1983" s="23" t="n">
        <v>102</v>
      </c>
      <c r="H1983" s="23" t="n">
        <v>10</v>
      </c>
      <c r="I1983" s="23" t="n">
        <v>30</v>
      </c>
      <c r="J1983" s="23" t="inlineStr">
        <is>
          <t>978-5-227-08551-1</t>
        </is>
      </c>
      <c r="K1983" s="23" t="inlineStr">
        <is>
          <t>70x100 1/32</t>
        </is>
      </c>
      <c r="L1983" s="23" t="inlineStr">
        <is>
          <t>мяг</t>
        </is>
      </c>
      <c r="M1983" s="23" t="n">
        <v>160</v>
      </c>
      <c r="N1983" s="23" t="n">
        <v>2019</v>
      </c>
      <c r="O1983" s="23" t="n">
        <v>78</v>
      </c>
      <c r="P1983" s="23" t="n"/>
      <c r="Q1983" s="23" t="n"/>
      <c r="R1983" s="25" t="n"/>
      <c r="S1983" s="26">
        <f>HYPERLINK("http://www.cnpol.ru/covers/18649.jpg","фото на сайте")</f>
        <v/>
      </c>
    </row>
    <row r="1984" ht="50.1" customHeight="1" s="3">
      <c r="A1984" s="23" t="inlineStr">
        <is>
          <t>Н</t>
        </is>
      </c>
      <c r="B1984" s="24" t="inlineStr">
        <is>
          <t>21321</t>
        </is>
      </c>
      <c r="C1984" s="23" t="inlineStr">
        <is>
          <t>ЛР СО</t>
        </is>
      </c>
      <c r="D1984" s="23" t="inlineStr">
        <is>
          <t>Кинг Л.</t>
        </is>
      </c>
      <c r="E1984" s="23" t="inlineStr">
        <is>
          <t>Приют искушений</t>
        </is>
      </c>
      <c r="F1984" s="23" t="n">
        <v>449</v>
      </c>
      <c r="G1984" s="23" t="n">
        <v>102</v>
      </c>
      <c r="H1984" s="23" t="n">
        <v>10</v>
      </c>
      <c r="I1984" s="23" t="n">
        <v>30</v>
      </c>
      <c r="J1984" s="23" t="inlineStr">
        <is>
          <t>978-5-227-10681-0</t>
        </is>
      </c>
      <c r="K1984" s="23" t="inlineStr">
        <is>
          <t>70x100 1/32</t>
        </is>
      </c>
      <c r="L1984" s="23" t="inlineStr">
        <is>
          <t>мяг</t>
        </is>
      </c>
      <c r="M1984" s="23" t="n">
        <v>159</v>
      </c>
      <c r="N1984" s="23" t="n">
        <v>2024</v>
      </c>
      <c r="O1984" s="23" t="n">
        <v>76</v>
      </c>
      <c r="P1984" s="23" t="n"/>
      <c r="Q1984" s="23" t="n"/>
      <c r="R1984" s="25" t="inlineStr">
        <is>
          <t>Зандер Стэнхоуп — британец с греческими корнями, один из самых влиятельных бизнесменов Лондона, не может забыть красавицу Миа Холлидей, организатора вечеринок, с которой провел страстную ночь. Незадолго до Рождества Миа разыскивает его и ¬сообщает, что беременна. Зандер предлагает заключить брак по расчету, чтобы вместе растить ребенка, но Миа, страстно желая любить и быть любимой, выдвигает требование: все или ничего!..</t>
        </is>
      </c>
      <c r="S1984" s="26">
        <f>HYPERLINK("http://www.cnpol.ru/covers/21321.jpg","фото на сайте")</f>
        <v/>
      </c>
    </row>
    <row r="1985" ht="50.1" customHeight="1" s="3">
      <c r="A1985" s="23" t="n"/>
      <c r="B1985" s="24" t="inlineStr">
        <is>
          <t>19671</t>
        </is>
      </c>
      <c r="C1985" s="23" t="inlineStr">
        <is>
          <t>ЛР СО</t>
        </is>
      </c>
      <c r="D1985" s="23" t="inlineStr">
        <is>
          <t>Райан Р.</t>
        </is>
      </c>
      <c r="E1985" s="23" t="inlineStr">
        <is>
          <t>Просто доверься мне</t>
        </is>
      </c>
      <c r="F1985" s="23" t="n">
        <v>376</v>
      </c>
      <c r="G1985" s="23" t="n">
        <v>102</v>
      </c>
      <c r="H1985" s="23" t="n">
        <v>10</v>
      </c>
      <c r="I1985" s="23" t="n">
        <v>30</v>
      </c>
      <c r="J1985" s="23" t="inlineStr">
        <is>
          <t>978-5-227-09294-6</t>
        </is>
      </c>
      <c r="K1985" s="23" t="inlineStr">
        <is>
          <t>70x100 1/32</t>
        </is>
      </c>
      <c r="L1985" s="23" t="inlineStr">
        <is>
          <t>мяг</t>
        </is>
      </c>
      <c r="M1985" s="23" t="n">
        <v>160</v>
      </c>
      <c r="N1985" s="23" t="n">
        <v>2021</v>
      </c>
      <c r="O1985" s="23" t="n">
        <v>76</v>
      </c>
      <c r="P1985" s="23" t="n"/>
      <c r="Q1985" s="23" t="n"/>
      <c r="R1985" s="25" t="n"/>
      <c r="S1985" s="26">
        <f>HYPERLINK("http://www.cnpol.ru/covers/19671.jpg","фото на сайте")</f>
        <v/>
      </c>
    </row>
    <row r="1986" ht="50.1" customHeight="1" s="3">
      <c r="A1986" s="23" t="n"/>
      <c r="B1986" s="24" t="inlineStr">
        <is>
          <t>16643</t>
        </is>
      </c>
      <c r="C1986" s="23" t="inlineStr">
        <is>
          <t>ЛР СО</t>
        </is>
      </c>
      <c r="D1986" s="23" t="inlineStr">
        <is>
          <t>Мортимер К.</t>
        </is>
      </c>
      <c r="E1986" s="23" t="inlineStr">
        <is>
          <t>Прочь от соблазна</t>
        </is>
      </c>
      <c r="F1986" s="23" t="n">
        <v>162</v>
      </c>
      <c r="G1986" s="23" t="n">
        <v>102</v>
      </c>
      <c r="H1986" s="23" t="n">
        <v>10</v>
      </c>
      <c r="I1986" s="23" t="n">
        <v>30</v>
      </c>
      <c r="J1986" s="23" t="inlineStr">
        <is>
          <t>978-5-227-06537-7</t>
        </is>
      </c>
      <c r="K1986" s="23" t="inlineStr">
        <is>
          <t>70x100 1/32</t>
        </is>
      </c>
      <c r="L1986" s="23" t="inlineStr">
        <is>
          <t>мяг</t>
        </is>
      </c>
      <c r="M1986" s="23" t="n">
        <v>160</v>
      </c>
      <c r="N1986" s="23" t="n">
        <v>2016</v>
      </c>
      <c r="O1986" s="23" t="n">
        <v>76</v>
      </c>
      <c r="P1986" s="23" t="n"/>
      <c r="Q1986" s="23" t="n"/>
      <c r="R1986" s="25" t="n"/>
      <c r="S1986" s="26">
        <f>HYPERLINK("http://www.cnpol.ru/covers/16643.jpg","фото на сайте")</f>
        <v/>
      </c>
    </row>
    <row r="1987" ht="50.1" customHeight="1" s="3">
      <c r="A1987" s="23" t="n"/>
      <c r="B1987" s="24" t="inlineStr">
        <is>
          <t>20442</t>
        </is>
      </c>
      <c r="C1987" s="23" t="inlineStr">
        <is>
          <t>ЛР СО</t>
        </is>
      </c>
      <c r="D1987" s="23" t="inlineStr">
        <is>
          <t>Шоу Ш.</t>
        </is>
      </c>
      <c r="E1987" s="23" t="inlineStr">
        <is>
          <t>Путешествие в мир чувств</t>
        </is>
      </c>
      <c r="F1987" s="23" t="n">
        <v>416</v>
      </c>
      <c r="G1987" s="23" t="n">
        <v>102</v>
      </c>
      <c r="H1987" s="23" t="n">
        <v>10</v>
      </c>
      <c r="I1987" s="23" t="n">
        <v>30</v>
      </c>
      <c r="J1987" s="23" t="inlineStr">
        <is>
          <t>978-5-227-10126-6</t>
        </is>
      </c>
      <c r="K1987" s="23" t="inlineStr">
        <is>
          <t>70x100 1/32</t>
        </is>
      </c>
      <c r="L1987" s="23" t="inlineStr">
        <is>
          <t>мяг</t>
        </is>
      </c>
      <c r="M1987" s="23" t="n">
        <v>159</v>
      </c>
      <c r="N1987" s="23" t="n">
        <v>2022</v>
      </c>
      <c r="O1987" s="23" t="n">
        <v>76</v>
      </c>
      <c r="P1987" s="23" t="n"/>
      <c r="Q1987" s="23" t="n"/>
      <c r="R1987" s="25" t="inlineStr">
        <is>
          <t>Владелец сети отелей, Такис Самарас, был шафером на свадьбе сестры Лиссы Бьюкенен. Во время церемонии Лисса не спускала глаз с высокого мускулистого красавца. А он много лет назад поклялся никогда серьезно не увлекаться женщиной, но, судя по всему, очаровательная мисс Бьюкенен заставит его забыть о клятве...</t>
        </is>
      </c>
      <c r="S1987" s="26">
        <f>HYPERLINK("http://www.cnpol.ru/covers/20442.jpg","фото на сайте")</f>
        <v/>
      </c>
    </row>
    <row r="1988" ht="50.1" customHeight="1" s="3">
      <c r="A1988" s="23" t="n"/>
      <c r="B1988" s="24" t="inlineStr">
        <is>
          <t>16380</t>
        </is>
      </c>
      <c r="C1988" s="23" t="inlineStr">
        <is>
          <t>ЛР СО</t>
        </is>
      </c>
      <c r="D1988" s="23" t="inlineStr">
        <is>
          <t>Селмер М.</t>
        </is>
      </c>
      <c r="E1988" s="23" t="inlineStr">
        <is>
          <t>Путешествие к мечте</t>
        </is>
      </c>
      <c r="F1988" s="23" t="n">
        <v>145</v>
      </c>
      <c r="G1988" s="23" t="n">
        <v>102</v>
      </c>
      <c r="H1988" s="23" t="n">
        <v>10</v>
      </c>
      <c r="I1988" s="23" t="n">
        <v>30</v>
      </c>
      <c r="J1988" s="23" t="inlineStr">
        <is>
          <t>978-5-227-06256-7</t>
        </is>
      </c>
      <c r="K1988" s="23" t="inlineStr">
        <is>
          <t>70x100 1/32</t>
        </is>
      </c>
      <c r="L1988" s="23" t="inlineStr">
        <is>
          <t>мяг</t>
        </is>
      </c>
      <c r="M1988" s="23" t="n">
        <v>158</v>
      </c>
      <c r="N1988" s="23" t="n">
        <v>2015</v>
      </c>
      <c r="O1988" s="23" t="n">
        <v>76</v>
      </c>
      <c r="P1988" s="23" t="n"/>
      <c r="Q1988" s="23" t="n"/>
      <c r="R1988" s="25" t="n"/>
      <c r="S1988" s="26">
        <f>HYPERLINK("http://www.cnpol.ru/covers/16380.jpg","фото на сайте")</f>
        <v/>
      </c>
    </row>
    <row r="1989" ht="50.1" customHeight="1" s="3">
      <c r="A1989" s="23" t="n"/>
      <c r="B1989" s="24" t="inlineStr">
        <is>
          <t>17766</t>
        </is>
      </c>
      <c r="C1989" s="23" t="inlineStr">
        <is>
          <t>ЛР СО</t>
        </is>
      </c>
      <c r="D1989" s="23" t="inlineStr">
        <is>
          <t>Грейди Р.</t>
        </is>
      </c>
      <c r="E1989" s="23" t="inlineStr">
        <is>
          <t>Разбуди этот дикий огонь</t>
        </is>
      </c>
      <c r="F1989" s="23" t="n">
        <v>242</v>
      </c>
      <c r="G1989" s="23" t="n">
        <v>102</v>
      </c>
      <c r="H1989" s="23" t="n">
        <v>10</v>
      </c>
      <c r="I1989" s="23" t="n">
        <v>30</v>
      </c>
      <c r="J1989" s="23" t="inlineStr">
        <is>
          <t>978-5-227-07731-8</t>
        </is>
      </c>
      <c r="K1989" s="23" t="inlineStr">
        <is>
          <t>70x100 1/32</t>
        </is>
      </c>
      <c r="L1989" s="23" t="inlineStr">
        <is>
          <t>мяг</t>
        </is>
      </c>
      <c r="M1989" s="23" t="n">
        <v>160</v>
      </c>
      <c r="N1989" s="23" t="n">
        <v>2017</v>
      </c>
      <c r="O1989" s="23" t="n">
        <v>76</v>
      </c>
      <c r="P1989" s="23" t="n"/>
      <c r="Q1989" s="23" t="n"/>
      <c r="R1989" s="25" t="n"/>
      <c r="S1989" s="26">
        <f>HYPERLINK("http://www.cnpol.ru/covers/17766.jpg","фото на сайте")</f>
        <v/>
      </c>
    </row>
    <row r="1990" ht="50.1" customHeight="1" s="3">
      <c r="A1990" s="23" t="n"/>
      <c r="B1990" s="24" t="inlineStr">
        <is>
          <t>17164</t>
        </is>
      </c>
      <c r="C1990" s="23" t="inlineStr">
        <is>
          <t>ЛР СО</t>
        </is>
      </c>
      <c r="D1990" s="23" t="inlineStr">
        <is>
          <t>Грин Э.</t>
        </is>
      </c>
      <c r="E1990" s="23" t="inlineStr">
        <is>
          <t>Разгадать стихию страсти</t>
        </is>
      </c>
      <c r="F1990" s="23" t="n">
        <v>197</v>
      </c>
      <c r="G1990" s="23" t="n">
        <v>102</v>
      </c>
      <c r="H1990" s="23" t="n">
        <v>10</v>
      </c>
      <c r="I1990" s="23" t="n">
        <v>30</v>
      </c>
      <c r="J1990" s="23" t="inlineStr">
        <is>
          <t>978-5-227-07127-9</t>
        </is>
      </c>
      <c r="K1990" s="23" t="inlineStr">
        <is>
          <t>70x100 1/32</t>
        </is>
      </c>
      <c r="L1990" s="23" t="inlineStr">
        <is>
          <t>мяг</t>
        </is>
      </c>
      <c r="M1990" s="23" t="n">
        <v>160</v>
      </c>
      <c r="N1990" s="23" t="n">
        <v>2016</v>
      </c>
      <c r="O1990" s="23" t="n">
        <v>76</v>
      </c>
      <c r="P1990" s="23" t="n"/>
      <c r="Q1990" s="23" t="n"/>
      <c r="R1990" s="25" t="n"/>
      <c r="S1990" s="26">
        <f>HYPERLINK("http://www.cnpol.ru/covers/17164.jpg","фото на сайте")</f>
        <v/>
      </c>
    </row>
    <row r="1991" ht="50.1" customHeight="1" s="3">
      <c r="A1991" s="23" t="n"/>
      <c r="B1991" s="24" t="inlineStr">
        <is>
          <t>18820</t>
        </is>
      </c>
      <c r="C1991" s="23" t="inlineStr">
        <is>
          <t>ЛР СО</t>
        </is>
      </c>
      <c r="D1991" s="23" t="inlineStr">
        <is>
          <t>Линдсей И.</t>
        </is>
      </c>
      <c r="E1991" s="23" t="inlineStr">
        <is>
          <t>Разоблаченное искушение</t>
        </is>
      </c>
      <c r="F1991" s="23" t="n">
        <v>319</v>
      </c>
      <c r="G1991" s="23" t="n">
        <v>102</v>
      </c>
      <c r="H1991" s="23" t="n">
        <v>10</v>
      </c>
      <c r="I1991" s="23" t="n">
        <v>30</v>
      </c>
      <c r="J1991" s="23" t="inlineStr">
        <is>
          <t>978-5-227-08700-3</t>
        </is>
      </c>
      <c r="K1991" s="23" t="inlineStr">
        <is>
          <t>70x100 1/32</t>
        </is>
      </c>
      <c r="L1991" s="23" t="inlineStr">
        <is>
          <t>мяг</t>
        </is>
      </c>
      <c r="M1991" s="23" t="n">
        <v>160</v>
      </c>
      <c r="N1991" s="23" t="n">
        <v>2019</v>
      </c>
      <c r="O1991" s="23" t="n">
        <v>76</v>
      </c>
      <c r="P1991" s="23" t="n"/>
      <c r="Q1991" s="23" t="n"/>
      <c r="R1991" s="25" t="n"/>
      <c r="S1991" s="26">
        <f>HYPERLINK("http://www.cnpol.ru/covers/18820.jpg","фото на сайте")</f>
        <v/>
      </c>
    </row>
    <row r="1992" ht="50.1" customHeight="1" s="3">
      <c r="A1992" s="23" t="n"/>
      <c r="B1992" s="24" t="inlineStr">
        <is>
          <t>16379</t>
        </is>
      </c>
      <c r="C1992" s="23" t="inlineStr">
        <is>
          <t>ЛР СО</t>
        </is>
      </c>
      <c r="D1992" s="23" t="inlineStr">
        <is>
          <t>Манн К.</t>
        </is>
      </c>
      <c r="E1992" s="23" t="inlineStr">
        <is>
          <t>Разреши тебя любить</t>
        </is>
      </c>
      <c r="F1992" s="23" t="n">
        <v>146</v>
      </c>
      <c r="G1992" s="23" t="n">
        <v>102</v>
      </c>
      <c r="H1992" s="23" t="n">
        <v>10</v>
      </c>
      <c r="I1992" s="23" t="n">
        <v>30</v>
      </c>
      <c r="J1992" s="23" t="inlineStr">
        <is>
          <t>978-5-227-06257-4</t>
        </is>
      </c>
      <c r="K1992" s="23" t="inlineStr">
        <is>
          <t>70x100 1/32</t>
        </is>
      </c>
      <c r="L1992" s="23" t="inlineStr">
        <is>
          <t>мяг</t>
        </is>
      </c>
      <c r="M1992" s="23" t="n">
        <v>158</v>
      </c>
      <c r="N1992" s="23" t="n">
        <v>2015</v>
      </c>
      <c r="O1992" s="23" t="n">
        <v>76</v>
      </c>
      <c r="P1992" s="23" t="n"/>
      <c r="Q1992" s="23" t="n"/>
      <c r="R1992" s="25" t="n"/>
      <c r="S1992" s="26">
        <f>HYPERLINK("http://www.cnpol.ru/covers/16379.jpg","фото на сайте")</f>
        <v/>
      </c>
    </row>
    <row r="1993" ht="50.1" customHeight="1" s="3">
      <c r="A1993" s="23" t="n"/>
      <c r="B1993" s="24" t="inlineStr">
        <is>
          <t>18064</t>
        </is>
      </c>
      <c r="C1993" s="23" t="inlineStr">
        <is>
          <t>ЛР СО</t>
        </is>
      </c>
      <c r="D1993" s="23" t="inlineStr">
        <is>
          <t>Манн К.</t>
        </is>
      </c>
      <c r="E1993" s="23" t="inlineStr">
        <is>
          <t>Рай опьяняющих ощущений</t>
        </is>
      </c>
      <c r="F1993" s="23" t="n">
        <v>262</v>
      </c>
      <c r="G1993" s="23" t="n">
        <v>102</v>
      </c>
      <c r="H1993" s="23" t="n">
        <v>10</v>
      </c>
      <c r="I1993" s="23" t="n">
        <v>30</v>
      </c>
      <c r="J1993" s="23" t="inlineStr">
        <is>
          <t>978-5-227-08095-0</t>
        </is>
      </c>
      <c r="K1993" s="23" t="inlineStr">
        <is>
          <t>70x100 1/32</t>
        </is>
      </c>
      <c r="L1993" s="23" t="inlineStr">
        <is>
          <t>мяг</t>
        </is>
      </c>
      <c r="M1993" s="23" t="n">
        <v>160</v>
      </c>
      <c r="N1993" s="23" t="n">
        <v>2018</v>
      </c>
      <c r="O1993" s="23" t="n">
        <v>76</v>
      </c>
      <c r="P1993" s="23" t="n"/>
      <c r="Q1993" s="23" t="n"/>
      <c r="R1993" s="25" t="n"/>
      <c r="S1993" s="26">
        <f>HYPERLINK("http://www.cnpol.ru/covers/18064.jpg","фото на сайте")</f>
        <v/>
      </c>
    </row>
    <row r="1994" ht="50.1" customHeight="1" s="3">
      <c r="A1994" s="23" t="n"/>
      <c r="B1994" s="24" t="inlineStr">
        <is>
          <t>18658</t>
        </is>
      </c>
      <c r="C1994" s="23" t="inlineStr">
        <is>
          <t>ЛР СО</t>
        </is>
      </c>
      <c r="D1994" s="23" t="inlineStr">
        <is>
          <t>Сэндс Ч.</t>
        </is>
      </c>
      <c r="E1994" s="23" t="inlineStr">
        <is>
          <t>Раненое сердце плейбоя</t>
        </is>
      </c>
      <c r="F1994" s="23" t="n">
        <v>307</v>
      </c>
      <c r="G1994" s="23" t="n">
        <v>102</v>
      </c>
      <c r="H1994" s="23" t="n">
        <v>10</v>
      </c>
      <c r="I1994" s="23" t="n">
        <v>30</v>
      </c>
      <c r="J1994" s="23" t="inlineStr">
        <is>
          <t>978-5-227-08552-8</t>
        </is>
      </c>
      <c r="K1994" s="23" t="inlineStr">
        <is>
          <t>70x100 1/32</t>
        </is>
      </c>
      <c r="L1994" s="23" t="inlineStr">
        <is>
          <t>мяг</t>
        </is>
      </c>
      <c r="M1994" s="23" t="n">
        <v>160</v>
      </c>
      <c r="N1994" s="23" t="n">
        <v>2019</v>
      </c>
      <c r="O1994" s="23" t="n">
        <v>78</v>
      </c>
      <c r="P1994" s="23" t="n"/>
      <c r="Q1994" s="23" t="n"/>
      <c r="R1994" s="25" t="n"/>
      <c r="S1994" s="26">
        <f>HYPERLINK("http://www.cnpol.ru/covers/18658.jpg","фото на сайте")</f>
        <v/>
      </c>
    </row>
    <row r="1995" ht="50.1" customHeight="1" s="3">
      <c r="A1995" s="23" t="n"/>
      <c r="B1995" s="24" t="inlineStr">
        <is>
          <t>18196</t>
        </is>
      </c>
      <c r="C1995" s="23" t="inlineStr">
        <is>
          <t>ЛР СО</t>
        </is>
      </c>
      <c r="D1995" s="23" t="inlineStr">
        <is>
          <t>Кэнтрелл К.</t>
        </is>
      </c>
      <c r="E1995" s="23" t="inlineStr">
        <is>
          <t>Расплата за незабываемую ночь</t>
        </is>
      </c>
      <c r="F1995" s="23" t="n">
        <v>269</v>
      </c>
      <c r="G1995" s="23" t="n">
        <v>102</v>
      </c>
      <c r="H1995" s="23" t="n">
        <v>10</v>
      </c>
      <c r="I1995" s="23" t="n">
        <v>30</v>
      </c>
      <c r="J1995" s="23" t="inlineStr">
        <is>
          <t>978-5-227-08160-5</t>
        </is>
      </c>
      <c r="K1995" s="23" t="inlineStr">
        <is>
          <t>70x100 1/32</t>
        </is>
      </c>
      <c r="L1995" s="23" t="inlineStr">
        <is>
          <t>мяг</t>
        </is>
      </c>
      <c r="M1995" s="23" t="n">
        <v>160</v>
      </c>
      <c r="N1995" s="23" t="n">
        <v>2018</v>
      </c>
      <c r="O1995" s="23" t="n">
        <v>76</v>
      </c>
      <c r="P1995" s="23" t="n"/>
      <c r="Q1995" s="23" t="n"/>
      <c r="R1995" s="25" t="n"/>
      <c r="S1995" s="26">
        <f>HYPERLINK("http://www.cnpol.ru/covers/18196.jpg","фото на сайте")</f>
        <v/>
      </c>
    </row>
    <row r="1996" ht="50.1" customHeight="1" s="3">
      <c r="A1996" s="23" t="n"/>
      <c r="B1996" s="24" t="inlineStr">
        <is>
          <t>16329</t>
        </is>
      </c>
      <c r="C1996" s="23" t="inlineStr">
        <is>
          <t>ЛР СО</t>
        </is>
      </c>
      <c r="D1996" s="23" t="inlineStr">
        <is>
          <t>Беннет Д.</t>
        </is>
      </c>
      <c r="E1996" s="23" t="inlineStr">
        <is>
          <t>Растаять в твоих объятиях</t>
        </is>
      </c>
      <c r="F1996" s="23" t="n">
        <v>141</v>
      </c>
      <c r="G1996" s="23" t="n">
        <v>102</v>
      </c>
      <c r="H1996" s="23" t="n">
        <v>10</v>
      </c>
      <c r="I1996" s="23" t="n">
        <v>30</v>
      </c>
      <c r="J1996" s="23" t="inlineStr">
        <is>
          <t>978-5-227-06197-3</t>
        </is>
      </c>
      <c r="K1996" s="23" t="inlineStr">
        <is>
          <t>70x100 1/32</t>
        </is>
      </c>
      <c r="L1996" s="23" t="inlineStr">
        <is>
          <t>мяг</t>
        </is>
      </c>
      <c r="M1996" s="23" t="n">
        <v>158</v>
      </c>
      <c r="N1996" s="23" t="n">
        <v>2015</v>
      </c>
      <c r="O1996" s="23" t="n">
        <v>76</v>
      </c>
      <c r="P1996" s="23" t="n"/>
      <c r="Q1996" s="23" t="n"/>
      <c r="R1996" s="25" t="n"/>
      <c r="S1996" s="26">
        <f>HYPERLINK("http://www.cnpol.ru/covers/16329.jpg","фото на сайте")</f>
        <v/>
      </c>
    </row>
    <row r="1997" ht="50.1" customHeight="1" s="3">
      <c r="A1997" s="23" t="n"/>
      <c r="B1997" s="24" t="inlineStr">
        <is>
          <t>19559</t>
        </is>
      </c>
      <c r="C1997" s="23" t="inlineStr">
        <is>
          <t>ЛР СО</t>
        </is>
      </c>
      <c r="D1997" s="23" t="inlineStr">
        <is>
          <t>Бут К.</t>
        </is>
      </c>
      <c r="E1997" s="23" t="inlineStr">
        <is>
          <t>Рискнуть всем ради любви</t>
        </is>
      </c>
      <c r="F1997" s="23" t="n">
        <v>369</v>
      </c>
      <c r="G1997" s="23" t="n">
        <v>102</v>
      </c>
      <c r="H1997" s="23" t="n">
        <v>10</v>
      </c>
      <c r="I1997" s="23" t="n">
        <v>30</v>
      </c>
      <c r="J1997" s="23" t="inlineStr">
        <is>
          <t>978-5-227-09159-8</t>
        </is>
      </c>
      <c r="K1997" s="23" t="inlineStr">
        <is>
          <t>70x100 1/32</t>
        </is>
      </c>
      <c r="L1997" s="23" t="inlineStr">
        <is>
          <t>мяг</t>
        </is>
      </c>
      <c r="M1997" s="23" t="n">
        <v>160</v>
      </c>
      <c r="N1997" s="23" t="n">
        <v>2021</v>
      </c>
      <c r="O1997" s="23" t="n">
        <v>76</v>
      </c>
      <c r="P1997" s="23" t="n"/>
      <c r="Q1997" s="23" t="n"/>
      <c r="R1997" s="25" t="n"/>
      <c r="S1997" s="26">
        <f>HYPERLINK("http://www.cnpol.ru/covers/19559.jpg","фото на сайте")</f>
        <v/>
      </c>
    </row>
    <row r="1998" ht="50.1" customHeight="1" s="3">
      <c r="A1998" s="23" t="n"/>
      <c r="B1998" s="24" t="inlineStr">
        <is>
          <t>17786</t>
        </is>
      </c>
      <c r="C1998" s="23" t="inlineStr">
        <is>
          <t>ЛР СО</t>
        </is>
      </c>
      <c r="D1998" s="23" t="inlineStr">
        <is>
          <t>Гейтс О.</t>
        </is>
      </c>
      <c r="E1998" s="23" t="inlineStr">
        <is>
          <t>Роковое наваждение</t>
        </is>
      </c>
      <c r="F1998" s="23" t="n">
        <v>243</v>
      </c>
      <c r="G1998" s="23" t="n">
        <v>102</v>
      </c>
      <c r="H1998" s="23" t="n">
        <v>10</v>
      </c>
      <c r="I1998" s="23" t="n">
        <v>30</v>
      </c>
      <c r="J1998" s="23" t="inlineStr">
        <is>
          <t>978-5-227-07732-5</t>
        </is>
      </c>
      <c r="K1998" s="23" t="inlineStr">
        <is>
          <t>70x100 1/32</t>
        </is>
      </c>
      <c r="L1998" s="23" t="inlineStr">
        <is>
          <t>мяг</t>
        </is>
      </c>
      <c r="M1998" s="23" t="n">
        <v>160</v>
      </c>
      <c r="N1998" s="23" t="n">
        <v>2017</v>
      </c>
      <c r="O1998" s="23" t="n">
        <v>76</v>
      </c>
      <c r="P1998" s="23" t="n"/>
      <c r="Q1998" s="23" t="n"/>
      <c r="R1998" s="25" t="n"/>
      <c r="S1998" s="26">
        <f>HYPERLINK("http://www.cnpol.ru/covers/17786.jpg","фото на сайте")</f>
        <v/>
      </c>
    </row>
    <row r="1999" ht="50.1" customHeight="1" s="3">
      <c r="A1999" s="23" t="n"/>
      <c r="B1999" s="24" t="inlineStr">
        <is>
          <t>16951</t>
        </is>
      </c>
      <c r="C1999" s="23" t="inlineStr">
        <is>
          <t>ЛР СО</t>
        </is>
      </c>
      <c r="D1999" s="23" t="inlineStr">
        <is>
          <t>Шоу Ш.</t>
        </is>
      </c>
      <c r="E1999" s="23" t="inlineStr">
        <is>
          <t>Роковой миг наслаждения</t>
        </is>
      </c>
      <c r="F1999" s="23" t="n">
        <v>182</v>
      </c>
      <c r="G1999" s="23" t="n">
        <v>102</v>
      </c>
      <c r="H1999" s="23" t="n">
        <v>10</v>
      </c>
      <c r="I1999" s="23" t="n">
        <v>30</v>
      </c>
      <c r="J1999" s="23" t="inlineStr">
        <is>
          <t>978-5-227-06923-8</t>
        </is>
      </c>
      <c r="K1999" s="23" t="inlineStr">
        <is>
          <t>70x100 1/32</t>
        </is>
      </c>
      <c r="L1999" s="23" t="inlineStr">
        <is>
          <t>мяг</t>
        </is>
      </c>
      <c r="M1999" s="23" t="n">
        <v>160</v>
      </c>
      <c r="N1999" s="23" t="n">
        <v>2016</v>
      </c>
      <c r="O1999" s="23" t="n">
        <v>76</v>
      </c>
      <c r="P1999" s="23" t="n"/>
      <c r="Q1999" s="23" t="n"/>
      <c r="R1999" s="25" t="n"/>
      <c r="S1999" s="26">
        <f>HYPERLINK("http://www.cnpol.ru/covers/16951.jpg","фото на сайте")</f>
        <v/>
      </c>
    </row>
    <row r="2000" ht="50.1" customHeight="1" s="3">
      <c r="A2000" s="23" t="n"/>
      <c r="B2000" s="24" t="inlineStr">
        <is>
          <t>20501</t>
        </is>
      </c>
      <c r="C2000" s="23" t="inlineStr">
        <is>
          <t>ЛР СО</t>
        </is>
      </c>
      <c r="D2000" s="23" t="inlineStr">
        <is>
          <t>Райс Х.</t>
        </is>
      </c>
      <c r="E2000" s="23" t="inlineStr">
        <is>
          <t>Романтический ультиматум</t>
        </is>
      </c>
      <c r="F2000" s="23" t="n">
        <v>419</v>
      </c>
      <c r="G2000" s="23" t="n">
        <v>102</v>
      </c>
      <c r="H2000" s="23" t="n">
        <v>10</v>
      </c>
      <c r="I2000" s="23" t="n">
        <v>30</v>
      </c>
      <c r="J2000" s="23" t="inlineStr">
        <is>
          <t>978-5-227-10144-0</t>
        </is>
      </c>
      <c r="K2000" s="23" t="inlineStr">
        <is>
          <t>70x100 1/32</t>
        </is>
      </c>
      <c r="L2000" s="23" t="inlineStr">
        <is>
          <t>мяг</t>
        </is>
      </c>
      <c r="M2000" s="23" t="n">
        <v>159</v>
      </c>
      <c r="N2000" s="23" t="n">
        <v>2023</v>
      </c>
      <c r="O2000" s="23" t="n">
        <v>76</v>
      </c>
      <c r="P2000" s="23" t="n"/>
      <c r="Q2000" s="23" t="n"/>
      <c r="R2000" s="25" t="inlineStr">
        <is>
          <t>В юном возрасте Росс де Кортни решает, что не хочет детей, и делает операцию. Когда мимолетная влюбленность заканчивается новостью о том, что он скоро станет папой, Росс решает, что его обманывают ради денег. Все перевернется в самый неподходящий момент — когда Росс решит спасти свою сестру от неудачного брака… Сможет ли Росс стать достойным отцом своему трехлетнему сыну?</t>
        </is>
      </c>
      <c r="S2000" s="26">
        <f>HYPERLINK("http://www.cnpol.ru/covers/20501.jpg","фото на сайте")</f>
        <v/>
      </c>
    </row>
    <row r="2001" ht="50.1" customHeight="1" s="3">
      <c r="A2001" s="23" t="n"/>
      <c r="B2001" s="24" t="inlineStr">
        <is>
          <t>19737</t>
        </is>
      </c>
      <c r="C2001" s="23" t="inlineStr">
        <is>
          <t>ЛР СО</t>
        </is>
      </c>
      <c r="D2001" s="23" t="inlineStr">
        <is>
          <t>Коннелли К.</t>
        </is>
      </c>
      <c r="E2001" s="23" t="inlineStr">
        <is>
          <t>С тобой мое сердце</t>
        </is>
      </c>
      <c r="F2001" s="23" t="n">
        <v>380</v>
      </c>
      <c r="G2001" s="23" t="n">
        <v>102</v>
      </c>
      <c r="H2001" s="23" t="n">
        <v>10</v>
      </c>
      <c r="I2001" s="23" t="n">
        <v>30</v>
      </c>
      <c r="J2001" s="23" t="inlineStr">
        <is>
          <t>978-5-227-09405-6</t>
        </is>
      </c>
      <c r="K2001" s="23" t="inlineStr">
        <is>
          <t>70x100 1/32</t>
        </is>
      </c>
      <c r="L2001" s="23" t="inlineStr">
        <is>
          <t>мяг</t>
        </is>
      </c>
      <c r="M2001" s="23" t="n">
        <v>160</v>
      </c>
      <c r="N2001" s="23" t="n">
        <v>2021</v>
      </c>
      <c r="O2001" s="23" t="n">
        <v>76</v>
      </c>
      <c r="P2001" s="23" t="n"/>
      <c r="Q2001" s="23" t="n"/>
      <c r="R2001" s="25" t="n"/>
      <c r="S2001" s="26">
        <f>HYPERLINK("http://www.cnpol.ru/covers/19737.jpg","фото на сайте")</f>
        <v/>
      </c>
    </row>
    <row r="2002" ht="50.1" customHeight="1" s="3">
      <c r="A2002" s="23" t="n"/>
      <c r="B2002" s="24" t="inlineStr">
        <is>
          <t>17437</t>
        </is>
      </c>
      <c r="C2002" s="23" t="inlineStr">
        <is>
          <t>ЛР СО</t>
        </is>
      </c>
      <c r="D2002" s="23" t="inlineStr">
        <is>
          <t>Эйтс М.</t>
        </is>
      </c>
      <c r="E2002" s="23" t="inlineStr">
        <is>
          <t>Самая великолепная ночь</t>
        </is>
      </c>
      <c r="F2002" s="23" t="n">
        <v>215</v>
      </c>
      <c r="G2002" s="23" t="n">
        <v>102</v>
      </c>
      <c r="H2002" s="23" t="n">
        <v>10</v>
      </c>
      <c r="I2002" s="23" t="n">
        <v>30</v>
      </c>
      <c r="J2002" s="23" t="inlineStr">
        <is>
          <t>978-5-227-07458-4</t>
        </is>
      </c>
      <c r="K2002" s="23" t="inlineStr">
        <is>
          <t>70x100 1/32</t>
        </is>
      </c>
      <c r="L2002" s="23" t="inlineStr">
        <is>
          <t>мяг</t>
        </is>
      </c>
      <c r="M2002" s="23" t="n">
        <v>160</v>
      </c>
      <c r="N2002" s="23" t="n">
        <v>2017</v>
      </c>
      <c r="O2002" s="23" t="n">
        <v>76</v>
      </c>
      <c r="P2002" s="23" t="n"/>
      <c r="Q2002" s="23" t="n"/>
      <c r="R2002" s="25" t="n"/>
      <c r="S2002" s="26">
        <f>HYPERLINK("http://www.cnpol.ru/covers/17437.jpg","фото на сайте")</f>
        <v/>
      </c>
    </row>
    <row r="2003" ht="50.1" customHeight="1" s="3">
      <c r="A2003" s="23" t="n"/>
      <c r="B2003" s="24" t="inlineStr">
        <is>
          <t>18001</t>
        </is>
      </c>
      <c r="C2003" s="23" t="inlineStr">
        <is>
          <t>ЛР СО</t>
        </is>
      </c>
      <c r="D2003" s="23" t="inlineStr">
        <is>
          <t>Орвиг С.</t>
        </is>
      </c>
      <c r="E2003" s="23" t="inlineStr">
        <is>
          <t>Самая смелая фантазия</t>
        </is>
      </c>
      <c r="F2003" s="23" t="n">
        <v>258</v>
      </c>
      <c r="G2003" s="23" t="n">
        <v>102</v>
      </c>
      <c r="H2003" s="23" t="n">
        <v>10</v>
      </c>
      <c r="I2003" s="23" t="n">
        <v>30</v>
      </c>
      <c r="J2003" s="23" t="inlineStr">
        <is>
          <t>978-5-227-08026-4</t>
        </is>
      </c>
      <c r="K2003" s="23" t="inlineStr">
        <is>
          <t>70x100 1/32</t>
        </is>
      </c>
      <c r="L2003" s="23" t="inlineStr">
        <is>
          <t>мяг</t>
        </is>
      </c>
      <c r="M2003" s="23" t="n">
        <v>160</v>
      </c>
      <c r="N2003" s="23" t="n">
        <v>2018</v>
      </c>
      <c r="O2003" s="23" t="n">
        <v>76</v>
      </c>
      <c r="P2003" s="23" t="n"/>
      <c r="Q2003" s="23" t="n"/>
      <c r="R2003" s="25" t="n"/>
      <c r="S2003" s="26">
        <f>HYPERLINK("http://www.cnpol.ru/covers/18001.jpg","фото на сайте")</f>
        <v/>
      </c>
    </row>
    <row r="2004" ht="50.1" customHeight="1" s="3">
      <c r="A2004" s="23" t="n"/>
      <c r="B2004" s="24" t="inlineStr">
        <is>
          <t>16052</t>
        </is>
      </c>
      <c r="C2004" s="23" t="inlineStr">
        <is>
          <t>ЛР СО</t>
        </is>
      </c>
      <c r="D2004" s="23" t="inlineStr">
        <is>
          <t>Мори Т.</t>
        </is>
      </c>
      <c r="E2004" s="23" t="inlineStr">
        <is>
          <t>Само искушение</t>
        </is>
      </c>
      <c r="F2004" s="23" t="n">
        <v>122</v>
      </c>
      <c r="G2004" s="23" t="n">
        <v>102</v>
      </c>
      <c r="H2004" s="23" t="n">
        <v>10</v>
      </c>
      <c r="I2004" s="23" t="n">
        <v>30</v>
      </c>
      <c r="J2004" s="23" t="inlineStr">
        <is>
          <t>978-5-227-06063-1</t>
        </is>
      </c>
      <c r="K2004" s="23" t="inlineStr">
        <is>
          <t>70x100 1/32</t>
        </is>
      </c>
      <c r="L2004" s="23" t="inlineStr">
        <is>
          <t>мяг</t>
        </is>
      </c>
      <c r="M2004" s="23" t="n">
        <v>158</v>
      </c>
      <c r="N2004" s="23" t="n">
        <v>2015</v>
      </c>
      <c r="O2004" s="23" t="n">
        <v>76</v>
      </c>
      <c r="P2004" s="23" t="n"/>
      <c r="Q2004" s="23" t="n"/>
      <c r="R2004" s="25" t="n"/>
      <c r="S2004" s="26">
        <f>HYPERLINK("http://www.cnpol.ru/covers/16052.jpg","фото на сайте")</f>
        <v/>
      </c>
    </row>
    <row r="2005" ht="50.1" customHeight="1" s="3">
      <c r="A2005" s="23" t="n"/>
      <c r="B2005" s="24" t="inlineStr">
        <is>
          <t>16111</t>
        </is>
      </c>
      <c r="C2005" s="23" t="inlineStr">
        <is>
          <t>ЛР СО</t>
        </is>
      </c>
      <c r="D2005" s="23" t="inlineStr">
        <is>
          <t>Лоренс А.</t>
        </is>
      </c>
      <c r="E2005" s="23" t="inlineStr">
        <is>
          <t>Самый большой секрет</t>
        </is>
      </c>
      <c r="F2005" s="23" t="n">
        <v>126</v>
      </c>
      <c r="G2005" s="23" t="n">
        <v>102</v>
      </c>
      <c r="H2005" s="23" t="n">
        <v>10</v>
      </c>
      <c r="I2005" s="23" t="n">
        <v>30</v>
      </c>
      <c r="J2005" s="23" t="inlineStr">
        <is>
          <t>978-5-227-06106-5</t>
        </is>
      </c>
      <c r="K2005" s="23" t="inlineStr">
        <is>
          <t>70x100 1/32</t>
        </is>
      </c>
      <c r="L2005" s="23" t="inlineStr">
        <is>
          <t>мяг</t>
        </is>
      </c>
      <c r="M2005" s="23" t="n">
        <v>158</v>
      </c>
      <c r="N2005" s="23" t="n">
        <v>2015</v>
      </c>
      <c r="O2005" s="23" t="n">
        <v>76</v>
      </c>
      <c r="P2005" s="23" t="n"/>
      <c r="Q2005" s="23" t="n"/>
      <c r="R2005" s="25" t="n"/>
      <c r="S2005" s="26">
        <f>HYPERLINK("http://www.cnpol.ru/covers/16111.jpg","фото на сайте")</f>
        <v/>
      </c>
    </row>
    <row r="2006" ht="50.1" customHeight="1" s="3">
      <c r="A2006" s="23" t="n"/>
      <c r="B2006" s="24" t="inlineStr">
        <is>
          <t>17797</t>
        </is>
      </c>
      <c r="C2006" s="23" t="inlineStr">
        <is>
          <t>ЛР СО</t>
        </is>
      </c>
      <c r="D2006" s="23" t="inlineStr">
        <is>
          <t>Бетс Хейди</t>
        </is>
      </c>
      <c r="E2006" s="23" t="inlineStr">
        <is>
          <t>Сбежавшая невеста</t>
        </is>
      </c>
      <c r="F2006" s="23" t="n">
        <v>244</v>
      </c>
      <c r="G2006" s="23" t="n">
        <v>102</v>
      </c>
      <c r="H2006" s="23" t="n">
        <v>10</v>
      </c>
      <c r="I2006" s="23" t="n">
        <v>30</v>
      </c>
      <c r="J2006" s="23" t="inlineStr">
        <is>
          <t>978-5-227-07758-5</t>
        </is>
      </c>
      <c r="K2006" s="23" t="inlineStr">
        <is>
          <t>70x100 1/32</t>
        </is>
      </c>
      <c r="L2006" s="23" t="inlineStr">
        <is>
          <t>мяг</t>
        </is>
      </c>
      <c r="M2006" s="23" t="n">
        <v>160</v>
      </c>
      <c r="N2006" s="23" t="n">
        <v>2017</v>
      </c>
      <c r="O2006" s="23" t="n">
        <v>76</v>
      </c>
      <c r="P2006" s="23" t="n"/>
      <c r="Q2006" s="23" t="n"/>
      <c r="R2006" s="25" t="n"/>
      <c r="S2006" s="26">
        <f>HYPERLINK("http://www.cnpol.ru/covers/17797.jpg","фото на сайте")</f>
        <v/>
      </c>
    </row>
    <row r="2007" ht="50.1" customHeight="1" s="3">
      <c r="A2007" s="23" t="n"/>
      <c r="B2007" s="24" t="inlineStr">
        <is>
          <t>20110</t>
        </is>
      </c>
      <c r="C2007" s="23" t="inlineStr">
        <is>
          <t>ЛР СО</t>
        </is>
      </c>
      <c r="D2007" s="23" t="inlineStr">
        <is>
          <t>Мортимер К.</t>
        </is>
      </c>
      <c r="E2007" s="23" t="inlineStr">
        <is>
          <t>Свадебный подарок плейбою</t>
        </is>
      </c>
      <c r="F2007" s="23" t="n">
        <v>398</v>
      </c>
      <c r="G2007" s="23" t="n">
        <v>102</v>
      </c>
      <c r="H2007" s="23" t="n">
        <v>10</v>
      </c>
      <c r="I2007" s="23" t="n">
        <v>30</v>
      </c>
      <c r="J2007" s="23" t="inlineStr">
        <is>
          <t>978-5-227-09809-2</t>
        </is>
      </c>
      <c r="K2007" s="23" t="inlineStr">
        <is>
          <t>70x100 1/32</t>
        </is>
      </c>
      <c r="L2007" s="23" t="inlineStr">
        <is>
          <t>мяг</t>
        </is>
      </c>
      <c r="M2007" s="23" t="n">
        <v>159</v>
      </c>
      <c r="N2007" s="23" t="n">
        <v>2022</v>
      </c>
      <c r="O2007" s="23" t="n">
        <v>76</v>
      </c>
      <c r="P2007" s="23" t="n"/>
      <c r="Q2007" s="23" t="n"/>
      <c r="R2007" s="25" t="n"/>
      <c r="S2007" s="26">
        <f>HYPERLINK("http://www.cnpol.ru/covers/20110.jpg","фото на сайте")</f>
        <v/>
      </c>
    </row>
    <row r="2008" ht="50.1" customHeight="1" s="3">
      <c r="A2008" s="23" t="n"/>
      <c r="B2008" s="24" t="inlineStr">
        <is>
          <t>19384</t>
        </is>
      </c>
      <c r="C2008" s="23" t="inlineStr">
        <is>
          <t>ЛР СО</t>
        </is>
      </c>
      <c r="D2008" s="23" t="inlineStr">
        <is>
          <t>Крюс К.</t>
        </is>
      </c>
      <c r="E2008" s="23" t="inlineStr">
        <is>
          <t>Свадьба без согласия невесты</t>
        </is>
      </c>
      <c r="F2008" s="23" t="n">
        <v>362</v>
      </c>
      <c r="G2008" s="23" t="n">
        <v>102</v>
      </c>
      <c r="H2008" s="23" t="n">
        <v>10</v>
      </c>
      <c r="I2008" s="23" t="n">
        <v>30</v>
      </c>
      <c r="J2008" s="23" t="inlineStr">
        <is>
          <t>978-5-227-09118-5</t>
        </is>
      </c>
      <c r="K2008" s="23" t="inlineStr">
        <is>
          <t>70x100 1/32</t>
        </is>
      </c>
      <c r="L2008" s="23" t="inlineStr">
        <is>
          <t>мяг</t>
        </is>
      </c>
      <c r="M2008" s="23" t="n">
        <v>160</v>
      </c>
      <c r="N2008" s="23" t="n">
        <v>2020</v>
      </c>
      <c r="O2008" s="23" t="n">
        <v>76</v>
      </c>
      <c r="P2008" s="23" t="n"/>
      <c r="Q2008" s="23" t="n"/>
      <c r="R2008" s="25" t="n"/>
      <c r="S2008" s="26">
        <f>HYPERLINK("http://www.cnpol.ru/covers/19384.jpg","фото на сайте")</f>
        <v/>
      </c>
    </row>
    <row r="2009" ht="50.1" customHeight="1" s="3">
      <c r="A2009" s="23" t="n"/>
      <c r="B2009" s="24" t="inlineStr">
        <is>
          <t>20763</t>
        </is>
      </c>
      <c r="C2009" s="23" t="inlineStr">
        <is>
          <t>ЛР СО</t>
        </is>
      </c>
      <c r="D2009" s="23" t="inlineStr">
        <is>
          <t>Коллинз Д.</t>
        </is>
      </c>
      <c r="E2009" s="23" t="inlineStr">
        <is>
          <t>Свадьба любой ценой</t>
        </is>
      </c>
      <c r="F2009" s="23" t="n">
        <v>432</v>
      </c>
      <c r="G2009" s="23" t="n">
        <v>102</v>
      </c>
      <c r="H2009" s="23" t="n">
        <v>10</v>
      </c>
      <c r="I2009" s="23" t="n">
        <v>30</v>
      </c>
      <c r="J2009" s="23" t="inlineStr">
        <is>
          <t>978-5-227-10346-8</t>
        </is>
      </c>
      <c r="K2009" s="23" t="inlineStr">
        <is>
          <t>70x100 1/32</t>
        </is>
      </c>
      <c r="L2009" s="23" t="inlineStr">
        <is>
          <t>мяг</t>
        </is>
      </c>
      <c r="M2009" s="23" t="n">
        <v>159</v>
      </c>
      <c r="N2009" s="23" t="n">
        <v>2023</v>
      </c>
      <c r="O2009" s="23" t="n">
        <v>76</v>
      </c>
      <c r="P2009" s="23" t="n"/>
      <c r="Q2009" s="23" t="n"/>
      <c r="R2009" s="25" t="inlineStr">
        <is>
          <t>Когда Амелия Линдор решила сообщить своему любовнику Хантеру Уэверли, что родила от него, выяснилось, что он собирается жениться на другой. Отец Амелии срывает свадьбу и устраивает грандиозный скандал. Но оказалось, Хантер совсем не против такого развития событий…</t>
        </is>
      </c>
      <c r="S2009" s="26">
        <f>HYPERLINK("http://www.cnpol.ru/covers/20763.jpg","фото на сайте")</f>
        <v/>
      </c>
    </row>
    <row r="2010" ht="50.1" customHeight="1" s="3">
      <c r="A2010" s="23" t="n"/>
      <c r="B2010" s="24" t="inlineStr">
        <is>
          <t>19598</t>
        </is>
      </c>
      <c r="C2010" s="23" t="inlineStr">
        <is>
          <t>ЛР СО</t>
        </is>
      </c>
      <c r="D2010" s="23" t="inlineStr">
        <is>
          <t>Мори Т.</t>
        </is>
      </c>
      <c r="E2010" s="23" t="inlineStr">
        <is>
          <t>Свидание в Венеции</t>
        </is>
      </c>
      <c r="F2010" s="23" t="n">
        <v>372</v>
      </c>
      <c r="G2010" s="23" t="n">
        <v>102</v>
      </c>
      <c r="H2010" s="23" t="n">
        <v>10</v>
      </c>
      <c r="I2010" s="23" t="n">
        <v>30</v>
      </c>
      <c r="J2010" s="23" t="inlineStr">
        <is>
          <t>978-5-227-09207-6</t>
        </is>
      </c>
      <c r="K2010" s="23" t="inlineStr">
        <is>
          <t>70x100 1/32</t>
        </is>
      </c>
      <c r="L2010" s="23" t="inlineStr">
        <is>
          <t>мяг</t>
        </is>
      </c>
      <c r="M2010" s="23" t="n">
        <v>160</v>
      </c>
      <c r="N2010" s="23" t="n">
        <v>2021</v>
      </c>
      <c r="O2010" s="23" t="n">
        <v>76</v>
      </c>
      <c r="P2010" s="23" t="n"/>
      <c r="Q2010" s="23" t="n"/>
      <c r="R2010" s="25" t="n"/>
      <c r="S2010" s="26">
        <f>HYPERLINK("http://www.cnpol.ru/covers/19598.jpg","фото на сайте")</f>
        <v/>
      </c>
    </row>
    <row r="2011" ht="50.1" customHeight="1" s="3">
      <c r="A2011" s="23" t="n"/>
      <c r="B2011" s="24" t="inlineStr">
        <is>
          <t>18909</t>
        </is>
      </c>
      <c r="C2011" s="23" t="inlineStr">
        <is>
          <t>ЛР СО</t>
        </is>
      </c>
      <c r="D2011" s="23" t="inlineStr">
        <is>
          <t>Андерсон С.</t>
        </is>
      </c>
      <c r="E2011" s="23" t="inlineStr">
        <is>
          <t>Свидание у озера Мичиган</t>
        </is>
      </c>
      <c r="F2011" s="23" t="n">
        <v>327</v>
      </c>
      <c r="G2011" s="23" t="n">
        <v>102</v>
      </c>
      <c r="H2011" s="23" t="n">
        <v>10</v>
      </c>
      <c r="I2011" s="23" t="n">
        <v>30</v>
      </c>
      <c r="J2011" s="23" t="inlineStr">
        <is>
          <t>978-5-227-08777-5</t>
        </is>
      </c>
      <c r="K2011" s="23" t="inlineStr">
        <is>
          <t>70x100 1/32</t>
        </is>
      </c>
      <c r="L2011" s="23" t="inlineStr">
        <is>
          <t>мяг</t>
        </is>
      </c>
      <c r="M2011" s="23" t="n">
        <v>160</v>
      </c>
      <c r="N2011" s="23" t="n">
        <v>2019</v>
      </c>
      <c r="O2011" s="23" t="n">
        <v>76</v>
      </c>
      <c r="P2011" s="23" t="n"/>
      <c r="Q2011" s="23" t="n"/>
      <c r="R2011" s="25" t="n"/>
      <c r="S2011" s="26">
        <f>HYPERLINK("http://www.cnpol.ru/covers/18909.jpg","фото на сайте")</f>
        <v/>
      </c>
    </row>
    <row r="2012" ht="50.1" customHeight="1" s="3">
      <c r="A2012" s="23" t="n"/>
      <c r="B2012" s="24" t="inlineStr">
        <is>
          <t>16177</t>
        </is>
      </c>
      <c r="C2012" s="23" t="inlineStr">
        <is>
          <t>ЛР СО</t>
        </is>
      </c>
      <c r="D2012" s="23" t="inlineStr">
        <is>
          <t>Лоренс А.</t>
        </is>
      </c>
      <c r="E2012" s="23" t="inlineStr">
        <is>
          <t>Секрет его возлюбленной</t>
        </is>
      </c>
      <c r="F2012" s="23" t="n">
        <v>133</v>
      </c>
      <c r="G2012" s="23" t="n">
        <v>102</v>
      </c>
      <c r="H2012" s="23" t="n">
        <v>10</v>
      </c>
      <c r="I2012" s="23" t="n">
        <v>30</v>
      </c>
      <c r="J2012" s="23" t="inlineStr">
        <is>
          <t>978-5-227-06149-2</t>
        </is>
      </c>
      <c r="K2012" s="23" t="inlineStr">
        <is>
          <t>70x100 1/32</t>
        </is>
      </c>
      <c r="L2012" s="23" t="inlineStr">
        <is>
          <t>мяг</t>
        </is>
      </c>
      <c r="M2012" s="23" t="n">
        <v>158</v>
      </c>
      <c r="N2012" s="23" t="n">
        <v>2015</v>
      </c>
      <c r="O2012" s="23" t="n">
        <v>76</v>
      </c>
      <c r="P2012" s="23" t="n"/>
      <c r="Q2012" s="23" t="n"/>
      <c r="R2012" s="25" t="n"/>
      <c r="S2012" s="26">
        <f>HYPERLINK("http://www.cnpol.ru/covers/16177.jpg","фото на сайте")</f>
        <v/>
      </c>
    </row>
    <row r="2013" ht="50.1" customHeight="1" s="3">
      <c r="A2013" s="23" t="n"/>
      <c r="B2013" s="24" t="inlineStr">
        <is>
          <t>16172</t>
        </is>
      </c>
      <c r="C2013" s="23" t="inlineStr">
        <is>
          <t>ЛР СО</t>
        </is>
      </c>
      <c r="D2013" s="23" t="inlineStr">
        <is>
          <t>Милберн М.</t>
        </is>
      </c>
      <c r="E2013" s="23" t="inlineStr">
        <is>
          <t>Сердце на замке</t>
        </is>
      </c>
      <c r="F2013" s="23" t="n">
        <v>132</v>
      </c>
      <c r="G2013" s="23" t="n">
        <v>102</v>
      </c>
      <c r="H2013" s="23" t="n">
        <v>10</v>
      </c>
      <c r="I2013" s="23" t="n">
        <v>30</v>
      </c>
      <c r="J2013" s="23" t="inlineStr">
        <is>
          <t>978-5-227-06148-5</t>
        </is>
      </c>
      <c r="K2013" s="23" t="inlineStr">
        <is>
          <t>70x100 1/32</t>
        </is>
      </c>
      <c r="L2013" s="23" t="inlineStr">
        <is>
          <t>мяг</t>
        </is>
      </c>
      <c r="M2013" s="23" t="n">
        <v>158</v>
      </c>
      <c r="N2013" s="23" t="n">
        <v>2015</v>
      </c>
      <c r="O2013" s="23" t="n">
        <v>76</v>
      </c>
      <c r="P2013" s="23" t="n"/>
      <c r="Q2013" s="23" t="n"/>
      <c r="R2013" s="25" t="n"/>
      <c r="S2013" s="26">
        <f>HYPERLINK("http://www.cnpol.ru/covers/16172.jpg","фото на сайте")</f>
        <v/>
      </c>
    </row>
    <row r="2014" ht="50.1" customHeight="1" s="3">
      <c r="A2014" s="23" t="n"/>
      <c r="B2014" s="24" t="inlineStr">
        <is>
          <t>17622</t>
        </is>
      </c>
      <c r="C2014" s="23" t="inlineStr">
        <is>
          <t>ЛР СО</t>
        </is>
      </c>
      <c r="D2014" s="23" t="inlineStr">
        <is>
          <t>Бут К.</t>
        </is>
      </c>
      <c r="E2014" s="23" t="inlineStr">
        <is>
          <t>Сердцеедка со стажем</t>
        </is>
      </c>
      <c r="F2014" s="23" t="n">
        <v>231</v>
      </c>
      <c r="G2014" s="23" t="n">
        <v>102</v>
      </c>
      <c r="H2014" s="23" t="n">
        <v>10</v>
      </c>
      <c r="I2014" s="23" t="n">
        <v>30</v>
      </c>
      <c r="J2014" s="23" t="inlineStr">
        <is>
          <t>978-5-227-07685-4</t>
        </is>
      </c>
      <c r="K2014" s="23" t="inlineStr">
        <is>
          <t>70x100 1/32</t>
        </is>
      </c>
      <c r="L2014" s="23" t="inlineStr">
        <is>
          <t>мяг</t>
        </is>
      </c>
      <c r="M2014" s="23" t="n">
        <v>160</v>
      </c>
      <c r="N2014" s="23" t="n">
        <v>2017</v>
      </c>
      <c r="O2014" s="23" t="n">
        <v>76</v>
      </c>
      <c r="P2014" s="23" t="n"/>
      <c r="Q2014" s="23" t="n"/>
      <c r="R2014" s="25" t="n"/>
      <c r="S2014" s="26">
        <f>HYPERLINK("http://www.cnpol.ru/covers/17622.jpg","фото на сайте")</f>
        <v/>
      </c>
    </row>
    <row r="2015" ht="50.1" customHeight="1" s="3">
      <c r="A2015" s="23" t="n"/>
      <c r="B2015" s="24" t="inlineStr">
        <is>
          <t>17959</t>
        </is>
      </c>
      <c r="C2015" s="23" t="inlineStr">
        <is>
          <t>ЛР СО</t>
        </is>
      </c>
      <c r="D2015" s="23" t="inlineStr">
        <is>
          <t>Линдсей И.</t>
        </is>
      </c>
      <c r="E2015" s="23" t="inlineStr">
        <is>
          <t>Сила притяжения</t>
        </is>
      </c>
      <c r="F2015" s="23" t="n">
        <v>256</v>
      </c>
      <c r="G2015" s="23" t="n">
        <v>102</v>
      </c>
      <c r="H2015" s="23" t="n">
        <v>10</v>
      </c>
      <c r="I2015" s="23" t="n">
        <v>30</v>
      </c>
      <c r="J2015" s="23" t="inlineStr">
        <is>
          <t>978-5-227-08024-0</t>
        </is>
      </c>
      <c r="K2015" s="23" t="inlineStr">
        <is>
          <t>70x100 1/32</t>
        </is>
      </c>
      <c r="L2015" s="23" t="inlineStr">
        <is>
          <t>мяг</t>
        </is>
      </c>
      <c r="M2015" s="23" t="n">
        <v>160</v>
      </c>
      <c r="N2015" s="23" t="n">
        <v>2018</v>
      </c>
      <c r="O2015" s="23" t="n">
        <v>76</v>
      </c>
      <c r="P2015" s="23" t="n"/>
      <c r="Q2015" s="23" t="n"/>
      <c r="R2015" s="25" t="n"/>
      <c r="S2015" s="26">
        <f>HYPERLINK("http://www.cnpol.ru/covers/17959.jpg","фото на сайте")</f>
        <v/>
      </c>
    </row>
    <row r="2016" ht="50.1" customHeight="1" s="3">
      <c r="A2016" s="23" t="n"/>
      <c r="B2016" s="24" t="inlineStr">
        <is>
          <t>18738</t>
        </is>
      </c>
      <c r="C2016" s="23" t="inlineStr">
        <is>
          <t>ЛР СО</t>
        </is>
      </c>
      <c r="D2016" s="23" t="inlineStr">
        <is>
          <t>Орвиг С.</t>
        </is>
      </c>
      <c r="E2016" s="23" t="inlineStr">
        <is>
          <t>Сильнее желать невозможно</t>
        </is>
      </c>
      <c r="F2016" s="23" t="n">
        <v>313</v>
      </c>
      <c r="G2016" s="23" t="n">
        <v>102</v>
      </c>
      <c r="H2016" s="23" t="n">
        <v>10</v>
      </c>
      <c r="I2016" s="23" t="n">
        <v>30</v>
      </c>
      <c r="J2016" s="23" t="inlineStr">
        <is>
          <t>978-5-227-08584-9</t>
        </is>
      </c>
      <c r="K2016" s="23" t="inlineStr">
        <is>
          <t>70x100 1/32</t>
        </is>
      </c>
      <c r="L2016" s="23" t="inlineStr">
        <is>
          <t>мяг</t>
        </is>
      </c>
      <c r="M2016" s="23" t="n">
        <v>160</v>
      </c>
      <c r="N2016" s="23" t="n">
        <v>2019</v>
      </c>
      <c r="O2016" s="23" t="n">
        <v>76</v>
      </c>
      <c r="P2016" s="23" t="n"/>
      <c r="Q2016" s="23" t="n"/>
      <c r="R2016" s="25" t="n"/>
      <c r="S2016" s="26">
        <f>HYPERLINK("http://www.cnpol.ru/covers/18738.jpg","фото на сайте")</f>
        <v/>
      </c>
    </row>
    <row r="2017" ht="50.1" customHeight="1" s="3">
      <c r="A2017" s="23" t="n"/>
      <c r="B2017" s="24" t="inlineStr">
        <is>
          <t>18140</t>
        </is>
      </c>
      <c r="C2017" s="23" t="inlineStr">
        <is>
          <t>ЛР СО</t>
        </is>
      </c>
      <c r="D2017" s="23" t="inlineStr">
        <is>
          <t>Шилд К.</t>
        </is>
      </c>
      <c r="E2017" s="23" t="inlineStr">
        <is>
          <t>Симфония давней страсти</t>
        </is>
      </c>
      <c r="F2017" s="23" t="n">
        <v>265</v>
      </c>
      <c r="G2017" s="23" t="n">
        <v>102</v>
      </c>
      <c r="H2017" s="23" t="n">
        <v>10</v>
      </c>
      <c r="I2017" s="23" t="n">
        <v>30</v>
      </c>
      <c r="J2017" s="23" t="inlineStr">
        <is>
          <t>978-5-227-08134-6</t>
        </is>
      </c>
      <c r="K2017" s="23" t="inlineStr">
        <is>
          <t>70x100 1/32</t>
        </is>
      </c>
      <c r="L2017" s="23" t="inlineStr">
        <is>
          <t>мяг</t>
        </is>
      </c>
      <c r="M2017" s="23" t="n">
        <v>160</v>
      </c>
      <c r="N2017" s="23" t="n">
        <v>2018</v>
      </c>
      <c r="O2017" s="23" t="n">
        <v>76</v>
      </c>
      <c r="P2017" s="23" t="n"/>
      <c r="Q2017" s="23" t="n"/>
      <c r="R2017" s="25" t="n"/>
      <c r="S2017" s="26">
        <f>HYPERLINK("http://www.cnpol.ru/covers/18140.jpg","фото на сайте")</f>
        <v/>
      </c>
    </row>
    <row r="2018" ht="50.1" customHeight="1" s="3">
      <c r="A2018" s="23" t="n"/>
      <c r="B2018" s="24" t="inlineStr">
        <is>
          <t>16235</t>
        </is>
      </c>
      <c r="C2018" s="23" t="inlineStr">
        <is>
          <t>ЛР СО</t>
        </is>
      </c>
      <c r="D2018" s="23" t="inlineStr">
        <is>
          <t>Гейтс О.</t>
        </is>
      </c>
      <c r="E2018" s="23" t="inlineStr">
        <is>
          <t>Сказочные ночи</t>
        </is>
      </c>
      <c r="F2018" s="23" t="n">
        <v>137</v>
      </c>
      <c r="G2018" s="23" t="n">
        <v>102</v>
      </c>
      <c r="H2018" s="23" t="n">
        <v>10</v>
      </c>
      <c r="I2018" s="23" t="n">
        <v>30</v>
      </c>
      <c r="J2018" s="23" t="inlineStr">
        <is>
          <t>978-5-227-06168-3</t>
        </is>
      </c>
      <c r="K2018" s="23" t="inlineStr">
        <is>
          <t>70x100 1/32</t>
        </is>
      </c>
      <c r="L2018" s="23" t="inlineStr">
        <is>
          <t>мяг</t>
        </is>
      </c>
      <c r="M2018" s="23" t="n">
        <v>158</v>
      </c>
      <c r="N2018" s="23" t="n">
        <v>2015</v>
      </c>
      <c r="O2018" s="23" t="n">
        <v>76</v>
      </c>
      <c r="P2018" s="23" t="n"/>
      <c r="Q2018" s="23" t="n"/>
      <c r="R2018" s="25" t="n"/>
      <c r="S2018" s="26">
        <f>HYPERLINK("http://www.cnpol.ru/covers/16235.jpg","фото на сайте")</f>
        <v/>
      </c>
    </row>
    <row r="2019" ht="50.1" customHeight="1" s="3">
      <c r="A2019" s="23" t="n"/>
      <c r="B2019" s="24" t="inlineStr">
        <is>
          <t>16528</t>
        </is>
      </c>
      <c r="C2019" s="23" t="inlineStr">
        <is>
          <t>ЛР СО</t>
        </is>
      </c>
      <c r="D2019" s="23" t="inlineStr">
        <is>
          <t>Гейтс О.</t>
        </is>
      </c>
      <c r="E2019" s="23" t="inlineStr">
        <is>
          <t>Сладкая пытка</t>
        </is>
      </c>
      <c r="F2019" s="23" t="n">
        <v>155</v>
      </c>
      <c r="G2019" s="23" t="n">
        <v>102</v>
      </c>
      <c r="H2019" s="23" t="n">
        <v>10</v>
      </c>
      <c r="I2019" s="23" t="n">
        <v>30</v>
      </c>
      <c r="J2019" s="23" t="inlineStr">
        <is>
          <t>978-5-227-06492-9</t>
        </is>
      </c>
      <c r="K2019" s="23" t="inlineStr">
        <is>
          <t>70x100 1/32</t>
        </is>
      </c>
      <c r="L2019" s="23" t="inlineStr">
        <is>
          <t>мяг</t>
        </is>
      </c>
      <c r="M2019" s="23" t="n">
        <v>158</v>
      </c>
      <c r="N2019" s="23" t="n">
        <v>2016</v>
      </c>
      <c r="O2019" s="23" t="n">
        <v>76</v>
      </c>
      <c r="P2019" s="23" t="n"/>
      <c r="Q2019" s="23" t="n"/>
      <c r="R2019" s="25" t="n"/>
      <c r="S2019" s="26">
        <f>HYPERLINK("http://www.cnpol.ru/covers/16528.jpg","фото на сайте")</f>
        <v/>
      </c>
    </row>
    <row r="2020" ht="50.1" customHeight="1" s="3">
      <c r="A2020" s="23" t="n"/>
      <c r="B2020" s="24" t="inlineStr">
        <is>
          <t>17458</t>
        </is>
      </c>
      <c r="C2020" s="23" t="inlineStr">
        <is>
          <t>ЛР СО</t>
        </is>
      </c>
      <c r="D2020" s="23" t="inlineStr">
        <is>
          <t>Уоллис Бадж</t>
        </is>
      </c>
      <c r="E2020" s="23" t="inlineStr">
        <is>
          <t>Снежинка на твоих губах</t>
        </is>
      </c>
      <c r="F2020" s="23" t="n">
        <v>217</v>
      </c>
      <c r="G2020" s="23" t="n">
        <v>102</v>
      </c>
      <c r="H2020" s="23" t="n">
        <v>10</v>
      </c>
      <c r="I2020" s="23" t="n">
        <v>30</v>
      </c>
      <c r="J2020" s="23" t="inlineStr">
        <is>
          <t>978-5-227-07460-7</t>
        </is>
      </c>
      <c r="K2020" s="23" t="inlineStr">
        <is>
          <t>70x100 1/32</t>
        </is>
      </c>
      <c r="L2020" s="23" t="inlineStr">
        <is>
          <t>мяг</t>
        </is>
      </c>
      <c r="M2020" s="23" t="n">
        <v>160</v>
      </c>
      <c r="N2020" s="23" t="n">
        <v>2017</v>
      </c>
      <c r="O2020" s="23" t="n">
        <v>76</v>
      </c>
      <c r="P2020" s="23" t="n"/>
      <c r="Q2020" s="23" t="n"/>
      <c r="R2020" s="25" t="n"/>
      <c r="S2020" s="26">
        <f>HYPERLINK("http://www.cnpol.ru/covers/17458.jpg","фото на сайте")</f>
        <v/>
      </c>
    </row>
    <row r="2021" ht="50.1" customHeight="1" s="3">
      <c r="A2021" s="23" t="n"/>
      <c r="B2021" s="24" t="inlineStr">
        <is>
          <t>19194</t>
        </is>
      </c>
      <c r="C2021" s="23" t="inlineStr">
        <is>
          <t>ЛР СО</t>
        </is>
      </c>
      <c r="D2021" s="23" t="inlineStr">
        <is>
          <t>Милберн М.</t>
        </is>
      </c>
      <c r="E2021" s="23" t="inlineStr">
        <is>
          <t>Снова влюбляюсь в тебя</t>
        </is>
      </c>
      <c r="F2021" s="23" t="n">
        <v>351</v>
      </c>
      <c r="G2021" s="23" t="n">
        <v>102</v>
      </c>
      <c r="H2021" s="23" t="n">
        <v>10</v>
      </c>
      <c r="I2021" s="23" t="n">
        <v>30</v>
      </c>
      <c r="J2021" s="23" t="inlineStr">
        <is>
          <t>978-5-227-09036-2</t>
        </is>
      </c>
      <c r="K2021" s="23" t="inlineStr">
        <is>
          <t>70x100 1/32</t>
        </is>
      </c>
      <c r="L2021" s="23" t="inlineStr">
        <is>
          <t>мяг</t>
        </is>
      </c>
      <c r="M2021" s="23" t="n">
        <v>160</v>
      </c>
      <c r="N2021" s="23" t="n">
        <v>2020</v>
      </c>
      <c r="O2021" s="23" t="n">
        <v>76</v>
      </c>
      <c r="P2021" s="23" t="n"/>
      <c r="Q2021" s="23" t="n"/>
      <c r="R2021" s="25" t="n"/>
      <c r="S2021" s="26">
        <f>HYPERLINK("http://www.cnpol.ru/covers/19194.jpg","фото на сайте")</f>
        <v/>
      </c>
    </row>
    <row r="2022" ht="50.1" customHeight="1" s="3">
      <c r="A2022" s="23" t="n"/>
      <c r="B2022" s="24" t="inlineStr">
        <is>
          <t>18695</t>
        </is>
      </c>
      <c r="C2022" s="23" t="inlineStr">
        <is>
          <t>ЛР СО</t>
        </is>
      </c>
      <c r="D2022" s="23" t="inlineStr">
        <is>
          <t>Биварли Э.</t>
        </is>
      </c>
      <c r="E2022" s="23" t="inlineStr">
        <is>
          <t>Соблазн на грани риска</t>
        </is>
      </c>
      <c r="F2022" s="23" t="n">
        <v>310</v>
      </c>
      <c r="G2022" s="23" t="n">
        <v>102</v>
      </c>
      <c r="H2022" s="23" t="n">
        <v>10</v>
      </c>
      <c r="I2022" s="23" t="n">
        <v>30</v>
      </c>
      <c r="J2022" s="23" t="inlineStr">
        <is>
          <t>978-5-227-08581-8</t>
        </is>
      </c>
      <c r="K2022" s="23" t="inlineStr">
        <is>
          <t>70x100 1/32</t>
        </is>
      </c>
      <c r="L2022" s="23" t="inlineStr">
        <is>
          <t>мяг</t>
        </is>
      </c>
      <c r="M2022" s="23" t="n">
        <v>160</v>
      </c>
      <c r="N2022" s="23" t="n">
        <v>2019</v>
      </c>
      <c r="O2022" s="23" t="n">
        <v>78</v>
      </c>
      <c r="P2022" s="23" t="n"/>
      <c r="Q2022" s="23" t="n"/>
      <c r="R2022" s="25" t="n"/>
      <c r="S2022" s="26">
        <f>HYPERLINK("http://www.cnpol.ru/covers/18695.jpg","фото на сайте")</f>
        <v/>
      </c>
    </row>
    <row r="2023" ht="50.1" customHeight="1" s="3">
      <c r="A2023" s="23" t="inlineStr">
        <is>
          <t>Н</t>
        </is>
      </c>
      <c r="B2023" s="24" t="inlineStr">
        <is>
          <t>21055</t>
        </is>
      </c>
      <c r="C2023" s="23" t="inlineStr">
        <is>
          <t>ЛР СО</t>
        </is>
      </c>
      <c r="D2023" s="23" t="inlineStr">
        <is>
          <t>Александер К.</t>
        </is>
      </c>
      <c r="E2023" s="23" t="inlineStr">
        <is>
          <t>Соблазн по ее правилам</t>
        </is>
      </c>
      <c r="F2023" s="23" t="n">
        <v>442</v>
      </c>
      <c r="G2023" s="23" t="n">
        <v>102</v>
      </c>
      <c r="H2023" s="23" t="n">
        <v>10</v>
      </c>
      <c r="I2023" s="23" t="n">
        <v>30</v>
      </c>
      <c r="J2023" s="23" t="inlineStr">
        <is>
          <t>978-5-227-10509-7</t>
        </is>
      </c>
      <c r="K2023" s="23" t="inlineStr">
        <is>
          <t>70x100 1/32</t>
        </is>
      </c>
      <c r="L2023" s="23" t="inlineStr">
        <is>
          <t>мяг</t>
        </is>
      </c>
      <c r="M2023" s="23" t="n">
        <v>159</v>
      </c>
      <c r="N2023" s="23" t="n">
        <v>2024</v>
      </c>
      <c r="O2023" s="23" t="n">
        <v>76</v>
      </c>
      <c r="P2023" s="23" t="n"/>
      <c r="Q2023" s="23" t="n"/>
      <c r="R2023" s="25" t="inlineStr">
        <is>
          <t>Ния Вудсон и Пирс Гамильтон по сути соперники: оба работают в сфере музыки в компаниях, основанных их родителями. Красавец Пирс – успешный бизнесмен, в недалеком будущем займет должность генерального директора семейной компании. Кроме того, в его планах расширение бизнеса за счет компании Вудсонов. И самый легкий путь к этому — очаровать и расположить к себе генерального директора компании-конкурента тридцативосьмилетнюю Нию. Это легкая для него задача, ведь он всегда пользовался успехом у женщин, но неожиданно на пути известного ловеласа возникают серьезные проблемы…</t>
        </is>
      </c>
      <c r="S2023" s="26">
        <f>HYPERLINK("http://www.cnpol.ru/covers/21055.jpg","фото на сайте")</f>
        <v/>
      </c>
    </row>
    <row r="2024" ht="50.1" customHeight="1" s="3">
      <c r="A2024" s="23" t="n"/>
      <c r="B2024" s="24" t="inlineStr">
        <is>
          <t>20439</t>
        </is>
      </c>
      <c r="C2024" s="23" t="inlineStr">
        <is>
          <t>ЛР СО</t>
        </is>
      </c>
      <c r="D2024" s="23" t="inlineStr">
        <is>
          <t>Эшенден Д.</t>
        </is>
      </c>
      <c r="E2024" s="23" t="inlineStr">
        <is>
          <t>Соблазнение без правил</t>
        </is>
      </c>
      <c r="F2024" s="23" t="n">
        <v>415</v>
      </c>
      <c r="G2024" s="23" t="n">
        <v>102</v>
      </c>
      <c r="H2024" s="23" t="n">
        <v>10</v>
      </c>
      <c r="I2024" s="23" t="n">
        <v>30</v>
      </c>
      <c r="J2024" s="23" t="inlineStr">
        <is>
          <t>978-5-227-10088-7</t>
        </is>
      </c>
      <c r="K2024" s="23" t="inlineStr">
        <is>
          <t>70x100 1/32</t>
        </is>
      </c>
      <c r="L2024" s="23" t="inlineStr">
        <is>
          <t>мяг</t>
        </is>
      </c>
      <c r="M2024" s="23" t="n">
        <v>159</v>
      </c>
      <c r="N2024" s="23" t="n">
        <v>2022</v>
      </c>
      <c r="O2024" s="23" t="n">
        <v>76</v>
      </c>
      <c r="P2024" s="23" t="n"/>
      <c r="Q2024" s="23" t="n"/>
      <c r="R2024" s="25" t="inlineStr">
        <is>
          <t>Милая и скромная принцесса Лия выходит замуж за принца Матиаса. Их брак давно обговорен родителями и изменить ничего нельзя. Вот только Лия безнадежно влюблена в брата Матиаса, дерзкого и харизматичного красавца Рафаэля. Она мечтает о нем каждый день, несмотря на то, что понимает: им не суждено быть вместе. Но однажды из-за роковой случайности она оказывается в жарких и страстных объятиях Рафаэля. Только как же Лие поступить дальше? Ведь ее свадьба с Матиасом совсем скоро…</t>
        </is>
      </c>
      <c r="S2024" s="26">
        <f>HYPERLINK("http://www.cnpol.ru/covers/20439.jpg","фото на сайте")</f>
        <v/>
      </c>
    </row>
    <row r="2025" ht="50.1" customHeight="1" s="3">
      <c r="A2025" s="23" t="n"/>
      <c r="B2025" s="24" t="inlineStr">
        <is>
          <t>20351</t>
        </is>
      </c>
      <c r="C2025" s="23" t="inlineStr">
        <is>
          <t>ЛР СО</t>
        </is>
      </c>
      <c r="D2025" s="23" t="inlineStr">
        <is>
          <t>Роско П.</t>
        </is>
      </c>
      <c r="E2025" s="23" t="inlineStr">
        <is>
          <t>Соблазнение на Коста-Рике</t>
        </is>
      </c>
      <c r="F2025" s="23" t="n">
        <v>409</v>
      </c>
      <c r="G2025" s="23" t="n">
        <v>102</v>
      </c>
      <c r="H2025" s="23" t="n">
        <v>10</v>
      </c>
      <c r="I2025" s="23" t="n">
        <v>30</v>
      </c>
      <c r="J2025" s="23" t="inlineStr">
        <is>
          <t>978-5-227-09946-4</t>
        </is>
      </c>
      <c r="K2025" s="23" t="inlineStr">
        <is>
          <t>70x100 1/32</t>
        </is>
      </c>
      <c r="L2025" s="23" t="inlineStr">
        <is>
          <t>мяг</t>
        </is>
      </c>
      <c r="M2025" s="23" t="n">
        <v>159</v>
      </c>
      <c r="N2025" s="23" t="n">
        <v>2022</v>
      </c>
      <c r="O2025" s="23" t="n">
        <v>76</v>
      </c>
      <c r="P2025" s="23" t="n"/>
      <c r="Q2025" s="23" t="n"/>
      <c r="R2025" s="25" t="inlineStr">
        <is>
          <t>Три сестры Сомс из маленького городка в Англии, разбирая вещи после смерти своего дедушки, находят дневники своей родственницы Кэтрин Сомс, жившей в XVIII веке. Они узнают, что в поместье покойного дедушки в Норфолке в одном из тайников находятся сокровища, которые их родственница спрятала от своего алчного и жестокого мужа. Сестры решают во что бы то ни стало найти эти драгоценности, чтобы продать их и на эти деньги вылечить свою больную мать. Для поисков им нужна карта проходов в поместье, которая сейчас может находиться в семье возлюбленного Кэтрин Сомс во Франции. Именно Скай, старшая сестра, отправляется на поиски…</t>
        </is>
      </c>
      <c r="S2025" s="26">
        <f>HYPERLINK("http://www.cnpol.ru/covers/20351.jpg","фото на сайте")</f>
        <v/>
      </c>
    </row>
    <row r="2026" ht="50.1" customHeight="1" s="3">
      <c r="A2026" s="23" t="n"/>
      <c r="B2026" s="24" t="inlineStr">
        <is>
          <t>16692</t>
        </is>
      </c>
      <c r="C2026" s="23" t="inlineStr">
        <is>
          <t>ЛР СО</t>
        </is>
      </c>
      <c r="D2026" s="23" t="inlineStr">
        <is>
          <t>Сэндс Ч.</t>
        </is>
      </c>
      <c r="E2026" s="23" t="inlineStr">
        <is>
          <t>Соблазнение не по сценарию</t>
        </is>
      </c>
      <c r="F2026" s="23" t="n">
        <v>166</v>
      </c>
      <c r="G2026" s="23" t="n">
        <v>102</v>
      </c>
      <c r="H2026" s="23" t="n">
        <v>10</v>
      </c>
      <c r="I2026" s="23" t="n">
        <v>30</v>
      </c>
      <c r="J2026" s="23" t="inlineStr">
        <is>
          <t>978-5-227-06710-4</t>
        </is>
      </c>
      <c r="K2026" s="23" t="inlineStr">
        <is>
          <t>70x100 1/32</t>
        </is>
      </c>
      <c r="L2026" s="23" t="inlineStr">
        <is>
          <t>мяг</t>
        </is>
      </c>
      <c r="M2026" s="23" t="n">
        <v>160</v>
      </c>
      <c r="N2026" s="23" t="n">
        <v>2016</v>
      </c>
      <c r="O2026" s="23" t="n">
        <v>76</v>
      </c>
      <c r="P2026" s="23" t="n"/>
      <c r="Q2026" s="23" t="n"/>
      <c r="R2026" s="25" t="n"/>
      <c r="S2026" s="26">
        <f>HYPERLINK("http://www.cnpol.ru/covers/16692.jpg","фото на сайте")</f>
        <v/>
      </c>
    </row>
    <row r="2027" ht="50.1" customHeight="1" s="3">
      <c r="A2027" s="23" t="n"/>
      <c r="B2027" s="24" t="inlineStr">
        <is>
          <t>18016</t>
        </is>
      </c>
      <c r="C2027" s="23" t="inlineStr">
        <is>
          <t>ЛР СО</t>
        </is>
      </c>
      <c r="D2027" s="23" t="inlineStr">
        <is>
          <t>Френсис Д.</t>
        </is>
      </c>
      <c r="E2027" s="23" t="inlineStr">
        <is>
          <t>Соблазнение по-итальянски</t>
        </is>
      </c>
      <c r="F2027" s="23" t="n">
        <v>259</v>
      </c>
      <c r="G2027" s="23" t="n">
        <v>102</v>
      </c>
      <c r="H2027" s="23" t="n">
        <v>10</v>
      </c>
      <c r="I2027" s="23" t="n">
        <v>30</v>
      </c>
      <c r="J2027" s="23" t="inlineStr">
        <is>
          <t>978-5-227-08027-1</t>
        </is>
      </c>
      <c r="K2027" s="23" t="inlineStr">
        <is>
          <t>70x100 1/32</t>
        </is>
      </c>
      <c r="L2027" s="23" t="inlineStr">
        <is>
          <t>мяг</t>
        </is>
      </c>
      <c r="M2027" s="23" t="n">
        <v>160</v>
      </c>
      <c r="N2027" s="23" t="n">
        <v>2018</v>
      </c>
      <c r="O2027" s="23" t="n">
        <v>76</v>
      </c>
      <c r="P2027" s="23" t="n"/>
      <c r="Q2027" s="23" t="n"/>
      <c r="R2027" s="25" t="n"/>
      <c r="S2027" s="26">
        <f>HYPERLINK("http://www.cnpol.ru/covers/18016.jpg","фото на сайте")</f>
        <v/>
      </c>
    </row>
    <row r="2028" ht="50.1" customHeight="1" s="3">
      <c r="A2028" s="23" t="n"/>
      <c r="B2028" s="24" t="inlineStr">
        <is>
          <t>20577</t>
        </is>
      </c>
      <c r="C2028" s="23" t="inlineStr">
        <is>
          <t>ЛР СО</t>
        </is>
      </c>
      <c r="D2028" s="23" t="inlineStr">
        <is>
          <t>Крюс К.</t>
        </is>
      </c>
      <c r="E2028" s="23" t="inlineStr">
        <is>
          <t>Соблазнение принцессы-дикарки</t>
        </is>
      </c>
      <c r="F2028" s="23" t="n">
        <v>424</v>
      </c>
      <c r="G2028" s="23" t="n">
        <v>102</v>
      </c>
      <c r="H2028" s="23" t="n">
        <v>10</v>
      </c>
      <c r="I2028" s="23" t="n">
        <v>30</v>
      </c>
      <c r="J2028" s="23" t="inlineStr">
        <is>
          <t>978-5-227-10196-9</t>
        </is>
      </c>
      <c r="K2028" s="23" t="inlineStr">
        <is>
          <t>70x100 1/32</t>
        </is>
      </c>
      <c r="L2028" s="23" t="inlineStr">
        <is>
          <t>мяг</t>
        </is>
      </c>
      <c r="M2028" s="23" t="n">
        <v>159</v>
      </c>
      <c r="N2028" s="23" t="n">
        <v>2023</v>
      </c>
      <c r="O2028" s="23" t="n">
        <v>76</v>
      </c>
      <c r="P2028" s="23" t="n"/>
      <c r="Q2028" s="23" t="n"/>
      <c r="R2028" s="25" t="inlineStr">
        <is>
          <t>Делани Кларк, красивая, умная, жизнерадостная девушка, жила на ферме и усердно трудилась, продолжая дело своих родителей. Она не боялась никакой работы и считала свою крестьянскую жизнь счастливой. Но однажды на ферму в сверкающем джипе явился роскошно одетый красавец-мужчина со свитой и заявил, что Делани — наследница трона небольшого островного государства в Средиземном море. И теперь, когда ее отыскали, она должна отправиться на родину, чтобы занять принадлежащий ей по праву трон и выйти замуж вот как раз за этого красавца-мужчину…</t>
        </is>
      </c>
      <c r="S2028" s="26">
        <f>HYPERLINK("http://www.cnpol.ru/covers/20577.jpg","фото на сайте")</f>
        <v/>
      </c>
    </row>
    <row r="2029" ht="50.1" customHeight="1" s="3">
      <c r="A2029" s="23" t="n"/>
      <c r="B2029" s="24" t="inlineStr">
        <is>
          <t>18040</t>
        </is>
      </c>
      <c r="C2029" s="23" t="inlineStr">
        <is>
          <t>ЛР СО</t>
        </is>
      </c>
      <c r="D2029" s="23" t="inlineStr">
        <is>
          <t>Кэнтрелл К.</t>
        </is>
      </c>
      <c r="E2029" s="23" t="inlineStr">
        <is>
          <t>Соблазнение с первого дубля</t>
        </is>
      </c>
      <c r="F2029" s="23" t="n">
        <v>260</v>
      </c>
      <c r="G2029" s="23" t="n">
        <v>102</v>
      </c>
      <c r="H2029" s="23" t="n">
        <v>10</v>
      </c>
      <c r="I2029" s="23" t="n">
        <v>30</v>
      </c>
      <c r="J2029" s="23" t="inlineStr">
        <is>
          <t>978-5-227-08093-6</t>
        </is>
      </c>
      <c r="K2029" s="23" t="inlineStr">
        <is>
          <t>70x100 1/32</t>
        </is>
      </c>
      <c r="L2029" s="23" t="inlineStr">
        <is>
          <t>мяг</t>
        </is>
      </c>
      <c r="M2029" s="23" t="n">
        <v>160</v>
      </c>
      <c r="N2029" s="23" t="n">
        <v>2018</v>
      </c>
      <c r="O2029" s="23" t="n">
        <v>76</v>
      </c>
      <c r="P2029" s="23" t="n"/>
      <c r="Q2029" s="23" t="n"/>
      <c r="R2029" s="25" t="n"/>
      <c r="S2029" s="26">
        <f>HYPERLINK("http://www.cnpol.ru/covers/18040.jpg","фото на сайте")</f>
        <v/>
      </c>
    </row>
    <row r="2030" ht="50.1" customHeight="1" s="3">
      <c r="A2030" s="23" t="n"/>
      <c r="B2030" s="24" t="inlineStr">
        <is>
          <t>18956</t>
        </is>
      </c>
      <c r="C2030" s="23" t="inlineStr">
        <is>
          <t>ЛР СО</t>
        </is>
      </c>
      <c r="D2030" s="23" t="inlineStr">
        <is>
          <t>Даркинс Э.</t>
        </is>
      </c>
      <c r="E2030" s="23" t="inlineStr">
        <is>
          <t>Соблазненная в прямом эфире</t>
        </is>
      </c>
      <c r="F2030" s="23" t="n">
        <v>332</v>
      </c>
      <c r="G2030" s="23" t="n">
        <v>102</v>
      </c>
      <c r="H2030" s="23" t="n">
        <v>10</v>
      </c>
      <c r="I2030" s="23" t="n">
        <v>30</v>
      </c>
      <c r="J2030" s="23" t="inlineStr">
        <is>
          <t>978-5-227-08798-0</t>
        </is>
      </c>
      <c r="K2030" s="23" t="inlineStr">
        <is>
          <t>70x100 1/32</t>
        </is>
      </c>
      <c r="L2030" s="23" t="inlineStr">
        <is>
          <t>мяг</t>
        </is>
      </c>
      <c r="M2030" s="23" t="n">
        <v>160</v>
      </c>
      <c r="N2030" s="23" t="n">
        <v>2019</v>
      </c>
      <c r="O2030" s="23" t="n">
        <v>76</v>
      </c>
      <c r="P2030" s="23" t="n"/>
      <c r="Q2030" s="23" t="n"/>
      <c r="R2030" s="25" t="n"/>
      <c r="S2030" s="26">
        <f>HYPERLINK("http://www.cnpol.ru/covers/18956.jpg","фото на сайте")</f>
        <v/>
      </c>
    </row>
    <row r="2031" ht="50.1" customHeight="1" s="3">
      <c r="A2031" s="23" t="n"/>
      <c r="B2031" s="24" t="inlineStr">
        <is>
          <t>18267</t>
        </is>
      </c>
      <c r="C2031" s="23" t="inlineStr">
        <is>
          <t>ЛР СО</t>
        </is>
      </c>
      <c r="D2031" s="23" t="inlineStr">
        <is>
          <t>Бейли Р.</t>
        </is>
      </c>
      <c r="E2031" s="23" t="inlineStr">
        <is>
          <t>Соблазненная по ошибке</t>
        </is>
      </c>
      <c r="F2031" s="23" t="n">
        <v>275</v>
      </c>
      <c r="G2031" s="23" t="n">
        <v>102</v>
      </c>
      <c r="H2031" s="23" t="n">
        <v>10</v>
      </c>
      <c r="I2031" s="23" t="n">
        <v>30</v>
      </c>
      <c r="J2031" s="23" t="inlineStr">
        <is>
          <t>978-5-227-08227-5</t>
        </is>
      </c>
      <c r="K2031" s="23" t="inlineStr">
        <is>
          <t>70x100 1/32</t>
        </is>
      </c>
      <c r="L2031" s="23" t="inlineStr">
        <is>
          <t>мяг</t>
        </is>
      </c>
      <c r="M2031" s="23" t="n">
        <v>160</v>
      </c>
      <c r="N2031" s="23" t="n">
        <v>2018</v>
      </c>
      <c r="O2031" s="23" t="n">
        <v>76</v>
      </c>
      <c r="P2031" s="23" t="n"/>
      <c r="Q2031" s="23" t="n"/>
      <c r="R2031" s="25" t="n"/>
      <c r="S2031" s="26">
        <f>HYPERLINK("http://www.cnpol.ru/covers/18267.jpg","фото на сайте")</f>
        <v/>
      </c>
    </row>
    <row r="2032" ht="50.1" customHeight="1" s="3">
      <c r="A2032" s="23" t="n"/>
      <c r="B2032" s="24" t="inlineStr">
        <is>
          <t>20090</t>
        </is>
      </c>
      <c r="C2032" s="23" t="inlineStr">
        <is>
          <t>ЛР СО</t>
        </is>
      </c>
      <c r="D2032" s="23" t="inlineStr">
        <is>
          <t>Крюс К.</t>
        </is>
      </c>
      <c r="E2032" s="23" t="inlineStr">
        <is>
          <t>Соблазни меня вновь</t>
        </is>
      </c>
      <c r="F2032" s="23" t="n">
        <v>397</v>
      </c>
      <c r="G2032" s="23" t="n">
        <v>102</v>
      </c>
      <c r="H2032" s="23" t="n">
        <v>10</v>
      </c>
      <c r="I2032" s="23" t="n">
        <v>30</v>
      </c>
      <c r="J2032" s="23" t="inlineStr">
        <is>
          <t>978-5-227-09751-4</t>
        </is>
      </c>
      <c r="K2032" s="23" t="inlineStr">
        <is>
          <t>70x100 1/32</t>
        </is>
      </c>
      <c r="L2032" s="23" t="inlineStr">
        <is>
          <t>мяг</t>
        </is>
      </c>
      <c r="M2032" s="23" t="n">
        <v>159</v>
      </c>
      <c r="N2032" s="23" t="n">
        <v>2022</v>
      </c>
      <c r="O2032" s="23" t="n">
        <v>76</v>
      </c>
      <c r="P2032" s="23" t="n"/>
      <c r="Q2032" s="23" t="n"/>
      <c r="R2032" s="25" t="n"/>
      <c r="S2032" s="26">
        <f>HYPERLINK("http://www.cnpol.ru/covers/20090.jpg","фото на сайте")</f>
        <v/>
      </c>
    </row>
    <row r="2033" ht="50.1" customHeight="1" s="3">
      <c r="A2033" s="23" t="n"/>
      <c r="B2033" s="24" t="inlineStr">
        <is>
          <t>19241</t>
        </is>
      </c>
      <c r="C2033" s="23" t="inlineStr">
        <is>
          <t>ЛР СО</t>
        </is>
      </c>
      <c r="D2033" s="23" t="inlineStr">
        <is>
          <t>Шилд К.</t>
        </is>
      </c>
      <c r="E2033" s="23" t="inlineStr">
        <is>
          <t>Соблазнительная месть</t>
        </is>
      </c>
      <c r="F2033" s="23" t="n">
        <v>353</v>
      </c>
      <c r="G2033" s="23" t="n">
        <v>102</v>
      </c>
      <c r="H2033" s="23" t="n">
        <v>10</v>
      </c>
      <c r="I2033" s="23" t="n">
        <v>30</v>
      </c>
      <c r="J2033" s="23" t="inlineStr">
        <is>
          <t>978-5-227-09038-6</t>
        </is>
      </c>
      <c r="K2033" s="23" t="inlineStr">
        <is>
          <t>70x100 1/32</t>
        </is>
      </c>
      <c r="L2033" s="23" t="inlineStr">
        <is>
          <t>мяг</t>
        </is>
      </c>
      <c r="M2033" s="23" t="n">
        <v>160</v>
      </c>
      <c r="N2033" s="23" t="n">
        <v>2020</v>
      </c>
      <c r="O2033" s="23" t="n">
        <v>76</v>
      </c>
      <c r="P2033" s="23" t="n"/>
      <c r="Q2033" s="23" t="n"/>
      <c r="R2033" s="25" t="n"/>
      <c r="S2033" s="26">
        <f>HYPERLINK("http://www.cnpol.ru/covers/19241.jpg","фото на сайте")</f>
        <v/>
      </c>
    </row>
    <row r="2034" ht="50.1" customHeight="1" s="3">
      <c r="A2034" s="23" t="n"/>
      <c r="B2034" s="24" t="inlineStr">
        <is>
          <t>16011</t>
        </is>
      </c>
      <c r="C2034" s="23" t="inlineStr">
        <is>
          <t>ЛР СО</t>
        </is>
      </c>
      <c r="D2034" s="23" t="inlineStr">
        <is>
          <t>Линдсей И.</t>
        </is>
      </c>
      <c r="E2034" s="23" t="inlineStr">
        <is>
          <t>Соблазнить босса</t>
        </is>
      </c>
      <c r="F2034" s="23" t="n">
        <v>121</v>
      </c>
      <c r="G2034" s="23" t="n">
        <v>102</v>
      </c>
      <c r="H2034" s="23" t="n">
        <v>10</v>
      </c>
      <c r="I2034" s="23" t="n">
        <v>30</v>
      </c>
      <c r="J2034" s="23" t="inlineStr">
        <is>
          <t>978-5-227-05954-3</t>
        </is>
      </c>
      <c r="K2034" s="23" t="inlineStr">
        <is>
          <t>70x100 1/32</t>
        </is>
      </c>
      <c r="L2034" s="23" t="inlineStr">
        <is>
          <t>мяг</t>
        </is>
      </c>
      <c r="M2034" s="23" t="n">
        <v>158</v>
      </c>
      <c r="N2034" s="23" t="n">
        <v>2015</v>
      </c>
      <c r="O2034" s="23" t="n">
        <v>76</v>
      </c>
      <c r="P2034" s="23" t="n"/>
      <c r="Q2034" s="23" t="n"/>
      <c r="R2034" s="25" t="n"/>
      <c r="S2034" s="26">
        <f>HYPERLINK("http://www.cnpol.ru/covers/16011.jpg","фото на сайте")</f>
        <v/>
      </c>
    </row>
    <row r="2035" ht="50.1" customHeight="1" s="3">
      <c r="A2035" s="23" t="n"/>
      <c r="B2035" s="24" t="inlineStr">
        <is>
          <t>20823</t>
        </is>
      </c>
      <c r="C2035" s="23" t="inlineStr">
        <is>
          <t>ЛР СО</t>
        </is>
      </c>
      <c r="D2035" s="23" t="inlineStr">
        <is>
          <t>Крюс К.</t>
        </is>
      </c>
      <c r="E2035" s="23" t="inlineStr">
        <is>
          <t>Соблазнить строптивого романтика</t>
        </is>
      </c>
      <c r="F2035" s="23" t="n">
        <v>434</v>
      </c>
      <c r="G2035" s="23" t="n">
        <v>102</v>
      </c>
      <c r="H2035" s="23" t="n">
        <v>10</v>
      </c>
      <c r="I2035" s="23" t="n">
        <v>30</v>
      </c>
      <c r="J2035" s="23" t="inlineStr">
        <is>
          <t>978-5-227-10365-9</t>
        </is>
      </c>
      <c r="K2035" s="23" t="inlineStr">
        <is>
          <t>70x100 1/32</t>
        </is>
      </c>
      <c r="L2035" s="23" t="inlineStr">
        <is>
          <t>мяг</t>
        </is>
      </c>
      <c r="M2035" s="23" t="n">
        <v>159</v>
      </c>
      <c r="N2035" s="23" t="n">
        <v>2023</v>
      </c>
      <c r="O2035" s="23" t="n">
        <v>76</v>
      </c>
      <c r="P2035" s="23" t="n"/>
      <c r="Q2035" s="23" t="n"/>
      <c r="R2035" s="25" t="inlineStr">
        <is>
          <t>Чтобы спасти наследие своего отца, Аннике Шулер придется связать свою жизнь со строптивым и неприятным мужчиной, с которым она никогда не могла найти общий язык. Ей казалось, что она хорошо знает Раньери Фурлана, но каково было ее удивление, когда он открылся ей с другой, более чувственной стороны, и между ними разгорелось невиданное пламя страсти. Сможет ли Анника растопить ледяное и неприступное сердце бизнесмена?</t>
        </is>
      </c>
      <c r="S2035" s="26">
        <f>HYPERLINK("http://www.cnpol.ru/covers/20823.jpg","фото на сайте")</f>
        <v/>
      </c>
    </row>
    <row r="2036" ht="50.1" customHeight="1" s="3">
      <c r="A2036" s="23" t="n"/>
      <c r="B2036" s="24" t="inlineStr">
        <is>
          <t>19711</t>
        </is>
      </c>
      <c r="C2036" s="23" t="inlineStr">
        <is>
          <t>ЛР СО</t>
        </is>
      </c>
      <c r="D2036" s="23" t="inlineStr">
        <is>
          <t>Вуд Джосс</t>
        </is>
      </c>
      <c r="E2036" s="23" t="inlineStr">
        <is>
          <t>Спасенный страстью</t>
        </is>
      </c>
      <c r="F2036" s="23" t="n">
        <v>378</v>
      </c>
      <c r="G2036" s="23" t="n">
        <v>102</v>
      </c>
      <c r="H2036" s="23" t="n">
        <v>10</v>
      </c>
      <c r="I2036" s="23" t="n">
        <v>30</v>
      </c>
      <c r="J2036" s="23" t="inlineStr">
        <is>
          <t>978-5-227-09356-1</t>
        </is>
      </c>
      <c r="K2036" s="23" t="inlineStr">
        <is>
          <t>70x100 1/32</t>
        </is>
      </c>
      <c r="L2036" s="23" t="inlineStr">
        <is>
          <t>мяг</t>
        </is>
      </c>
      <c r="M2036" s="23" t="n">
        <v>160</v>
      </c>
      <c r="N2036" s="23" t="n">
        <v>2021</v>
      </c>
      <c r="O2036" s="23" t="n">
        <v>76</v>
      </c>
      <c r="P2036" s="23" t="n"/>
      <c r="Q2036" s="23" t="n"/>
      <c r="R2036" s="25" t="n"/>
      <c r="S2036" s="26">
        <f>HYPERLINK("http://www.cnpol.ru/covers/19711.jpg","фото на сайте")</f>
        <v/>
      </c>
    </row>
    <row r="2037" ht="50.1" customHeight="1" s="3">
      <c r="A2037" s="23" t="n"/>
      <c r="B2037" s="24" t="inlineStr">
        <is>
          <t>18299</t>
        </is>
      </c>
      <c r="C2037" s="23" t="inlineStr">
        <is>
          <t>ЛР СО</t>
        </is>
      </c>
      <c r="D2037" s="23" t="inlineStr">
        <is>
          <t>Эйтс М.</t>
        </is>
      </c>
      <c r="E2037" s="23" t="inlineStr">
        <is>
          <t>Станешь моим сегодня</t>
        </is>
      </c>
      <c r="F2037" s="23" t="n">
        <v>278</v>
      </c>
      <c r="G2037" s="23" t="n">
        <v>102</v>
      </c>
      <c r="H2037" s="23" t="n">
        <v>10</v>
      </c>
      <c r="I2037" s="23" t="n">
        <v>30</v>
      </c>
      <c r="J2037" s="23" t="inlineStr">
        <is>
          <t>978-5-227-08250-3</t>
        </is>
      </c>
      <c r="K2037" s="23" t="inlineStr">
        <is>
          <t>70x100 1/32</t>
        </is>
      </c>
      <c r="L2037" s="23" t="inlineStr">
        <is>
          <t>мяг</t>
        </is>
      </c>
      <c r="M2037" s="23" t="n">
        <v>160</v>
      </c>
      <c r="N2037" s="23" t="n">
        <v>2018</v>
      </c>
      <c r="O2037" s="23" t="n">
        <v>76</v>
      </c>
      <c r="P2037" s="23" t="n"/>
      <c r="Q2037" s="23" t="n"/>
      <c r="R2037" s="25" t="n"/>
      <c r="S2037" s="26">
        <f>HYPERLINK("http://www.cnpol.ru/covers/18299.jpg","фото на сайте")</f>
        <v/>
      </c>
    </row>
    <row r="2038" ht="50.1" customHeight="1" s="3">
      <c r="A2038" s="23" t="inlineStr">
        <is>
          <t>Н</t>
        </is>
      </c>
      <c r="B2038" s="24" t="inlineStr">
        <is>
          <t>20989</t>
        </is>
      </c>
      <c r="C2038" s="23" t="inlineStr">
        <is>
          <t>ЛР СО</t>
        </is>
      </c>
      <c r="D2038" s="23" t="inlineStr">
        <is>
          <t>Вуд Джосс</t>
        </is>
      </c>
      <c r="E2038" s="23" t="inlineStr">
        <is>
          <t>Стань моим сейчас</t>
        </is>
      </c>
      <c r="F2038" s="23" t="n">
        <v>440</v>
      </c>
      <c r="G2038" s="23" t="n">
        <v>102</v>
      </c>
      <c r="H2038" s="23" t="n">
        <v>10</v>
      </c>
      <c r="I2038" s="23" t="n">
        <v>30</v>
      </c>
      <c r="J2038" s="23" t="inlineStr">
        <is>
          <t>978-5-227-10463-2</t>
        </is>
      </c>
      <c r="K2038" s="23" t="inlineStr">
        <is>
          <t>70x100 1/32</t>
        </is>
      </c>
      <c r="L2038" s="23" t="inlineStr">
        <is>
          <t>мяг</t>
        </is>
      </c>
      <c r="M2038" s="23" t="n">
        <v>159</v>
      </c>
      <c r="N2038" s="23" t="n">
        <v>2024</v>
      </c>
      <c r="O2038" s="23" t="n">
        <v>76</v>
      </c>
      <c r="P2038" s="23" t="n"/>
      <c r="Q2038" s="23" t="n"/>
      <c r="R2038" s="25" t="inlineStr">
        <is>
          <t>Лекс Сэтчел не может рисковать своей работой водителя в крупной компании «Торп индасриз», потому что заботится о двух младших сестрах. Но игнорировать притяжение к исполнительному директору Коулу Торпу просто невозможно. Неожиданно босс приглашает Лекс сопроводить его в деловую поездку на роскошную лыжную базу, которая когда-то принадлежала его отцу. На город неожиданно обрушился шторм и сильнейший снегопад. Лекс и Коул, оставшись наедине, уже не в силах противостоять обоюдной страсти… Но позволит ли Коул отдаться своим чувствам?</t>
        </is>
      </c>
      <c r="S2038" s="26">
        <f>HYPERLINK("http://www.cnpol.ru/covers/20989.jpg","фото на сайте")</f>
        <v/>
      </c>
    </row>
    <row r="2039" ht="50.1" customHeight="1" s="3">
      <c r="A2039" s="23" t="n"/>
      <c r="B2039" s="24" t="inlineStr">
        <is>
          <t>16706</t>
        </is>
      </c>
      <c r="C2039" s="23" t="inlineStr">
        <is>
          <t>ЛР СО</t>
        </is>
      </c>
      <c r="D2039" s="23" t="inlineStr">
        <is>
          <t>Уильямс А.</t>
        </is>
      </c>
      <c r="E2039" s="23" t="inlineStr">
        <is>
          <t>Страстная невинность</t>
        </is>
      </c>
      <c r="F2039" s="23" t="n">
        <v>167</v>
      </c>
      <c r="G2039" s="23" t="n">
        <v>102</v>
      </c>
      <c r="H2039" s="23" t="n">
        <v>10</v>
      </c>
      <c r="I2039" s="23" t="n">
        <v>30</v>
      </c>
      <c r="J2039" s="23" t="inlineStr">
        <is>
          <t>978-5-227-06720-3</t>
        </is>
      </c>
      <c r="K2039" s="23" t="inlineStr">
        <is>
          <t>70x100 1/32</t>
        </is>
      </c>
      <c r="L2039" s="23" t="inlineStr">
        <is>
          <t>мяг</t>
        </is>
      </c>
      <c r="M2039" s="23" t="n">
        <v>160</v>
      </c>
      <c r="N2039" s="23" t="n">
        <v>2016</v>
      </c>
      <c r="O2039" s="23" t="n">
        <v>76</v>
      </c>
      <c r="P2039" s="23" t="n"/>
      <c r="Q2039" s="23" t="n"/>
      <c r="R2039" s="25" t="n"/>
      <c r="S2039" s="26">
        <f>HYPERLINK("http://www.cnpol.ru/covers/16706.jpg","фото на сайте")</f>
        <v/>
      </c>
    </row>
    <row r="2040" ht="50.1" customHeight="1" s="3">
      <c r="A2040" s="23" t="n"/>
      <c r="B2040" s="24" t="inlineStr">
        <is>
          <t>19890</t>
        </is>
      </c>
      <c r="C2040" s="23" t="inlineStr">
        <is>
          <t>ЛР СО</t>
        </is>
      </c>
      <c r="D2040" s="23" t="inlineStr">
        <is>
          <t>Синелли А.</t>
        </is>
      </c>
      <c r="E2040" s="23" t="inlineStr">
        <is>
          <t>Страстная проверка для плейбоя</t>
        </is>
      </c>
      <c r="F2040" s="23" t="n">
        <v>387</v>
      </c>
      <c r="G2040" s="23" t="n">
        <v>102</v>
      </c>
      <c r="H2040" s="23" t="n">
        <v>10</v>
      </c>
      <c r="I2040" s="23" t="n">
        <v>30</v>
      </c>
      <c r="J2040" s="23" t="inlineStr">
        <is>
          <t>978-5-227-09509-1</t>
        </is>
      </c>
      <c r="K2040" s="23" t="inlineStr">
        <is>
          <t>70x100 1/32</t>
        </is>
      </c>
      <c r="L2040" s="23" t="inlineStr">
        <is>
          <t>мяг</t>
        </is>
      </c>
      <c r="M2040" s="23" t="n">
        <v>159</v>
      </c>
      <c r="N2040" s="23" t="n">
        <v>2021</v>
      </c>
      <c r="O2040" s="23" t="n">
        <v>76</v>
      </c>
      <c r="P2040" s="23" t="n"/>
      <c r="Q2040" s="23" t="n"/>
      <c r="R2040" s="25" t="n"/>
      <c r="S2040" s="26">
        <f>HYPERLINK("http://www.cnpol.ru/covers/19890.jpg","фото на сайте")</f>
        <v/>
      </c>
    </row>
    <row r="2041" ht="50.1" customHeight="1" s="3">
      <c r="A2041" s="23" t="n"/>
      <c r="B2041" s="24" t="inlineStr">
        <is>
          <t>15275</t>
        </is>
      </c>
      <c r="C2041" s="23" t="inlineStr">
        <is>
          <t>ЛР СО</t>
        </is>
      </c>
      <c r="D2041" s="23" t="inlineStr">
        <is>
          <t>Леклер Дэй</t>
        </is>
      </c>
      <c r="E2041" s="23" t="inlineStr">
        <is>
          <t>Страстное желание</t>
        </is>
      </c>
      <c r="F2041" s="23" t="n">
        <v>72</v>
      </c>
      <c r="G2041" s="23" t="n">
        <v>102</v>
      </c>
      <c r="H2041" s="23" t="n">
        <v>10</v>
      </c>
      <c r="I2041" s="23" t="n">
        <v>30</v>
      </c>
      <c r="J2041" s="23" t="inlineStr">
        <is>
          <t>978-5-227-05265-0</t>
        </is>
      </c>
      <c r="K2041" s="23" t="inlineStr">
        <is>
          <t>70x100 1/32</t>
        </is>
      </c>
      <c r="L2041" s="23" t="inlineStr">
        <is>
          <t>мяг</t>
        </is>
      </c>
      <c r="M2041" s="23" t="n">
        <v>158</v>
      </c>
      <c r="N2041" s="23" t="n">
        <v>2014</v>
      </c>
      <c r="O2041" s="23" t="n">
        <v>74</v>
      </c>
      <c r="P2041" s="23" t="n"/>
      <c r="Q2041" s="23" t="n"/>
      <c r="R2041" s="25" t="n"/>
      <c r="S2041" s="26">
        <f>HYPERLINK("http://www.cnpol.ru/covers/15275.jpg","фото на сайте")</f>
        <v/>
      </c>
    </row>
    <row r="2042" ht="50.1" customHeight="1" s="3">
      <c r="A2042" s="23" t="n"/>
      <c r="B2042" s="24" t="inlineStr">
        <is>
          <t>18048</t>
        </is>
      </c>
      <c r="C2042" s="23" t="inlineStr">
        <is>
          <t>ЛР СО</t>
        </is>
      </c>
      <c r="D2042" s="23" t="inlineStr">
        <is>
          <t>Лоренс А.</t>
        </is>
      </c>
      <c r="E2042" s="23" t="inlineStr">
        <is>
          <t>Страсть в маленьком городе</t>
        </is>
      </c>
      <c r="F2042" s="23" t="n">
        <v>261</v>
      </c>
      <c r="G2042" s="23" t="n">
        <v>102</v>
      </c>
      <c r="H2042" s="23" t="n">
        <v>10</v>
      </c>
      <c r="I2042" s="23" t="n">
        <v>30</v>
      </c>
      <c r="J2042" s="23" t="inlineStr">
        <is>
          <t>978-5-227-08094-3</t>
        </is>
      </c>
      <c r="K2042" s="23" t="inlineStr">
        <is>
          <t>70x100 1/32</t>
        </is>
      </c>
      <c r="L2042" s="23" t="inlineStr">
        <is>
          <t>мяг</t>
        </is>
      </c>
      <c r="M2042" s="23" t="n">
        <v>160</v>
      </c>
      <c r="N2042" s="23" t="n">
        <v>2018</v>
      </c>
      <c r="O2042" s="23" t="n">
        <v>76</v>
      </c>
      <c r="P2042" s="23" t="n"/>
      <c r="Q2042" s="23" t="n"/>
      <c r="R2042" s="25" t="n"/>
      <c r="S2042" s="26">
        <f>HYPERLINK("http://www.cnpol.ru/covers/18048.jpg","фото на сайте")</f>
        <v/>
      </c>
    </row>
    <row r="2043" ht="50.1" customHeight="1" s="3">
      <c r="A2043" s="23" t="n"/>
      <c r="B2043" s="24" t="inlineStr">
        <is>
          <t>20666</t>
        </is>
      </c>
      <c r="C2043" s="23" t="inlineStr">
        <is>
          <t>ЛР СО</t>
        </is>
      </c>
      <c r="D2043" s="23" t="inlineStr">
        <is>
          <t>Рок Джоанна</t>
        </is>
      </c>
      <c r="E2043" s="23" t="inlineStr">
        <is>
          <t>Страсть еще жива</t>
        </is>
      </c>
      <c r="F2043" s="23" t="n">
        <v>429</v>
      </c>
      <c r="G2043" s="23" t="n">
        <v>102</v>
      </c>
      <c r="H2043" s="23" t="n">
        <v>10</v>
      </c>
      <c r="I2043" s="23" t="n">
        <v>30</v>
      </c>
      <c r="J2043" s="23" t="inlineStr">
        <is>
          <t>978-5-227-10289-8</t>
        </is>
      </c>
      <c r="K2043" s="23" t="inlineStr">
        <is>
          <t>70x100 1/32</t>
        </is>
      </c>
      <c r="L2043" s="23" t="inlineStr">
        <is>
          <t>мяг</t>
        </is>
      </c>
      <c r="M2043" s="23" t="n">
        <v>159</v>
      </c>
      <c r="N2043" s="23" t="n">
        <v>2023</v>
      </c>
      <c r="O2043" s="23" t="n">
        <v>76</v>
      </c>
      <c r="P2043" s="23" t="n"/>
      <c r="Q2043" s="23" t="n"/>
      <c r="R2043" s="25" t="inlineStr">
        <is>
          <t>Психотерапевт Ларк Баркли возвращается в родной городок, чтобы бороться за наследство своей бабушки. Там она неожиданно встречает своего бывшего мужа Гибсона Вона и понимает, что за время разлуки их чувства друг к другу не исчезли. Но захочет ли Гибсон быть с ней, когда узнает, почему она ушла от него два года назад?</t>
        </is>
      </c>
      <c r="S2043" s="26">
        <f>HYPERLINK("http://www.cnpol.ru/covers/20666.jpg","фото на сайте")</f>
        <v/>
      </c>
    </row>
    <row r="2044" ht="50.1" customHeight="1" s="3">
      <c r="A2044" s="23" t="n"/>
      <c r="B2044" s="24" t="inlineStr">
        <is>
          <t>17084</t>
        </is>
      </c>
      <c r="C2044" s="23" t="inlineStr">
        <is>
          <t>ЛР СО</t>
        </is>
      </c>
      <c r="D2044" s="23" t="inlineStr">
        <is>
          <t>Кэнтрелл К.</t>
        </is>
      </c>
      <c r="E2044" s="23" t="inlineStr">
        <is>
          <t>Страх, разжигающий пламя</t>
        </is>
      </c>
      <c r="F2044" s="23" t="n">
        <v>191</v>
      </c>
      <c r="G2044" s="23" t="n">
        <v>102</v>
      </c>
      <c r="H2044" s="23" t="n">
        <v>10</v>
      </c>
      <c r="I2044" s="23" t="n">
        <v>30</v>
      </c>
      <c r="J2044" s="23" t="inlineStr">
        <is>
          <t>978-5-227-07076-0</t>
        </is>
      </c>
      <c r="K2044" s="23" t="inlineStr">
        <is>
          <t>70x100 1/32</t>
        </is>
      </c>
      <c r="L2044" s="23" t="inlineStr">
        <is>
          <t>мяг</t>
        </is>
      </c>
      <c r="M2044" s="23" t="n">
        <v>160</v>
      </c>
      <c r="N2044" s="23" t="n">
        <v>2016</v>
      </c>
      <c r="O2044" s="23" t="n">
        <v>76</v>
      </c>
      <c r="P2044" s="23" t="n"/>
      <c r="Q2044" s="23" t="n"/>
      <c r="R2044" s="25" t="n"/>
      <c r="S2044" s="26">
        <f>HYPERLINK("http://www.cnpol.ru/covers/17084.jpg","фото на сайте")</f>
        <v/>
      </c>
    </row>
    <row r="2045" ht="50.1" customHeight="1" s="3">
      <c r="A2045" s="23" t="n"/>
      <c r="B2045" s="24" t="inlineStr">
        <is>
          <t>16618</t>
        </is>
      </c>
      <c r="C2045" s="23" t="inlineStr">
        <is>
          <t>ЛР СО</t>
        </is>
      </c>
      <c r="D2045" s="23" t="inlineStr">
        <is>
          <t>Уильямс А.</t>
        </is>
      </c>
      <c r="E2045" s="23" t="inlineStr">
        <is>
          <t>Судьбоносная встреча</t>
        </is>
      </c>
      <c r="F2045" s="23" t="n">
        <v>160</v>
      </c>
      <c r="G2045" s="23" t="n">
        <v>102</v>
      </c>
      <c r="H2045" s="23" t="n">
        <v>10</v>
      </c>
      <c r="I2045" s="23" t="n">
        <v>30</v>
      </c>
      <c r="J2045" s="23" t="inlineStr">
        <is>
          <t>978-5-227-06535-3</t>
        </is>
      </c>
      <c r="K2045" s="23" t="inlineStr">
        <is>
          <t>70x100 1/32</t>
        </is>
      </c>
      <c r="L2045" s="23" t="inlineStr">
        <is>
          <t>мяг</t>
        </is>
      </c>
      <c r="M2045" s="23" t="n">
        <v>160</v>
      </c>
      <c r="N2045" s="23" t="n">
        <v>2016</v>
      </c>
      <c r="O2045" s="23" t="n">
        <v>76</v>
      </c>
      <c r="P2045" s="23" t="n"/>
      <c r="Q2045" s="23" t="n"/>
      <c r="R2045" s="25" t="n"/>
      <c r="S2045" s="26">
        <f>HYPERLINK("http://www.cnpol.ru/covers/16618.jpg","фото на сайте")</f>
        <v/>
      </c>
    </row>
    <row r="2046" ht="50.1" customHeight="1" s="3">
      <c r="A2046" s="23" t="n"/>
      <c r="B2046" s="24" t="inlineStr">
        <is>
          <t>17179</t>
        </is>
      </c>
      <c r="C2046" s="23" t="inlineStr">
        <is>
          <t>ЛР СО</t>
        </is>
      </c>
      <c r="D2046" s="23" t="inlineStr">
        <is>
          <t>Вуд Джосс</t>
        </is>
      </c>
      <c r="E2046" s="23" t="inlineStr">
        <is>
          <t>Сценарий любви</t>
        </is>
      </c>
      <c r="F2046" s="23" t="n">
        <v>198</v>
      </c>
      <c r="G2046" s="23" t="n">
        <v>102</v>
      </c>
      <c r="H2046" s="23" t="n">
        <v>10</v>
      </c>
      <c r="I2046" s="23" t="n">
        <v>30</v>
      </c>
      <c r="J2046" s="23" t="inlineStr">
        <is>
          <t>978-5-227-07212-2</t>
        </is>
      </c>
      <c r="K2046" s="23" t="inlineStr">
        <is>
          <t>70x100 1/32</t>
        </is>
      </c>
      <c r="L2046" s="23" t="inlineStr">
        <is>
          <t>мяг</t>
        </is>
      </c>
      <c r="M2046" s="23" t="n">
        <v>160</v>
      </c>
      <c r="N2046" s="23" t="n">
        <v>2016</v>
      </c>
      <c r="O2046" s="23" t="n">
        <v>76</v>
      </c>
      <c r="P2046" s="23" t="n"/>
      <c r="Q2046" s="23" t="n"/>
      <c r="R2046" s="25" t="n"/>
      <c r="S2046" s="26">
        <f>HYPERLINK("http://www.cnpol.ru/covers/17179.jpg","фото на сайте")</f>
        <v/>
      </c>
    </row>
    <row r="2047" ht="50.1" customHeight="1" s="3">
      <c r="A2047" s="23" t="n"/>
      <c r="B2047" s="24" t="inlineStr">
        <is>
          <t>19011</t>
        </is>
      </c>
      <c r="C2047" s="23" t="inlineStr">
        <is>
          <t>ЛР СО</t>
        </is>
      </c>
      <c r="D2047" s="23" t="inlineStr">
        <is>
          <t>Линдсей И.</t>
        </is>
      </c>
      <c r="E2047" s="23" t="inlineStr">
        <is>
          <t>Счастье в обмен на месть</t>
        </is>
      </c>
      <c r="F2047" s="23" t="n">
        <v>338</v>
      </c>
      <c r="G2047" s="23" t="n">
        <v>102</v>
      </c>
      <c r="H2047" s="23" t="n">
        <v>10</v>
      </c>
      <c r="I2047" s="23" t="n">
        <v>30</v>
      </c>
      <c r="J2047" s="23" t="inlineStr">
        <is>
          <t>978-5-227-08915-1</t>
        </is>
      </c>
      <c r="K2047" s="23" t="inlineStr">
        <is>
          <t>70x100 1/32</t>
        </is>
      </c>
      <c r="L2047" s="23" t="inlineStr">
        <is>
          <t>мяг</t>
        </is>
      </c>
      <c r="M2047" s="23" t="n">
        <v>160</v>
      </c>
      <c r="N2047" s="23" t="n">
        <v>2020</v>
      </c>
      <c r="O2047" s="23" t="n">
        <v>76</v>
      </c>
      <c r="P2047" s="23" t="n"/>
      <c r="Q2047" s="23" t="n"/>
      <c r="R2047" s="25" t="n"/>
      <c r="S2047" s="26">
        <f>HYPERLINK("http://www.cnpol.ru/covers/19011.jpg","фото на сайте")</f>
        <v/>
      </c>
    </row>
    <row r="2048" ht="50.1" customHeight="1" s="3">
      <c r="A2048" s="23" t="n"/>
      <c r="B2048" s="24" t="inlineStr">
        <is>
          <t>18440</t>
        </is>
      </c>
      <c r="C2048" s="23" t="inlineStr">
        <is>
          <t>ЛР СО</t>
        </is>
      </c>
      <c r="D2048" s="23" t="inlineStr">
        <is>
          <t>Гарбера К.</t>
        </is>
      </c>
      <c r="E2048" s="23" t="inlineStr">
        <is>
          <t>Сыграй мою жену</t>
        </is>
      </c>
      <c r="F2048" s="23" t="n">
        <v>290</v>
      </c>
      <c r="G2048" s="23" t="n">
        <v>102</v>
      </c>
      <c r="H2048" s="23" t="n">
        <v>10</v>
      </c>
      <c r="I2048" s="23" t="n">
        <v>30</v>
      </c>
      <c r="J2048" s="23" t="inlineStr">
        <is>
          <t>978-5-227-08393-7</t>
        </is>
      </c>
      <c r="K2048" s="23" t="inlineStr">
        <is>
          <t>70x100 1/32</t>
        </is>
      </c>
      <c r="L2048" s="23" t="inlineStr">
        <is>
          <t>мяг</t>
        </is>
      </c>
      <c r="M2048" s="23" t="n">
        <v>160</v>
      </c>
      <c r="N2048" s="23" t="n">
        <v>2018</v>
      </c>
      <c r="O2048" s="23" t="n">
        <v>76</v>
      </c>
      <c r="P2048" s="23" t="n"/>
      <c r="Q2048" s="23" t="n"/>
      <c r="R2048" s="25" t="n"/>
      <c r="S2048" s="26">
        <f>HYPERLINK("http://www.cnpol.ru/covers/18440.jpg","фото на сайте")</f>
        <v/>
      </c>
    </row>
    <row r="2049" ht="50.1" customHeight="1" s="3">
      <c r="A2049" s="23" t="n"/>
      <c r="B2049" s="24" t="inlineStr">
        <is>
          <t>20606</t>
        </is>
      </c>
      <c r="C2049" s="23" t="inlineStr">
        <is>
          <t>ЛР СО</t>
        </is>
      </c>
      <c r="D2049" s="23" t="inlineStr">
        <is>
          <t>Энтони К.</t>
        </is>
      </c>
      <c r="E2049" s="23" t="inlineStr">
        <is>
          <t>Та самая встреча</t>
        </is>
      </c>
      <c r="F2049" s="23" t="n">
        <v>425</v>
      </c>
      <c r="G2049" s="23" t="n">
        <v>102</v>
      </c>
      <c r="H2049" s="23" t="n">
        <v>10</v>
      </c>
      <c r="I2049" s="23" t="n">
        <v>30</v>
      </c>
      <c r="J2049" s="23" t="inlineStr">
        <is>
          <t>978-5-227-10197-6</t>
        </is>
      </c>
      <c r="K2049" s="23" t="inlineStr">
        <is>
          <t>70x100 1/32</t>
        </is>
      </c>
      <c r="L2049" s="23" t="inlineStr">
        <is>
          <t>мяг</t>
        </is>
      </c>
      <c r="M2049" s="23" t="n">
        <v>159</v>
      </c>
      <c r="N2049" s="23" t="n">
        <v>2023</v>
      </c>
      <c r="O2049" s="23" t="n">
        <v>76</v>
      </c>
      <c r="P2049" s="23" t="n"/>
      <c r="Q2049" s="23" t="n"/>
      <c r="R2049" s="25" t="inlineStr">
        <is>
          <t>Скрипачка Люси в надежде разгадать тайну из прошлого своего деда отправляется в замок графа Моретти. Из-за начавшейся метели девушка вынуждена задержаться в замке и провести несколько дней наедине с его молодым привлекательным владельцем. Что найдет она в этих стенах, кроме ответов на свои вопросы? И как история из прошлого ее семьи поможет Стефано Моретти вернуть свое доброе имя?..</t>
        </is>
      </c>
      <c r="S2049" s="26">
        <f>HYPERLINK("http://www.cnpol.ru/covers/20606.jpg","фото на сайте")</f>
        <v/>
      </c>
    </row>
    <row r="2050" ht="50.1" customHeight="1" s="3">
      <c r="A2050" s="23" t="n"/>
      <c r="B2050" s="24" t="inlineStr">
        <is>
          <t>20212</t>
        </is>
      </c>
      <c r="C2050" s="23" t="inlineStr">
        <is>
          <t>ЛР СО</t>
        </is>
      </c>
      <c r="D2050" s="23" t="inlineStr">
        <is>
          <t>Бут К.</t>
        </is>
      </c>
      <c r="E2050" s="23" t="inlineStr">
        <is>
          <t>Тайна его сердца</t>
        </is>
      </c>
      <c r="F2050" s="23" t="n">
        <v>403</v>
      </c>
      <c r="G2050" s="23" t="n">
        <v>102</v>
      </c>
      <c r="H2050" s="23" t="n">
        <v>10</v>
      </c>
      <c r="I2050" s="23" t="n">
        <v>30</v>
      </c>
      <c r="J2050" s="23" t="inlineStr">
        <is>
          <t>978-5-227-09849-8</t>
        </is>
      </c>
      <c r="K2050" s="23" t="inlineStr">
        <is>
          <t>70x100 1/32</t>
        </is>
      </c>
      <c r="L2050" s="23" t="inlineStr">
        <is>
          <t>мяг</t>
        </is>
      </c>
      <c r="M2050" s="23" t="n">
        <v>159</v>
      </c>
      <c r="N2050" s="23" t="n">
        <v>2022</v>
      </c>
      <c r="O2050" s="23" t="n">
        <v>76</v>
      </c>
      <c r="P2050" s="23" t="n"/>
      <c r="Q2050" s="23" t="n"/>
      <c r="R2050" s="25" t="n"/>
      <c r="S2050" s="26">
        <f>HYPERLINK("http://www.cnpol.ru/covers/20212.jpg","фото на сайте")</f>
        <v/>
      </c>
    </row>
    <row r="2051" ht="50.1" customHeight="1" s="3">
      <c r="A2051" s="23" t="n"/>
      <c r="B2051" s="24" t="inlineStr">
        <is>
          <t>16226</t>
        </is>
      </c>
      <c r="C2051" s="23" t="inlineStr">
        <is>
          <t>ЛР СО</t>
        </is>
      </c>
      <c r="D2051" s="23" t="inlineStr">
        <is>
          <t>Беннет Д.</t>
        </is>
      </c>
      <c r="E2051" s="23" t="inlineStr">
        <is>
          <t>Танец под звездами</t>
        </is>
      </c>
      <c r="F2051" s="23" t="n">
        <v>135</v>
      </c>
      <c r="G2051" s="23" t="n">
        <v>102</v>
      </c>
      <c r="H2051" s="23" t="n">
        <v>10</v>
      </c>
      <c r="I2051" s="23" t="n">
        <v>30</v>
      </c>
      <c r="J2051" s="23" t="inlineStr">
        <is>
          <t>978-5-227-06166-9</t>
        </is>
      </c>
      <c r="K2051" s="23" t="inlineStr">
        <is>
          <t>70x100 1/32</t>
        </is>
      </c>
      <c r="L2051" s="23" t="inlineStr">
        <is>
          <t>мяг</t>
        </is>
      </c>
      <c r="M2051" s="23" t="n">
        <v>158</v>
      </c>
      <c r="N2051" s="23" t="n">
        <v>2015</v>
      </c>
      <c r="O2051" s="23" t="n">
        <v>76</v>
      </c>
      <c r="P2051" s="23" t="n"/>
      <c r="Q2051" s="23" t="n"/>
      <c r="R2051" s="25" t="n"/>
      <c r="S2051" s="26">
        <f>HYPERLINK("http://www.cnpol.ru/covers/16226.jpg","фото на сайте")</f>
        <v/>
      </c>
    </row>
    <row r="2052" ht="50.1" customHeight="1" s="3">
      <c r="A2052" s="23" t="n"/>
      <c r="B2052" s="24" t="inlineStr">
        <is>
          <t>18317</t>
        </is>
      </c>
      <c r="C2052" s="23" t="inlineStr">
        <is>
          <t>ЛР СО</t>
        </is>
      </c>
      <c r="D2052" s="23" t="inlineStr">
        <is>
          <t>Лоренс А.</t>
        </is>
      </c>
      <c r="E2052" s="23" t="inlineStr">
        <is>
          <t>Татуировка цвета страсти</t>
        </is>
      </c>
      <c r="F2052" s="23" t="n">
        <v>279</v>
      </c>
      <c r="G2052" s="23" t="n">
        <v>102</v>
      </c>
      <c r="H2052" s="23" t="n">
        <v>10</v>
      </c>
      <c r="I2052" s="23" t="n">
        <v>30</v>
      </c>
      <c r="J2052" s="23" t="inlineStr">
        <is>
          <t>978-5-227-08251-0</t>
        </is>
      </c>
      <c r="K2052" s="23" t="inlineStr">
        <is>
          <t>70x100 1/32</t>
        </is>
      </c>
      <c r="L2052" s="23" t="inlineStr">
        <is>
          <t>мяг</t>
        </is>
      </c>
      <c r="M2052" s="23" t="n">
        <v>160</v>
      </c>
      <c r="N2052" s="23" t="n">
        <v>2018</v>
      </c>
      <c r="O2052" s="23" t="n">
        <v>76</v>
      </c>
      <c r="P2052" s="23" t="n"/>
      <c r="Q2052" s="23" t="n"/>
      <c r="R2052" s="25" t="n"/>
      <c r="S2052" s="26">
        <f>HYPERLINK("http://www.cnpol.ru/covers/18317.jpg","фото на сайте")</f>
        <v/>
      </c>
    </row>
    <row r="2053" ht="50.1" customHeight="1" s="3">
      <c r="A2053" s="23" t="n"/>
      <c r="B2053" s="24" t="inlineStr">
        <is>
          <t>18285</t>
        </is>
      </c>
      <c r="C2053" s="23" t="inlineStr">
        <is>
          <t>ЛР СО</t>
        </is>
      </c>
      <c r="D2053" s="23" t="inlineStr">
        <is>
          <t>Рок Джоанна</t>
        </is>
      </c>
      <c r="E2053" s="23" t="inlineStr">
        <is>
          <t>Только не разбивай сердце</t>
        </is>
      </c>
      <c r="F2053" s="23" t="n">
        <v>277</v>
      </c>
      <c r="G2053" s="23" t="n">
        <v>102</v>
      </c>
      <c r="H2053" s="23" t="n">
        <v>10</v>
      </c>
      <c r="I2053" s="23" t="n">
        <v>30</v>
      </c>
      <c r="J2053" s="23" t="inlineStr">
        <is>
          <t>978-5-227-08249-7</t>
        </is>
      </c>
      <c r="K2053" s="23" t="inlineStr">
        <is>
          <t>70x100 1/32</t>
        </is>
      </c>
      <c r="L2053" s="23" t="inlineStr">
        <is>
          <t>мяг</t>
        </is>
      </c>
      <c r="M2053" s="23" t="n">
        <v>160</v>
      </c>
      <c r="N2053" s="23" t="n">
        <v>2018</v>
      </c>
      <c r="O2053" s="23" t="n">
        <v>76</v>
      </c>
      <c r="P2053" s="23" t="n"/>
      <c r="Q2053" s="23" t="n"/>
      <c r="R2053" s="25" t="n"/>
      <c r="S2053" s="26">
        <f>HYPERLINK("http://www.cnpol.ru/covers/18285.jpg","фото на сайте")</f>
        <v/>
      </c>
    </row>
    <row r="2054" ht="50.1" customHeight="1" s="3">
      <c r="A2054" s="23" t="n"/>
      <c r="B2054" s="24" t="inlineStr">
        <is>
          <t>19574</t>
        </is>
      </c>
      <c r="C2054" s="23" t="inlineStr">
        <is>
          <t>ЛР СО</t>
        </is>
      </c>
      <c r="D2054" s="23" t="inlineStr">
        <is>
          <t>Чайлд М.</t>
        </is>
      </c>
      <c r="E2054" s="23" t="inlineStr">
        <is>
          <t>Тот самый мужчина</t>
        </is>
      </c>
      <c r="F2054" s="23" t="n">
        <v>370</v>
      </c>
      <c r="G2054" s="23" t="n">
        <v>102</v>
      </c>
      <c r="H2054" s="23" t="n">
        <v>10</v>
      </c>
      <c r="I2054" s="23" t="n">
        <v>30</v>
      </c>
      <c r="J2054" s="23" t="inlineStr">
        <is>
          <t>978-5-227-09205-2</t>
        </is>
      </c>
      <c r="K2054" s="23" t="inlineStr">
        <is>
          <t>70x100 1/32</t>
        </is>
      </c>
      <c r="L2054" s="23" t="inlineStr">
        <is>
          <t>мяг</t>
        </is>
      </c>
      <c r="M2054" s="23" t="n">
        <v>160</v>
      </c>
      <c r="N2054" s="23" t="n">
        <v>2021</v>
      </c>
      <c r="O2054" s="23" t="n">
        <v>76</v>
      </c>
      <c r="P2054" s="23" t="n"/>
      <c r="Q2054" s="23" t="n"/>
      <c r="R2054" s="25" t="n"/>
      <c r="S2054" s="26">
        <f>HYPERLINK("http://www.cnpol.ru/covers/19574.jpg","фото на сайте")</f>
        <v/>
      </c>
    </row>
    <row r="2055" ht="50.1" customHeight="1" s="3">
      <c r="A2055" s="23" t="n"/>
      <c r="B2055" s="24" t="inlineStr">
        <is>
          <t>20387</t>
        </is>
      </c>
      <c r="C2055" s="23" t="inlineStr">
        <is>
          <t>ЛР СО</t>
        </is>
      </c>
      <c r="D2055" s="23" t="inlineStr">
        <is>
          <t>Грэхем Л.</t>
        </is>
      </c>
      <c r="E2055" s="23" t="inlineStr">
        <is>
          <t>Требование соблазнителя</t>
        </is>
      </c>
      <c r="F2055" s="23" t="n">
        <v>411</v>
      </c>
      <c r="G2055" s="23" t="n">
        <v>102</v>
      </c>
      <c r="H2055" s="23" t="n">
        <v>10</v>
      </c>
      <c r="I2055" s="23" t="n">
        <v>30</v>
      </c>
      <c r="J2055" s="23" t="inlineStr">
        <is>
          <t>978-5-227-10024-5</t>
        </is>
      </c>
      <c r="K2055" s="23" t="inlineStr">
        <is>
          <t>70x100 1/32</t>
        </is>
      </c>
      <c r="L2055" s="23" t="inlineStr">
        <is>
          <t>мяг</t>
        </is>
      </c>
      <c r="M2055" s="23" t="n">
        <v>159</v>
      </c>
      <c r="N2055" s="23" t="n">
        <v>2022</v>
      </c>
      <c r="O2055" s="23" t="n">
        <v>76</v>
      </c>
      <c r="P2055" s="23" t="n"/>
      <c r="Q2055" s="23" t="n"/>
      <c r="R2055" s="25" t="n"/>
      <c r="S2055" s="26">
        <f>HYPERLINK("http://www.cnpol.ru/covers/20387.jpg","фото на сайте")</f>
        <v/>
      </c>
    </row>
    <row r="2056" ht="50.1" customHeight="1" s="3">
      <c r="A2056" s="23" t="n"/>
      <c r="B2056" s="24" t="inlineStr">
        <is>
          <t>20464</t>
        </is>
      </c>
      <c r="C2056" s="23" t="inlineStr">
        <is>
          <t>ЛР СО</t>
        </is>
      </c>
      <c r="D2056" s="23" t="inlineStr">
        <is>
          <t>Сингх Н.</t>
        </is>
      </c>
      <c r="E2056" s="23" t="inlineStr">
        <is>
          <t>Тропический флирт</t>
        </is>
      </c>
      <c r="F2056" s="23" t="n">
        <v>417</v>
      </c>
      <c r="G2056" s="23" t="n">
        <v>102</v>
      </c>
      <c r="H2056" s="23" t="n">
        <v>10</v>
      </c>
      <c r="I2056" s="23" t="n">
        <v>30</v>
      </c>
      <c r="J2056" s="23" t="inlineStr">
        <is>
          <t>978-5-227-10127-3</t>
        </is>
      </c>
      <c r="K2056" s="23" t="inlineStr">
        <is>
          <t>70x100 1/32</t>
        </is>
      </c>
      <c r="L2056" s="23" t="inlineStr">
        <is>
          <t>мяг</t>
        </is>
      </c>
      <c r="M2056" s="23" t="n">
        <v>159</v>
      </c>
      <c r="N2056" s="23" t="n">
        <v>2022</v>
      </c>
      <c r="O2056" s="23" t="n">
        <v>76</v>
      </c>
      <c r="P2056" s="23" t="n"/>
      <c r="Q2056" s="23" t="n"/>
      <c r="R2056" s="25" t="inlineStr">
        <is>
          <t>Она — талантливый кондитер, он — знаменитый архитектор. Она — мечтает о семье, а он — убежденный холостяк. Их деловое знакомство перерастает в симпатию, а деловая поездка превращается в романтическое приключение. Рискнут ли они пойти дальше, следуя зову сердец?</t>
        </is>
      </c>
      <c r="S2056" s="26">
        <f>HYPERLINK("http://www.cnpol.ru/covers/20464.jpg","фото на сайте")</f>
        <v/>
      </c>
    </row>
    <row r="2057" ht="50.1" customHeight="1" s="3">
      <c r="A2057" s="23" t="n"/>
      <c r="B2057" s="24" t="inlineStr">
        <is>
          <t>18125</t>
        </is>
      </c>
      <c r="C2057" s="23" t="inlineStr">
        <is>
          <t>ЛР СО</t>
        </is>
      </c>
      <c r="D2057" s="23" t="inlineStr">
        <is>
          <t>Вейд Д.</t>
        </is>
      </c>
      <c r="E2057" s="23" t="inlineStr">
        <is>
          <t>Трофей для дерзской скромницы</t>
        </is>
      </c>
      <c r="F2057" s="23" t="n">
        <v>264</v>
      </c>
      <c r="G2057" s="23" t="n">
        <v>102</v>
      </c>
      <c r="H2057" s="23" t="n">
        <v>10</v>
      </c>
      <c r="I2057" s="23" t="n">
        <v>30</v>
      </c>
      <c r="J2057" s="23" t="inlineStr">
        <is>
          <t>978-5-227-08133-9</t>
        </is>
      </c>
      <c r="K2057" s="23" t="inlineStr">
        <is>
          <t>70x100 1/32</t>
        </is>
      </c>
      <c r="L2057" s="23" t="inlineStr">
        <is>
          <t>мяг</t>
        </is>
      </c>
      <c r="M2057" s="23" t="n">
        <v>160</v>
      </c>
      <c r="N2057" s="23" t="n">
        <v>2018</v>
      </c>
      <c r="O2057" s="23" t="n">
        <v>76</v>
      </c>
      <c r="P2057" s="23" t="n"/>
      <c r="Q2057" s="23" t="n"/>
      <c r="R2057" s="25" t="n"/>
      <c r="S2057" s="26">
        <f>HYPERLINK("http://www.cnpol.ru/covers/18125.jpg","фото на сайте")</f>
        <v/>
      </c>
    </row>
    <row r="2058" ht="50.1" customHeight="1" s="3">
      <c r="A2058" s="23" t="n"/>
      <c r="B2058" s="24" t="inlineStr">
        <is>
          <t>15969</t>
        </is>
      </c>
      <c r="C2058" s="23" t="inlineStr">
        <is>
          <t>ЛР СО</t>
        </is>
      </c>
      <c r="D2058" s="23" t="inlineStr">
        <is>
          <t>Маккей Э.</t>
        </is>
      </c>
      <c r="E2058" s="23" t="inlineStr">
        <is>
          <t>У любви твои глаза</t>
        </is>
      </c>
      <c r="F2058" s="23" t="n">
        <v>117</v>
      </c>
      <c r="G2058" s="23" t="n">
        <v>102</v>
      </c>
      <c r="H2058" s="23" t="n">
        <v>10</v>
      </c>
      <c r="I2058" s="23" t="n">
        <v>30</v>
      </c>
      <c r="J2058" s="23" t="inlineStr">
        <is>
          <t>978-5-227-05926-0</t>
        </is>
      </c>
      <c r="K2058" s="23" t="inlineStr">
        <is>
          <t>70x100 1/32</t>
        </is>
      </c>
      <c r="L2058" s="23" t="inlineStr">
        <is>
          <t>мяг</t>
        </is>
      </c>
      <c r="M2058" s="23" t="n">
        <v>158</v>
      </c>
      <c r="N2058" s="23" t="n">
        <v>2015</v>
      </c>
      <c r="O2058" s="23" t="n">
        <v>76</v>
      </c>
      <c r="P2058" s="23" t="n"/>
      <c r="Q2058" s="23" t="n"/>
      <c r="R2058" s="25" t="n"/>
      <c r="S2058" s="26">
        <f>HYPERLINK("http://www.cnpol.ru/covers/15969.jpg","фото на сайте")</f>
        <v/>
      </c>
    </row>
    <row r="2059" ht="50.1" customHeight="1" s="3">
      <c r="A2059" s="23" t="n"/>
      <c r="B2059" s="24" t="inlineStr">
        <is>
          <t>18343</t>
        </is>
      </c>
      <c r="C2059" s="23" t="inlineStr">
        <is>
          <t>ЛР СО</t>
        </is>
      </c>
      <c r="D2059" s="23" t="inlineStr">
        <is>
          <t>Вуд Джосс</t>
        </is>
      </c>
      <c r="E2059" s="23" t="inlineStr">
        <is>
          <t>Убежище страсти</t>
        </is>
      </c>
      <c r="F2059" s="23" t="n">
        <v>282</v>
      </c>
      <c r="G2059" s="23" t="n">
        <v>102</v>
      </c>
      <c r="H2059" s="23" t="n">
        <v>10</v>
      </c>
      <c r="I2059" s="23" t="n">
        <v>30</v>
      </c>
      <c r="J2059" s="23" t="inlineStr">
        <is>
          <t>978-5-227-08333-3</t>
        </is>
      </c>
      <c r="K2059" s="23" t="inlineStr">
        <is>
          <t>70x100 1/32</t>
        </is>
      </c>
      <c r="L2059" s="23" t="inlineStr">
        <is>
          <t>мяг</t>
        </is>
      </c>
      <c r="M2059" s="23" t="n">
        <v>160</v>
      </c>
      <c r="N2059" s="23" t="n">
        <v>2018</v>
      </c>
      <c r="O2059" s="23" t="n">
        <v>76</v>
      </c>
      <c r="P2059" s="23" t="n"/>
      <c r="Q2059" s="23" t="n"/>
      <c r="R2059" s="25" t="n"/>
      <c r="S2059" s="26">
        <f>HYPERLINK("http://www.cnpol.ru/covers/18343.jpg","фото на сайте")</f>
        <v/>
      </c>
    </row>
    <row r="2060" ht="50.1" customHeight="1" s="3">
      <c r="A2060" s="23" t="n"/>
      <c r="B2060" s="24" t="inlineStr">
        <is>
          <t>18453</t>
        </is>
      </c>
      <c r="C2060" s="23" t="inlineStr">
        <is>
          <t>ЛР СО</t>
        </is>
      </c>
      <c r="D2060" s="23" t="inlineStr">
        <is>
          <t>Вуд Джосс</t>
        </is>
      </c>
      <c r="E2060" s="23" t="inlineStr">
        <is>
          <t>Увертюра к пылкой встрече</t>
        </is>
      </c>
      <c r="F2060" s="23" t="n">
        <v>291</v>
      </c>
      <c r="G2060" s="23" t="n">
        <v>102</v>
      </c>
      <c r="H2060" s="23" t="n">
        <v>10</v>
      </c>
      <c r="I2060" s="23" t="n">
        <v>30</v>
      </c>
      <c r="J2060" s="23" t="inlineStr">
        <is>
          <t>978-5-227-08394-4</t>
        </is>
      </c>
      <c r="K2060" s="23" t="inlineStr">
        <is>
          <t>70x100 1/32</t>
        </is>
      </c>
      <c r="L2060" s="23" t="inlineStr">
        <is>
          <t>мяг</t>
        </is>
      </c>
      <c r="M2060" s="23" t="n">
        <v>160</v>
      </c>
      <c r="N2060" s="23" t="n">
        <v>2019</v>
      </c>
      <c r="O2060" s="23" t="n">
        <v>76</v>
      </c>
      <c r="P2060" s="23" t="n"/>
      <c r="Q2060" s="23" t="n"/>
      <c r="R2060" s="25" t="n"/>
      <c r="S2060" s="26">
        <f>HYPERLINK("http://www.cnpol.ru/covers/18453.jpg","фото на сайте")</f>
        <v/>
      </c>
    </row>
    <row r="2061" ht="50.1" customHeight="1" s="3">
      <c r="A2061" s="23" t="n"/>
      <c r="B2061" s="24" t="inlineStr">
        <is>
          <t>18239</t>
        </is>
      </c>
      <c r="C2061" s="23" t="inlineStr">
        <is>
          <t>ЛР СО</t>
        </is>
      </c>
      <c r="D2061" s="23" t="inlineStr">
        <is>
          <t>Бут К.</t>
        </is>
      </c>
      <c r="E2061" s="23" t="inlineStr">
        <is>
          <t>Узнай ее взгялд из тысячи</t>
        </is>
      </c>
      <c r="F2061" s="23" t="n">
        <v>273</v>
      </c>
      <c r="G2061" s="23" t="n">
        <v>102</v>
      </c>
      <c r="H2061" s="23" t="n">
        <v>10</v>
      </c>
      <c r="I2061" s="23" t="n">
        <v>30</v>
      </c>
      <c r="J2061" s="23" t="inlineStr">
        <is>
          <t>978-5-227-08225-1</t>
        </is>
      </c>
      <c r="K2061" s="23" t="inlineStr">
        <is>
          <t>70x100 1/32</t>
        </is>
      </c>
      <c r="L2061" s="23" t="inlineStr">
        <is>
          <t>мяг</t>
        </is>
      </c>
      <c r="M2061" s="23" t="n">
        <v>160</v>
      </c>
      <c r="N2061" s="23" t="n">
        <v>2018</v>
      </c>
      <c r="O2061" s="23" t="n">
        <v>78</v>
      </c>
      <c r="P2061" s="23" t="n"/>
      <c r="Q2061" s="23" t="n"/>
      <c r="R2061" s="25" t="n"/>
      <c r="S2061" s="26">
        <f>HYPERLINK("http://www.cnpol.ru/covers/18239.jpg","фото на сайте")</f>
        <v/>
      </c>
    </row>
    <row r="2062" ht="50.1" customHeight="1" s="3">
      <c r="A2062" s="23" t="n"/>
      <c r="B2062" s="24" t="inlineStr">
        <is>
          <t>17944</t>
        </is>
      </c>
      <c r="C2062" s="23" t="inlineStr">
        <is>
          <t>ЛР СО</t>
        </is>
      </c>
      <c r="D2062" s="23" t="inlineStr">
        <is>
          <t>Андерсон С.</t>
        </is>
      </c>
      <c r="E2062" s="23" t="inlineStr">
        <is>
          <t>Уик-энд феерической страсти</t>
        </is>
      </c>
      <c r="F2062" s="23" t="n">
        <v>254</v>
      </c>
      <c r="G2062" s="23" t="n">
        <v>102</v>
      </c>
      <c r="H2062" s="23" t="n">
        <v>10</v>
      </c>
      <c r="I2062" s="23" t="n">
        <v>30</v>
      </c>
      <c r="J2062" s="23" t="inlineStr">
        <is>
          <t>978-5-227-07998-5</t>
        </is>
      </c>
      <c r="K2062" s="23" t="inlineStr">
        <is>
          <t>70x100 1/32</t>
        </is>
      </c>
      <c r="L2062" s="23" t="inlineStr">
        <is>
          <t>мяг</t>
        </is>
      </c>
      <c r="M2062" s="23" t="n">
        <v>160</v>
      </c>
      <c r="N2062" s="23" t="n">
        <v>2018</v>
      </c>
      <c r="O2062" s="23" t="n">
        <v>76</v>
      </c>
      <c r="P2062" s="23" t="n"/>
      <c r="Q2062" s="23" t="n"/>
      <c r="R2062" s="25" t="n"/>
      <c r="S2062" s="26">
        <f>HYPERLINK("http://www.cnpol.ru/covers/17944.jpg","фото на сайте")</f>
        <v/>
      </c>
    </row>
    <row r="2063" ht="50.1" customHeight="1" s="3">
      <c r="A2063" s="23" t="n"/>
      <c r="B2063" s="24" t="inlineStr">
        <is>
          <t>20956</t>
        </is>
      </c>
      <c r="C2063" s="23" t="inlineStr">
        <is>
          <t>ЛР СО</t>
        </is>
      </c>
      <c r="D2063" s="23" t="inlineStr">
        <is>
          <t>Андерсон Н.</t>
        </is>
      </c>
      <c r="E2063" s="23" t="inlineStr">
        <is>
          <t>Украденная страсть</t>
        </is>
      </c>
      <c r="F2063" s="23" t="n">
        <v>439</v>
      </c>
      <c r="G2063" s="23" t="n">
        <v>102</v>
      </c>
      <c r="H2063" s="23" t="n">
        <v>10</v>
      </c>
      <c r="I2063" s="23" t="n">
        <v>30</v>
      </c>
      <c r="J2063" s="23" t="inlineStr">
        <is>
          <t>978-5-227-10452-6</t>
        </is>
      </c>
      <c r="K2063" s="23" t="inlineStr">
        <is>
          <t>70x100 1/32</t>
        </is>
      </c>
      <c r="L2063" s="23" t="inlineStr">
        <is>
          <t>мяг</t>
        </is>
      </c>
      <c r="M2063" s="23" t="n">
        <v>159</v>
      </c>
      <c r="N2063" s="23" t="n">
        <v>2024</v>
      </c>
      <c r="O2063" s="23" t="n">
        <v>76</v>
      </c>
      <c r="P2063" s="23" t="n"/>
      <c r="Q2063" s="23" t="n"/>
      <c r="R2063" s="25" t="inlineStr">
        <is>
          <t>Дарси Милн готова на все ради опеки над дочерью подруги, даже на фиктивный брак, однако ее властный потрясающе красивый босс разрушает безупречный план. Приехав в мэрию, Элиас Грейсон срывает церемонию, а затем, чтобы исправить ситуацию, делает Дарси предложение. Как станут развиваться их отношения после свадьбы? Сохранятся ли договоренности? И смогут ли они открыть друг другу свои истинные чувства?..</t>
        </is>
      </c>
      <c r="S2063" s="26">
        <f>HYPERLINK("http://www.cnpol.ru/covers/20956.jpg","фото на сайте")</f>
        <v/>
      </c>
    </row>
    <row r="2064" ht="50.1" customHeight="1" s="3">
      <c r="A2064" s="23" t="n"/>
      <c r="B2064" s="24" t="inlineStr">
        <is>
          <t>18156</t>
        </is>
      </c>
      <c r="C2064" s="23" t="inlineStr">
        <is>
          <t>ЛР СО</t>
        </is>
      </c>
      <c r="D2064" s="23" t="inlineStr">
        <is>
          <t>Кэнтрелл К.</t>
        </is>
      </c>
      <c r="E2064" s="23" t="inlineStr">
        <is>
          <t>Урок беспроигрошного соблазнения</t>
        </is>
      </c>
      <c r="F2064" s="23" t="n">
        <v>266</v>
      </c>
      <c r="G2064" s="23" t="n">
        <v>102</v>
      </c>
      <c r="H2064" s="23" t="n">
        <v>10</v>
      </c>
      <c r="I2064" s="23" t="n">
        <v>30</v>
      </c>
      <c r="J2064" s="23" t="inlineStr">
        <is>
          <t>978-5-227-08135-3</t>
        </is>
      </c>
      <c r="K2064" s="23" t="inlineStr">
        <is>
          <t>70x100 1/32</t>
        </is>
      </c>
      <c r="L2064" s="23" t="inlineStr">
        <is>
          <t>мяг</t>
        </is>
      </c>
      <c r="M2064" s="23" t="n">
        <v>160</v>
      </c>
      <c r="N2064" s="23" t="n">
        <v>2018</v>
      </c>
      <c r="O2064" s="23" t="n">
        <v>76</v>
      </c>
      <c r="P2064" s="23" t="n"/>
      <c r="Q2064" s="23" t="n"/>
      <c r="R2064" s="25" t="n"/>
      <c r="S2064" s="26">
        <f>HYPERLINK("http://www.cnpol.ru/covers/18156.jpg","фото на сайте")</f>
        <v/>
      </c>
    </row>
    <row r="2065" ht="50.1" customHeight="1" s="3">
      <c r="A2065" s="23" t="n"/>
      <c r="B2065" s="24" t="inlineStr">
        <is>
          <t>19696</t>
        </is>
      </c>
      <c r="C2065" s="23" t="inlineStr">
        <is>
          <t>ЛР СО</t>
        </is>
      </c>
      <c r="D2065" s="23" t="inlineStr">
        <is>
          <t>Мейнард Д.</t>
        </is>
      </c>
      <c r="E2065" s="23" t="inlineStr">
        <is>
          <t>Фантазии о счастье</t>
        </is>
      </c>
      <c r="F2065" s="23" t="n">
        <v>377</v>
      </c>
      <c r="G2065" s="23" t="n">
        <v>102</v>
      </c>
      <c r="H2065" s="23" t="n">
        <v>10</v>
      </c>
      <c r="I2065" s="23" t="n">
        <v>30</v>
      </c>
      <c r="J2065" s="23" t="inlineStr">
        <is>
          <t>978-5-227-09295-3</t>
        </is>
      </c>
      <c r="K2065" s="23" t="inlineStr">
        <is>
          <t>70x100 1/32</t>
        </is>
      </c>
      <c r="L2065" s="23" t="inlineStr">
        <is>
          <t>мяг</t>
        </is>
      </c>
      <c r="M2065" s="23" t="n">
        <v>160</v>
      </c>
      <c r="N2065" s="23" t="n">
        <v>2021</v>
      </c>
      <c r="O2065" s="23" t="n">
        <v>76</v>
      </c>
      <c r="P2065" s="23" t="n"/>
      <c r="Q2065" s="23" t="n"/>
      <c r="R2065" s="25" t="n"/>
      <c r="S2065" s="26">
        <f>HYPERLINK("http://www.cnpol.ru/covers/19696.jpg","фото на сайте")</f>
        <v/>
      </c>
    </row>
    <row r="2066" ht="50.1" customHeight="1" s="3">
      <c r="A2066" s="23" t="n"/>
      <c r="B2066" s="24" t="inlineStr">
        <is>
          <t>16432</t>
        </is>
      </c>
      <c r="C2066" s="23" t="inlineStr">
        <is>
          <t>ЛР СО</t>
        </is>
      </c>
      <c r="D2066" s="23" t="inlineStr">
        <is>
          <t>Лоренс А.</t>
        </is>
      </c>
      <c r="E2066" s="23" t="inlineStr">
        <is>
          <t>Фейерверк нашей страсти</t>
        </is>
      </c>
      <c r="F2066" s="23" t="n">
        <v>149</v>
      </c>
      <c r="G2066" s="23" t="n">
        <v>102</v>
      </c>
      <c r="H2066" s="23" t="n">
        <v>10</v>
      </c>
      <c r="I2066" s="23" t="n">
        <v>30</v>
      </c>
      <c r="J2066" s="23" t="inlineStr">
        <is>
          <t>978-5-227-06297-0</t>
        </is>
      </c>
      <c r="K2066" s="23" t="inlineStr">
        <is>
          <t>70x100 1/32</t>
        </is>
      </c>
      <c r="L2066" s="23" t="inlineStr">
        <is>
          <t>мяг</t>
        </is>
      </c>
      <c r="M2066" s="23" t="n">
        <v>158</v>
      </c>
      <c r="N2066" s="23" t="n">
        <v>2016</v>
      </c>
      <c r="O2066" s="23" t="n">
        <v>76</v>
      </c>
      <c r="P2066" s="23" t="n"/>
      <c r="Q2066" s="23" t="n"/>
      <c r="R2066" s="25" t="n"/>
      <c r="S2066" s="26">
        <f>HYPERLINK("http://www.cnpol.ru/covers/16432.jpg","фото на сайте")</f>
        <v/>
      </c>
    </row>
    <row r="2067" ht="50.1" customHeight="1" s="3">
      <c r="A2067" s="23" t="n"/>
      <c r="B2067" s="24" t="inlineStr">
        <is>
          <t>17916</t>
        </is>
      </c>
      <c r="C2067" s="23" t="inlineStr">
        <is>
          <t>ЛР СО</t>
        </is>
      </c>
      <c r="D2067" s="23" t="inlineStr">
        <is>
          <t>Лоренс А.</t>
        </is>
      </c>
      <c r="E2067" s="23" t="inlineStr">
        <is>
          <t>Целься сразу в сердце</t>
        </is>
      </c>
      <c r="F2067" s="23" t="n">
        <v>253</v>
      </c>
      <c r="G2067" s="23" t="n">
        <v>102</v>
      </c>
      <c r="H2067" s="23" t="n">
        <v>10</v>
      </c>
      <c r="I2067" s="23" t="n">
        <v>30</v>
      </c>
      <c r="J2067" s="23" t="inlineStr">
        <is>
          <t>978-5-227-07997-8</t>
        </is>
      </c>
      <c r="K2067" s="23" t="inlineStr">
        <is>
          <t>70x100 1/32</t>
        </is>
      </c>
      <c r="L2067" s="23" t="inlineStr">
        <is>
          <t>мяг</t>
        </is>
      </c>
      <c r="M2067" s="23" t="n">
        <v>160</v>
      </c>
      <c r="N2067" s="23" t="n">
        <v>2018</v>
      </c>
      <c r="O2067" s="23" t="n">
        <v>76</v>
      </c>
      <c r="P2067" s="23" t="n"/>
      <c r="Q2067" s="23" t="n"/>
      <c r="R2067" s="25" t="n"/>
      <c r="S2067" s="26">
        <f>HYPERLINK("http://www.cnpol.ru/covers/17916.jpg","фото на сайте")</f>
        <v/>
      </c>
    </row>
    <row r="2068" ht="50.1" customHeight="1" s="3">
      <c r="A2068" s="23" t="n"/>
      <c r="B2068" s="24" t="inlineStr">
        <is>
          <t>19090</t>
        </is>
      </c>
      <c r="C2068" s="23" t="inlineStr">
        <is>
          <t>ЛР СО</t>
        </is>
      </c>
      <c r="D2068" s="23" t="inlineStr">
        <is>
          <t>Чайлд М.</t>
        </is>
      </c>
      <c r="E2068" s="23" t="inlineStr">
        <is>
          <t>Цунами соблазнов</t>
        </is>
      </c>
      <c r="F2068" s="23" t="n">
        <v>343</v>
      </c>
      <c r="G2068" s="23" t="n">
        <v>102</v>
      </c>
      <c r="H2068" s="23" t="n">
        <v>10</v>
      </c>
      <c r="I2068" s="23" t="n">
        <v>30</v>
      </c>
      <c r="J2068" s="23" t="inlineStr">
        <is>
          <t>978-5-227-08943-4</t>
        </is>
      </c>
      <c r="K2068" s="23" t="inlineStr">
        <is>
          <t>70x100 1/32</t>
        </is>
      </c>
      <c r="L2068" s="23" t="inlineStr">
        <is>
          <t>мяг</t>
        </is>
      </c>
      <c r="M2068" s="23" t="n">
        <v>160</v>
      </c>
      <c r="N2068" s="23" t="n">
        <v>2020</v>
      </c>
      <c r="O2068" s="23" t="n">
        <v>76</v>
      </c>
      <c r="P2068" s="23" t="n"/>
      <c r="Q2068" s="23" t="n"/>
      <c r="R2068" s="25" t="n"/>
      <c r="S2068" s="26">
        <f>HYPERLINK("http://www.cnpol.ru/covers/19090.jpg","фото на сайте")</f>
        <v/>
      </c>
    </row>
    <row r="2069" ht="50.1" customHeight="1" s="3">
      <c r="A2069" s="23" t="n"/>
      <c r="B2069" s="24" t="inlineStr">
        <is>
          <t>19929</t>
        </is>
      </c>
      <c r="C2069" s="23" t="inlineStr">
        <is>
          <t>ЛР СО</t>
        </is>
      </c>
      <c r="D2069" s="23" t="inlineStr">
        <is>
          <t>Мейнард Д.</t>
        </is>
      </c>
      <c r="E2069" s="23" t="inlineStr">
        <is>
          <t>Час на соблазнение</t>
        </is>
      </c>
      <c r="F2069" s="23" t="n">
        <v>390</v>
      </c>
      <c r="G2069" s="23" t="n">
        <v>102</v>
      </c>
      <c r="H2069" s="23" t="n">
        <v>10</v>
      </c>
      <c r="I2069" s="23" t="n">
        <v>30</v>
      </c>
      <c r="J2069" s="23" t="inlineStr">
        <is>
          <t>978-5-227-09619-7</t>
        </is>
      </c>
      <c r="K2069" s="23" t="inlineStr">
        <is>
          <t>70x100 1/32</t>
        </is>
      </c>
      <c r="L2069" s="23" t="inlineStr">
        <is>
          <t>мяг</t>
        </is>
      </c>
      <c r="M2069" s="23" t="n">
        <v>159</v>
      </c>
      <c r="N2069" s="23" t="n">
        <v>2021</v>
      </c>
      <c r="O2069" s="23" t="n">
        <v>76</v>
      </c>
      <c r="P2069" s="23" t="n"/>
      <c r="Q2069" s="23" t="n"/>
      <c r="R2069" s="25" t="n"/>
      <c r="S2069" s="26">
        <f>HYPERLINK("http://www.cnpol.ru/covers/19929.jpg","фото на сайте")</f>
        <v/>
      </c>
    </row>
    <row r="2070" ht="50.1" customHeight="1" s="3">
      <c r="A2070" s="23" t="n"/>
      <c r="B2070" s="24" t="inlineStr">
        <is>
          <t>16495</t>
        </is>
      </c>
      <c r="C2070" s="23" t="inlineStr">
        <is>
          <t>ЛР СО</t>
        </is>
      </c>
      <c r="D2070" s="23" t="inlineStr">
        <is>
          <t>Беннет Д.</t>
        </is>
      </c>
      <c r="E2070" s="23" t="inlineStr">
        <is>
          <t>Чего хочет принц?</t>
        </is>
      </c>
      <c r="F2070" s="23" t="n">
        <v>153</v>
      </c>
      <c r="G2070" s="23" t="n">
        <v>102</v>
      </c>
      <c r="H2070" s="23" t="n">
        <v>10</v>
      </c>
      <c r="I2070" s="23" t="n">
        <v>30</v>
      </c>
      <c r="J2070" s="23" t="inlineStr">
        <is>
          <t>978-5-227-06398-4</t>
        </is>
      </c>
      <c r="K2070" s="23" t="inlineStr">
        <is>
          <t>70x100 1/32</t>
        </is>
      </c>
      <c r="L2070" s="23" t="inlineStr">
        <is>
          <t>мяг</t>
        </is>
      </c>
      <c r="M2070" s="23" t="n">
        <v>160</v>
      </c>
      <c r="N2070" s="23" t="n">
        <v>2016</v>
      </c>
      <c r="O2070" s="23" t="n">
        <v>76</v>
      </c>
      <c r="P2070" s="23" t="n"/>
      <c r="Q2070" s="23" t="n"/>
      <c r="R2070" s="25" t="n"/>
      <c r="S2070" s="26">
        <f>HYPERLINK("http://www.cnpol.ru/covers/16495.jpg","фото на сайте")</f>
        <v/>
      </c>
    </row>
    <row r="2071" ht="50.1" customHeight="1" s="3">
      <c r="A2071" s="23" t="n"/>
      <c r="B2071" s="24" t="inlineStr">
        <is>
          <t>15960</t>
        </is>
      </c>
      <c r="C2071" s="23" t="inlineStr">
        <is>
          <t>ЛР СО</t>
        </is>
      </c>
      <c r="D2071" s="23" t="inlineStr">
        <is>
          <t>Памми Т.</t>
        </is>
      </c>
      <c r="E2071" s="23" t="inlineStr">
        <is>
          <t>Черное сердце</t>
        </is>
      </c>
      <c r="F2071" s="23" t="n">
        <v>116</v>
      </c>
      <c r="G2071" s="23" t="n">
        <v>102</v>
      </c>
      <c r="H2071" s="23" t="n">
        <v>10</v>
      </c>
      <c r="I2071" s="23" t="n">
        <v>30</v>
      </c>
      <c r="J2071" s="23" t="inlineStr">
        <is>
          <t>978-5-227-05925-3</t>
        </is>
      </c>
      <c r="K2071" s="23" t="inlineStr">
        <is>
          <t>70x100 1/32</t>
        </is>
      </c>
      <c r="L2071" s="23" t="inlineStr">
        <is>
          <t>мяг</t>
        </is>
      </c>
      <c r="M2071" s="23" t="n">
        <v>158</v>
      </c>
      <c r="N2071" s="23" t="n">
        <v>2015</v>
      </c>
      <c r="O2071" s="23" t="n">
        <v>76</v>
      </c>
      <c r="P2071" s="23" t="n"/>
      <c r="Q2071" s="23" t="n"/>
      <c r="R2071" s="25" t="n"/>
      <c r="S2071" s="26">
        <f>HYPERLINK("http://www.cnpol.ru/covers/15960.jpg","фото на сайте")</f>
        <v/>
      </c>
    </row>
    <row r="2072" ht="50.1" customHeight="1" s="3">
      <c r="A2072" s="23" t="n"/>
      <c r="B2072" s="24" t="inlineStr">
        <is>
          <t>15564</t>
        </is>
      </c>
      <c r="C2072" s="23" t="inlineStr">
        <is>
          <t>ЛР СО</t>
        </is>
      </c>
      <c r="D2072" s="23" t="inlineStr">
        <is>
          <t>Маринелли К.</t>
        </is>
      </c>
      <c r="E2072" s="23" t="inlineStr">
        <is>
          <t>Шаг навстречу</t>
        </is>
      </c>
      <c r="F2072" s="23" t="n">
        <v>92</v>
      </c>
      <c r="G2072" s="23" t="n">
        <v>102</v>
      </c>
      <c r="H2072" s="23" t="n">
        <v>10</v>
      </c>
      <c r="I2072" s="23" t="n">
        <v>30</v>
      </c>
      <c r="J2072" s="23" t="inlineStr">
        <is>
          <t>978-5-227-05616-0</t>
        </is>
      </c>
      <c r="K2072" s="23" t="inlineStr">
        <is>
          <t>70x100 1/32</t>
        </is>
      </c>
      <c r="L2072" s="23" t="inlineStr">
        <is>
          <t>мяг</t>
        </is>
      </c>
      <c r="M2072" s="23" t="n">
        <v>158</v>
      </c>
      <c r="N2072" s="23" t="n">
        <v>2014</v>
      </c>
      <c r="O2072" s="23" t="n">
        <v>76</v>
      </c>
      <c r="P2072" s="23" t="n"/>
      <c r="Q2072" s="23" t="n"/>
      <c r="R2072" s="25" t="n"/>
      <c r="S2072" s="26">
        <f>HYPERLINK("http://www.cnpol.ru/covers/15564.jpg","фото на сайте")</f>
        <v/>
      </c>
    </row>
    <row r="2073" ht="50.1" customHeight="1" s="3">
      <c r="A2073" s="23" t="n"/>
      <c r="B2073" s="24" t="inlineStr">
        <is>
          <t>19643</t>
        </is>
      </c>
      <c r="C2073" s="23" t="inlineStr">
        <is>
          <t>ЛР СО</t>
        </is>
      </c>
      <c r="D2073" s="23" t="inlineStr">
        <is>
          <t>Колтер К.</t>
        </is>
      </c>
      <c r="E2073" s="23" t="inlineStr">
        <is>
          <t>Шаг навстречу любви</t>
        </is>
      </c>
      <c r="F2073" s="23" t="n">
        <v>374</v>
      </c>
      <c r="G2073" s="23" t="n">
        <v>102</v>
      </c>
      <c r="H2073" s="23" t="n">
        <v>10</v>
      </c>
      <c r="I2073" s="23" t="n">
        <v>30</v>
      </c>
      <c r="J2073" s="23" t="inlineStr">
        <is>
          <t>978-5-227-09276-2</t>
        </is>
      </c>
      <c r="K2073" s="23" t="inlineStr">
        <is>
          <t>70x100 1/32</t>
        </is>
      </c>
      <c r="L2073" s="23" t="inlineStr">
        <is>
          <t>мяг</t>
        </is>
      </c>
      <c r="M2073" s="23" t="n">
        <v>160</v>
      </c>
      <c r="N2073" s="23" t="n">
        <v>2021</v>
      </c>
      <c r="O2073" s="23" t="n">
        <v>76</v>
      </c>
      <c r="P2073" s="23" t="n"/>
      <c r="Q2073" s="23" t="n"/>
      <c r="R2073" s="25" t="n"/>
      <c r="S2073" s="26">
        <f>HYPERLINK("http://www.cnpol.ru/covers/19643.jpg","фото на сайте")</f>
        <v/>
      </c>
    </row>
    <row r="2074" ht="50.1" customHeight="1" s="3">
      <c r="A2074" s="23" t="n"/>
      <c r="B2074" s="24" t="inlineStr">
        <is>
          <t>19947</t>
        </is>
      </c>
      <c r="C2074" s="23" t="inlineStr">
        <is>
          <t>ЛР СО</t>
        </is>
      </c>
      <c r="D2074" s="23" t="inlineStr">
        <is>
          <t>Брукс Х.</t>
        </is>
      </c>
      <c r="E2074" s="23" t="inlineStr">
        <is>
          <t>Шанс все изменить</t>
        </is>
      </c>
      <c r="F2074" s="23" t="n">
        <v>391</v>
      </c>
      <c r="G2074" s="23" t="n">
        <v>102</v>
      </c>
      <c r="H2074" s="23" t="n">
        <v>10</v>
      </c>
      <c r="I2074" s="23" t="n">
        <v>30</v>
      </c>
      <c r="J2074" s="23" t="inlineStr">
        <is>
          <t>978-5-227-09620-3</t>
        </is>
      </c>
      <c r="K2074" s="23" t="inlineStr">
        <is>
          <t>70x100 1/32</t>
        </is>
      </c>
      <c r="L2074" s="23" t="inlineStr">
        <is>
          <t>мяг</t>
        </is>
      </c>
      <c r="M2074" s="23" t="n">
        <v>159</v>
      </c>
      <c r="N2074" s="23" t="n">
        <v>2021</v>
      </c>
      <c r="O2074" s="23" t="n">
        <v>76</v>
      </c>
      <c r="P2074" s="23" t="n"/>
      <c r="Q2074" s="23" t="n"/>
      <c r="R2074" s="25" t="n"/>
      <c r="S2074" s="26">
        <f>HYPERLINK("http://www.cnpol.ru/covers/19947.jpg","фото на сайте")</f>
        <v/>
      </c>
    </row>
    <row r="2075" ht="50.1" customHeight="1" s="3">
      <c r="A2075" s="23" t="n"/>
      <c r="B2075" s="24" t="inlineStr">
        <is>
          <t>14703</t>
        </is>
      </c>
      <c r="C2075" s="23" t="inlineStr">
        <is>
          <t>ЛР СО</t>
        </is>
      </c>
      <c r="D2075" s="23" t="inlineStr">
        <is>
          <t>Линдсей И.</t>
        </is>
      </c>
      <c r="E2075" s="23" t="inlineStr">
        <is>
          <t>Шелковый соблазн</t>
        </is>
      </c>
      <c r="F2075" s="23" t="n">
        <v>44</v>
      </c>
      <c r="G2075" s="23" t="n">
        <v>102</v>
      </c>
      <c r="H2075" s="23" t="n">
        <v>10</v>
      </c>
      <c r="I2075" s="23" t="n">
        <v>30</v>
      </c>
      <c r="J2075" s="23" t="inlineStr">
        <is>
          <t>978-5-227-04673-4</t>
        </is>
      </c>
      <c r="K2075" s="23" t="inlineStr">
        <is>
          <t>70x100 1/32</t>
        </is>
      </c>
      <c r="L2075" s="23" t="inlineStr">
        <is>
          <t>мяг</t>
        </is>
      </c>
      <c r="M2075" s="23" t="n">
        <v>159</v>
      </c>
      <c r="N2075" s="23" t="n">
        <v>2013</v>
      </c>
      <c r="O2075" s="23" t="n">
        <v>78</v>
      </c>
      <c r="P2075" s="23" t="n"/>
      <c r="Q2075" s="23" t="n"/>
      <c r="R2075" s="25" t="n"/>
      <c r="S2075" s="26">
        <f>HYPERLINK("http://www.cnpol.ru/covers/14703.jpg","фото на сайте")</f>
        <v/>
      </c>
    </row>
    <row r="2076" ht="50.1" customHeight="1" s="3">
      <c r="A2076" s="23" t="n"/>
      <c r="B2076" s="24" t="inlineStr">
        <is>
          <t>19582</t>
        </is>
      </c>
      <c r="C2076" s="23" t="inlineStr">
        <is>
          <t>ЛР СО</t>
        </is>
      </c>
      <c r="D2076" s="23" t="inlineStr">
        <is>
          <t>Бут К.</t>
        </is>
      </c>
      <c r="E2076" s="23" t="inlineStr">
        <is>
          <t>Шокированный любовник</t>
        </is>
      </c>
      <c r="F2076" s="23" t="n">
        <v>371</v>
      </c>
      <c r="G2076" s="23" t="n">
        <v>102</v>
      </c>
      <c r="H2076" s="23" t="n">
        <v>10</v>
      </c>
      <c r="I2076" s="23" t="n">
        <v>30</v>
      </c>
      <c r="J2076" s="23" t="inlineStr">
        <is>
          <t>978-5-227-09206-9</t>
        </is>
      </c>
      <c r="K2076" s="23" t="inlineStr">
        <is>
          <t>70x100 1/32</t>
        </is>
      </c>
      <c r="L2076" s="23" t="inlineStr">
        <is>
          <t>мяг</t>
        </is>
      </c>
      <c r="M2076" s="23" t="n">
        <v>160</v>
      </c>
      <c r="N2076" s="23" t="n">
        <v>2021</v>
      </c>
      <c r="O2076" s="23" t="n">
        <v>76</v>
      </c>
      <c r="P2076" s="23" t="n"/>
      <c r="Q2076" s="23" t="n"/>
      <c r="R2076" s="25" t="n"/>
      <c r="S2076" s="26">
        <f>HYPERLINK("http://www.cnpol.ru/covers/19582.jpg","фото на сайте")</f>
        <v/>
      </c>
    </row>
    <row r="2077" ht="50.1" customHeight="1" s="3">
      <c r="A2077" s="23" t="n"/>
      <c r="B2077" s="24" t="inlineStr">
        <is>
          <t>18776</t>
        </is>
      </c>
      <c r="C2077" s="23" t="inlineStr">
        <is>
          <t>ЛР СО</t>
        </is>
      </c>
      <c r="D2077" s="23" t="inlineStr">
        <is>
          <t>Андерсон С.</t>
        </is>
      </c>
      <c r="E2077" s="23" t="inlineStr">
        <is>
          <t>Экстаз случайной встречи</t>
        </is>
      </c>
      <c r="F2077" s="23" t="n">
        <v>316</v>
      </c>
      <c r="G2077" s="23" t="n">
        <v>102</v>
      </c>
      <c r="H2077" s="23" t="n">
        <v>10</v>
      </c>
      <c r="I2077" s="23" t="n">
        <v>30</v>
      </c>
      <c r="J2077" s="23" t="inlineStr">
        <is>
          <t>978-5-227-08667-9</t>
        </is>
      </c>
      <c r="K2077" s="23" t="inlineStr">
        <is>
          <t>70x100 1/32</t>
        </is>
      </c>
      <c r="L2077" s="23" t="inlineStr">
        <is>
          <t>мяг</t>
        </is>
      </c>
      <c r="M2077" s="23" t="n">
        <v>160</v>
      </c>
      <c r="N2077" s="23" t="n">
        <v>2019</v>
      </c>
      <c r="O2077" s="23" t="n">
        <v>76</v>
      </c>
      <c r="P2077" s="23" t="n"/>
      <c r="Q2077" s="23" t="n"/>
      <c r="R2077" s="25" t="n"/>
      <c r="S2077" s="26">
        <f>HYPERLINK("http://www.cnpol.ru/covers/18776.jpg","фото на сайте")</f>
        <v/>
      </c>
    </row>
    <row r="2078" ht="50.1" customHeight="1" s="3">
      <c r="A2078" s="23" t="n"/>
      <c r="B2078" s="24" t="inlineStr">
        <is>
          <t>18213</t>
        </is>
      </c>
      <c r="C2078" s="23" t="inlineStr">
        <is>
          <t>ЛР СО</t>
        </is>
      </c>
      <c r="D2078" s="23" t="inlineStr">
        <is>
          <t>Пало А.</t>
        </is>
      </c>
      <c r="E2078" s="23" t="inlineStr">
        <is>
          <t>Экстремальные ласки</t>
        </is>
      </c>
      <c r="F2078" s="23" t="n">
        <v>270</v>
      </c>
      <c r="G2078" s="23" t="n">
        <v>102</v>
      </c>
      <c r="H2078" s="23" t="n">
        <v>10</v>
      </c>
      <c r="I2078" s="23" t="n">
        <v>30</v>
      </c>
      <c r="J2078" s="23" t="inlineStr">
        <is>
          <t>978-5-227-08201-5</t>
        </is>
      </c>
      <c r="K2078" s="23" t="inlineStr">
        <is>
          <t>70x100 1/32</t>
        </is>
      </c>
      <c r="L2078" s="23" t="inlineStr">
        <is>
          <t>мяг</t>
        </is>
      </c>
      <c r="M2078" s="23" t="n">
        <v>160</v>
      </c>
      <c r="N2078" s="23" t="n">
        <v>2018</v>
      </c>
      <c r="O2078" s="23" t="n">
        <v>76</v>
      </c>
      <c r="P2078" s="23" t="n"/>
      <c r="Q2078" s="23" t="n"/>
      <c r="R2078" s="25" t="n"/>
      <c r="S2078" s="26">
        <f>HYPERLINK("http://www.cnpol.ru/covers/18213.jpg","фото на сайте")</f>
        <v/>
      </c>
    </row>
    <row r="2079" ht="50.1" customHeight="1" s="3">
      <c r="A2079" s="23" t="n"/>
      <c r="B2079" s="24" t="inlineStr">
        <is>
          <t>16889</t>
        </is>
      </c>
      <c r="C2079" s="23" t="inlineStr">
        <is>
          <t>ЛР СО</t>
        </is>
      </c>
      <c r="D2079" s="23" t="inlineStr">
        <is>
          <t>Мейнард Д.</t>
        </is>
      </c>
      <c r="E2079" s="23" t="inlineStr">
        <is>
          <t>Экстремальный соблазн</t>
        </is>
      </c>
      <c r="F2079" s="23" t="n">
        <v>179</v>
      </c>
      <c r="G2079" s="23" t="n">
        <v>102</v>
      </c>
      <c r="H2079" s="23" t="n">
        <v>10</v>
      </c>
      <c r="I2079" s="23" t="n">
        <v>30</v>
      </c>
      <c r="J2079" s="23" t="inlineStr">
        <is>
          <t>978-5-227-06832-3</t>
        </is>
      </c>
      <c r="K2079" s="23" t="inlineStr">
        <is>
          <t>70x100 1/32</t>
        </is>
      </c>
      <c r="L2079" s="23" t="inlineStr">
        <is>
          <t>мяг</t>
        </is>
      </c>
      <c r="M2079" s="23" t="n">
        <v>160</v>
      </c>
      <c r="N2079" s="23" t="n">
        <v>2016</v>
      </c>
      <c r="O2079" s="23" t="n">
        <v>76</v>
      </c>
      <c r="P2079" s="23" t="n"/>
      <c r="Q2079" s="23" t="n"/>
      <c r="R2079" s="25" t="n"/>
      <c r="S2079" s="26">
        <f>HYPERLINK("http://www.cnpol.ru/covers/16889.jpg","фото на сайте")</f>
        <v/>
      </c>
    </row>
    <row r="2080" ht="50.1" customHeight="1" s="3">
      <c r="A2080" s="23" t="n"/>
      <c r="B2080" s="24" t="inlineStr">
        <is>
          <t>19865</t>
        </is>
      </c>
      <c r="C2080" s="23" t="inlineStr">
        <is>
          <t>ЛР СО</t>
        </is>
      </c>
      <c r="D2080" s="23" t="inlineStr">
        <is>
          <t>Лоренс К.</t>
        </is>
      </c>
      <c r="E2080" s="23" t="inlineStr">
        <is>
          <t>Я требую… свадьбу!</t>
        </is>
      </c>
      <c r="F2080" s="23" t="n">
        <v>385</v>
      </c>
      <c r="G2080" s="23" t="n">
        <v>102</v>
      </c>
      <c r="H2080" s="23" t="n">
        <v>10</v>
      </c>
      <c r="I2080" s="23" t="n">
        <v>30</v>
      </c>
      <c r="J2080" s="23" t="inlineStr">
        <is>
          <t>978-5-227-09487-2</t>
        </is>
      </c>
      <c r="K2080" s="23" t="inlineStr">
        <is>
          <t>70x100 1/32</t>
        </is>
      </c>
      <c r="L2080" s="23" t="inlineStr">
        <is>
          <t>мяг</t>
        </is>
      </c>
      <c r="M2080" s="23" t="n">
        <v>159</v>
      </c>
      <c r="N2080" s="23" t="n">
        <v>2021</v>
      </c>
      <c r="O2080" s="23" t="n">
        <v>76</v>
      </c>
      <c r="P2080" s="23" t="n"/>
      <c r="Q2080" s="23" t="n"/>
      <c r="R2080" s="25" t="n"/>
      <c r="S2080" s="26">
        <f>HYPERLINK("http://www.cnpol.ru/covers/19865.jpg","фото на сайте")</f>
        <v/>
      </c>
    </row>
    <row r="2081" ht="50.1" customHeight="1" s="3">
      <c r="A2081" s="23" t="n"/>
      <c r="B2081" s="24" t="inlineStr">
        <is>
          <t>17327</t>
        </is>
      </c>
      <c r="C2081" s="23" t="inlineStr">
        <is>
          <t>ЛР СО</t>
        </is>
      </c>
      <c r="D2081" s="23" t="inlineStr">
        <is>
          <t>Мори Т.</t>
        </is>
      </c>
      <c r="E2081" s="23" t="inlineStr">
        <is>
          <t>Янтарная сказка</t>
        </is>
      </c>
      <c r="F2081" s="23" t="n">
        <v>208</v>
      </c>
      <c r="G2081" s="23" t="n">
        <v>102</v>
      </c>
      <c r="H2081" s="23" t="n">
        <v>10</v>
      </c>
      <c r="I2081" s="23" t="n">
        <v>30</v>
      </c>
      <c r="J2081" s="23" t="inlineStr">
        <is>
          <t>978-5-227-07318-1</t>
        </is>
      </c>
      <c r="K2081" s="23" t="inlineStr">
        <is>
          <t>70x100 1/32</t>
        </is>
      </c>
      <c r="L2081" s="23" t="inlineStr">
        <is>
          <t>мяг</t>
        </is>
      </c>
      <c r="M2081" s="23" t="n">
        <v>160</v>
      </c>
      <c r="N2081" s="23" t="n">
        <v>2017</v>
      </c>
      <c r="O2081" s="23" t="n">
        <v>76</v>
      </c>
      <c r="P2081" s="23" t="n"/>
      <c r="Q2081" s="23" t="n"/>
      <c r="R2081" s="25" t="n"/>
      <c r="S2081" s="26">
        <f>HYPERLINK("http://www.cnpol.ru/covers/17327.jpg","фото на сайте")</f>
        <v/>
      </c>
    </row>
    <row r="2082" ht="50.1" customHeight="1" s="3">
      <c r="A2082" s="23" t="n"/>
      <c r="B2082" s="24" t="inlineStr">
        <is>
          <t>11323</t>
        </is>
      </c>
      <c r="C2082" s="23" t="inlineStr">
        <is>
          <t>ЛУЧ МЕТ</t>
        </is>
      </c>
      <c r="D2082" s="23" t="inlineStr">
        <is>
          <t>Боровков</t>
        </is>
      </c>
      <c r="E2082" s="23" t="inlineStr">
        <is>
          <t>Гипертония. Профилактика и методы лечения</t>
        </is>
      </c>
      <c r="F2082" s="23" t="inlineStr">
        <is>
          <t>        </t>
        </is>
      </c>
      <c r="G2082" s="23" t="n">
        <v>150</v>
      </c>
      <c r="H2082" s="23" t="n">
        <v>10</v>
      </c>
      <c r="I2082" s="23" t="n">
        <v>32</v>
      </c>
      <c r="J2082" s="23" t="inlineStr">
        <is>
          <t>978-5-9524-4453-9</t>
        </is>
      </c>
      <c r="K2082" s="23" t="inlineStr">
        <is>
          <t>84x108 1/32 (обл)</t>
        </is>
      </c>
      <c r="L2082" s="23" t="inlineStr">
        <is>
          <t>мяг</t>
        </is>
      </c>
      <c r="M2082" s="23" t="n">
        <v>127</v>
      </c>
      <c r="N2082" s="23" t="n">
        <v>2009</v>
      </c>
      <c r="O2082" s="23" t="n">
        <v>82</v>
      </c>
      <c r="P2082" s="23" t="n"/>
      <c r="Q2082" s="23" t="n"/>
      <c r="R2082" s="25" t="inlineStr">
        <is>
          <t>Эта книга будет полезна для очень многих людей, ведь гипертония сейчас распространена, как никогда. Опытные врачи, доктор медицинских наук, профессор Н.Н. Боровков и кандидат медицинских наук В.П. Носов, расскажут вам, отчего развивается артериальная гипертония, научат правильно измерять давление, подскажут, как надо лечиться и какой образ жизни...</t>
        </is>
      </c>
      <c r="S2082" s="26">
        <f>HYPERLINK("http://www.cnpol.ru/covers/11323.jpg","фото на сайте")</f>
        <v/>
      </c>
    </row>
    <row r="2083" ht="50.1" customHeight="1" s="3">
      <c r="A2083" s="23" t="n"/>
      <c r="B2083" s="24" t="inlineStr">
        <is>
          <t>4909</t>
        </is>
      </c>
      <c r="C2083" s="23" t="inlineStr">
        <is>
          <t>М NEXT</t>
        </is>
      </c>
      <c r="D2083" s="23" t="inlineStr">
        <is>
          <t>Устинов А.</t>
        </is>
      </c>
      <c r="E2083" s="23" t="inlineStr">
        <is>
          <t>Империя</t>
        </is>
      </c>
      <c r="F2083" s="23" t="inlineStr">
        <is>
          <t>        </t>
        </is>
      </c>
      <c r="G2083" s="23" t="n">
        <v>168</v>
      </c>
      <c r="H2083" s="23" t="n">
        <v>10</v>
      </c>
      <c r="I2083" s="23" t="n">
        <v>24</v>
      </c>
      <c r="J2083" s="23" t="inlineStr">
        <is>
          <t>5-9524-1036-7</t>
        </is>
      </c>
      <c r="K2083" s="23" t="inlineStr">
        <is>
          <t>70x90 1/32</t>
        </is>
      </c>
      <c r="L2083" s="23" t="inlineStr">
        <is>
          <t>мяг</t>
        </is>
      </c>
      <c r="M2083" s="23" t="n">
        <v>316</v>
      </c>
      <c r="N2083" s="23" t="n">
        <v>2004</v>
      </c>
      <c r="O2083" s="23" t="n">
        <v>130</v>
      </c>
      <c r="P2083" s="23" t="n"/>
      <c r="Q2083" s="23" t="n"/>
      <c r="R2083" s="25" t="inlineStr">
        <is>
          <t>Книга написана по сценарию известного российского драматурга А.В. Тимма. Конкуренты хозяина "Империи" Владимира Кирсанова подстроили автокатастрофу. Он гибнет, а его жена Ольга чудом остается жива. Пока она лежит и коме, адвокат Ангелина Виннер и бывший компаньон погибшего Андрей Семирядин пытаются завладеть наследством Кирсанова. Но его сын Ваня прерывает учебу в Лондоне и с помощью "сладкой парочки", музыкального Санчо и неувядающей Клавдии, возвращается на Родину, чтобы продолжить дело отца.</t>
        </is>
      </c>
      <c r="S2083" s="26">
        <f>HYPERLINK("http://www.cnpol.ru/covers/4909.jpg","фото на сайте")</f>
        <v/>
      </c>
    </row>
    <row r="2084" ht="50.1" customHeight="1" s="3">
      <c r="A2084" s="23" t="n"/>
      <c r="B2084" s="24" t="inlineStr">
        <is>
          <t>4905</t>
        </is>
      </c>
      <c r="C2084" s="23" t="inlineStr">
        <is>
          <t>М NEXT</t>
        </is>
      </c>
      <c r="D2084" s="23" t="inlineStr">
        <is>
          <t>Устинов А.</t>
        </is>
      </c>
      <c r="E2084" s="23" t="inlineStr">
        <is>
          <t>Отец это звучит гордо</t>
        </is>
      </c>
      <c r="F2084" s="23" t="inlineStr">
        <is>
          <t>        </t>
        </is>
      </c>
      <c r="G2084" s="23" t="n">
        <v>168</v>
      </c>
      <c r="H2084" s="23" t="n">
        <v>10</v>
      </c>
      <c r="I2084" s="23" t="n">
        <v>24</v>
      </c>
      <c r="J2084" s="23" t="inlineStr">
        <is>
          <t>5-9524-1044-8</t>
        </is>
      </c>
      <c r="K2084" s="23" t="inlineStr">
        <is>
          <t>70x90 1/32</t>
        </is>
      </c>
      <c r="L2084" s="23" t="inlineStr">
        <is>
          <t>мяг</t>
        </is>
      </c>
      <c r="M2084" s="23" t="n">
        <v>318</v>
      </c>
      <c r="N2084" s="23" t="n">
        <v>2004</v>
      </c>
      <c r="O2084" s="23" t="n">
        <v>128</v>
      </c>
      <c r="P2084" s="23" t="n"/>
      <c r="Q2084" s="23" t="n"/>
      <c r="R2084" s="25" t="n"/>
      <c r="S2084" s="26">
        <f>HYPERLINK("http://www.cnpol.ru/covers/4905.jpg","фото на сайте")</f>
        <v/>
      </c>
    </row>
    <row r="2085" ht="50.1" customHeight="1" s="3">
      <c r="A2085" s="23" t="n"/>
      <c r="B2085" s="24" t="inlineStr">
        <is>
          <t>4906</t>
        </is>
      </c>
      <c r="C2085" s="23" t="inlineStr">
        <is>
          <t>М NEXT</t>
        </is>
      </c>
      <c r="D2085" s="23" t="inlineStr">
        <is>
          <t>Устинов А.</t>
        </is>
      </c>
      <c r="E2085" s="23" t="inlineStr">
        <is>
          <t>Чужая война</t>
        </is>
      </c>
      <c r="F2085" s="23" t="inlineStr">
        <is>
          <t>        </t>
        </is>
      </c>
      <c r="G2085" s="23" t="n">
        <v>168</v>
      </c>
      <c r="H2085" s="23" t="n">
        <v>10</v>
      </c>
      <c r="I2085" s="23" t="n">
        <v>24</v>
      </c>
      <c r="J2085" s="23" t="inlineStr">
        <is>
          <t>5-9524-1048-0</t>
        </is>
      </c>
      <c r="K2085" s="23" t="inlineStr">
        <is>
          <t>70x90 1/32</t>
        </is>
      </c>
      <c r="L2085" s="23" t="inlineStr">
        <is>
          <t>мяг</t>
        </is>
      </c>
      <c r="M2085" s="23" t="n">
        <v>318</v>
      </c>
      <c r="N2085" s="23" t="n">
        <v>2004</v>
      </c>
      <c r="O2085" s="23" t="n">
        <v>122</v>
      </c>
      <c r="P2085" s="23" t="n"/>
      <c r="Q2085" s="23" t="n"/>
      <c r="R2085" s="25" t="n"/>
      <c r="S2085" s="26">
        <f>HYPERLINK("http://www.cnpol.ru/covers/4906.jpg","фото на сайте")</f>
        <v/>
      </c>
    </row>
    <row r="2086" ht="50.1" customHeight="1" s="3">
      <c r="A2086" s="23" t="n"/>
      <c r="B2086" s="24" t="inlineStr">
        <is>
          <t>13858</t>
        </is>
      </c>
      <c r="C2086" s="23" t="inlineStr">
        <is>
          <t>М ROMANCE</t>
        </is>
      </c>
      <c r="D2086" s="23" t="inlineStr">
        <is>
          <t>Кренц Джейн Энн</t>
        </is>
      </c>
      <c r="E2086" s="23" t="inlineStr">
        <is>
          <t>Наследник</t>
        </is>
      </c>
      <c r="F2086" s="23" t="inlineStr">
        <is>
          <t>        </t>
        </is>
      </c>
      <c r="G2086" s="23" t="n">
        <v>239</v>
      </c>
      <c r="H2086" s="23" t="n">
        <v>10</v>
      </c>
      <c r="I2086" s="23" t="n">
        <v>24</v>
      </c>
      <c r="J2086" s="23" t="inlineStr">
        <is>
          <t>978-5-227-03853-1</t>
        </is>
      </c>
      <c r="K2086" s="23" t="inlineStr">
        <is>
          <t>70x100 1/32</t>
        </is>
      </c>
      <c r="L2086" s="23" t="inlineStr">
        <is>
          <t>мяг</t>
        </is>
      </c>
      <c r="M2086" s="23" t="n">
        <v>347</v>
      </c>
      <c r="N2086" s="23" t="n">
        <v>2012</v>
      </c>
      <c r="O2086" s="23" t="n">
        <v>164</v>
      </c>
      <c r="P2086" s="23" t="n"/>
      <c r="Q2086" s="23" t="n"/>
      <c r="R2086" s="25" t="n"/>
      <c r="S2086" s="26">
        <f>HYPERLINK("http://www.cnpol.ru/covers/13858.jpg","фото на сайте")</f>
        <v/>
      </c>
    </row>
    <row r="2087" ht="50.1" customHeight="1" s="3">
      <c r="A2087" s="23" t="n"/>
      <c r="B2087" s="24" t="inlineStr">
        <is>
          <t>14067</t>
        </is>
      </c>
      <c r="C2087" s="23" t="inlineStr">
        <is>
          <t>М ROMANCE</t>
        </is>
      </c>
      <c r="D2087" s="23" t="inlineStr">
        <is>
          <t>Грэм Х.</t>
        </is>
      </c>
      <c r="E2087" s="23" t="inlineStr">
        <is>
          <t>Ночь призраков</t>
        </is>
      </c>
      <c r="F2087" s="23" t="inlineStr">
        <is>
          <t>        </t>
        </is>
      </c>
      <c r="G2087" s="23" t="n">
        <v>239</v>
      </c>
      <c r="H2087" s="23" t="n">
        <v>10</v>
      </c>
      <c r="I2087" s="23" t="n">
        <v>22</v>
      </c>
      <c r="J2087" s="23" t="inlineStr">
        <is>
          <t>978-5-227-04088-6</t>
        </is>
      </c>
      <c r="K2087" s="23" t="inlineStr">
        <is>
          <t>70x100 1/32</t>
        </is>
      </c>
      <c r="L2087" s="23" t="inlineStr">
        <is>
          <t>мяг</t>
        </is>
      </c>
      <c r="M2087" s="23" t="n">
        <v>320</v>
      </c>
      <c r="N2087" s="23" t="n">
        <v>2012</v>
      </c>
      <c r="O2087" s="23" t="n">
        <v>150</v>
      </c>
      <c r="P2087" s="23" t="n"/>
      <c r="Q2087" s="23" t="n"/>
      <c r="R2087" s="25" t="n"/>
      <c r="S2087" s="26">
        <f>HYPERLINK("http://www.cnpol.ru/covers/14067.jpg","фото на сайте")</f>
        <v/>
      </c>
    </row>
    <row r="2088" ht="50.1" customHeight="1" s="3">
      <c r="A2088" s="23" t="n"/>
      <c r="B2088" s="24" t="inlineStr">
        <is>
          <t>13932</t>
        </is>
      </c>
      <c r="C2088" s="23" t="inlineStr">
        <is>
          <t>М ROMANCE</t>
        </is>
      </c>
      <c r="D2088" s="23" t="inlineStr">
        <is>
          <t>Райан Хенк Флиппи</t>
        </is>
      </c>
      <c r="E2088" s="23" t="inlineStr">
        <is>
          <t>Прайм-тайм</t>
        </is>
      </c>
      <c r="F2088" s="23" t="inlineStr">
        <is>
          <t>        </t>
        </is>
      </c>
      <c r="G2088" s="23" t="n">
        <v>239</v>
      </c>
      <c r="H2088" s="23" t="n">
        <v>10</v>
      </c>
      <c r="I2088" s="23" t="n">
        <v>24</v>
      </c>
      <c r="J2088" s="23" t="inlineStr">
        <is>
          <t>978-5-227-03969-9</t>
        </is>
      </c>
      <c r="K2088" s="23" t="inlineStr">
        <is>
          <t>70x100 1/32</t>
        </is>
      </c>
      <c r="L2088" s="23" t="inlineStr">
        <is>
          <t>мяг</t>
        </is>
      </c>
      <c r="M2088" s="23" t="n">
        <v>379</v>
      </c>
      <c r="N2088" s="23" t="n">
        <v>2012</v>
      </c>
      <c r="O2088" s="23" t="n">
        <v>180</v>
      </c>
      <c r="P2088" s="23" t="n"/>
      <c r="Q2088" s="23" t="n"/>
      <c r="R2088" s="25" t="n"/>
      <c r="S2088" s="26">
        <f>HYPERLINK("http://www.cnpol.ru/covers/13932.jpg","фото на сайте")</f>
        <v/>
      </c>
    </row>
    <row r="2089" ht="50.1" customHeight="1" s="3">
      <c r="A2089" s="23" t="n"/>
      <c r="B2089" s="24" t="inlineStr">
        <is>
          <t>13291</t>
        </is>
      </c>
      <c r="C2089" s="23" t="inlineStr">
        <is>
          <t>М THE BEST</t>
        </is>
      </c>
      <c r="D2089" s="23" t="inlineStr">
        <is>
          <t>Макомбер Д.</t>
        </is>
      </c>
      <c r="E2089" s="23" t="inlineStr">
        <is>
          <t>Рождественские письма</t>
        </is>
      </c>
      <c r="F2089" s="23" t="inlineStr">
        <is>
          <t>        </t>
        </is>
      </c>
      <c r="G2089" s="23" t="n">
        <v>285</v>
      </c>
      <c r="H2089" s="23" t="n">
        <v>10</v>
      </c>
      <c r="I2089" s="23" t="n">
        <v>20</v>
      </c>
      <c r="J2089" s="23" t="inlineStr">
        <is>
          <t>978-5-227-03278-2</t>
        </is>
      </c>
      <c r="K2089" s="23" t="inlineStr">
        <is>
          <t>82x110 1/32</t>
        </is>
      </c>
      <c r="L2089" s="23" t="inlineStr">
        <is>
          <t>Интегр</t>
        </is>
      </c>
      <c r="M2089" s="23" t="n">
        <v>218</v>
      </c>
      <c r="N2089" s="23" t="n">
        <v>2012</v>
      </c>
      <c r="O2089" s="23" t="n">
        <v>140</v>
      </c>
      <c r="P2089" s="23" t="n"/>
      <c r="Q2089" s="23" t="n"/>
      <c r="R2089" s="25" t="n"/>
      <c r="S2089" s="26">
        <f>HYPERLINK("http://www.cnpol.ru/covers/13291.jpg","фото на сайте")</f>
        <v/>
      </c>
    </row>
    <row r="2090" ht="50.1" customHeight="1" s="3">
      <c r="A2090" s="23" t="n"/>
      <c r="B2090" s="24" t="inlineStr">
        <is>
          <t>2509</t>
        </is>
      </c>
      <c r="C2090" s="23" t="inlineStr">
        <is>
          <t>М АЛЬМАНАХ</t>
        </is>
      </c>
      <c r="D2090" s="23" t="inlineStr">
        <is>
          <t>Группа авторов</t>
        </is>
      </c>
      <c r="E2090" s="23" t="inlineStr">
        <is>
          <t>Наша фантастика 2001</t>
        </is>
      </c>
      <c r="F2090" s="23" t="n">
        <v>2</v>
      </c>
      <c r="G2090" s="23" t="n">
        <v>229</v>
      </c>
      <c r="H2090" s="23" t="n">
        <v>10</v>
      </c>
      <c r="I2090" s="23" t="n">
        <v>12</v>
      </c>
      <c r="J2090" s="23" t="inlineStr">
        <is>
          <t>5-227-01248-2</t>
        </is>
      </c>
      <c r="K2090" s="23" t="inlineStr">
        <is>
          <t>60x90 1/16</t>
        </is>
      </c>
      <c r="L2090" s="23" t="inlineStr">
        <is>
          <t>мяг</t>
        </is>
      </c>
      <c r="M2090" s="23" t="n">
        <v>381</v>
      </c>
      <c r="N2090" s="23" t="n">
        <v>2001</v>
      </c>
      <c r="O2090" s="23" t="n">
        <v>185</v>
      </c>
      <c r="P2090" s="23" t="n"/>
      <c r="Q2090" s="23" t="n"/>
      <c r="R2090" s="25" t="n"/>
      <c r="S2090" s="26">
        <f>HYPERLINK("http://www.cnpol.ru/covers/2509.jpg","фото на сайте")</f>
        <v/>
      </c>
    </row>
    <row r="2091" ht="50.1" customHeight="1" s="3">
      <c r="A2091" s="23" t="n"/>
      <c r="B2091" s="24" t="inlineStr">
        <is>
          <t>2728</t>
        </is>
      </c>
      <c r="C2091" s="23" t="inlineStr">
        <is>
          <t>М АЛЬМАНАХ</t>
        </is>
      </c>
      <c r="D2091" s="23" t="inlineStr">
        <is>
          <t>Группа авторов</t>
        </is>
      </c>
      <c r="E2091" s="23" t="inlineStr">
        <is>
          <t>Наша фантастика 2001</t>
        </is>
      </c>
      <c r="F2091" s="23" t="n">
        <v>3</v>
      </c>
      <c r="G2091" s="23" t="n">
        <v>229</v>
      </c>
      <c r="H2091" s="23" t="n">
        <v>10</v>
      </c>
      <c r="I2091" s="23" t="n">
        <v>12</v>
      </c>
      <c r="J2091" s="23" t="inlineStr">
        <is>
          <t>5-227-01439-6</t>
        </is>
      </c>
      <c r="K2091" s="23" t="inlineStr">
        <is>
          <t>60x90 1/16</t>
        </is>
      </c>
      <c r="L2091" s="23" t="inlineStr">
        <is>
          <t>мяг</t>
        </is>
      </c>
      <c r="M2091" s="23" t="n">
        <v>447</v>
      </c>
      <c r="N2091" s="23" t="n">
        <v>2001</v>
      </c>
      <c r="O2091" s="23" t="n">
        <v>185</v>
      </c>
      <c r="P2091" s="23" t="n"/>
      <c r="Q2091" s="23" t="n"/>
      <c r="R2091" s="25" t="n"/>
      <c r="S2091" s="26">
        <f>HYPERLINK("http://www.cnpol.ru/covers/2728.jpg","фото на сайте")</f>
        <v/>
      </c>
    </row>
    <row r="2092" ht="50.1" customHeight="1" s="3">
      <c r="A2092" s="23" t="n"/>
      <c r="B2092" s="24" t="inlineStr">
        <is>
          <t>10812</t>
        </is>
      </c>
      <c r="C2092" s="23" t="inlineStr">
        <is>
          <t>М БЕСС</t>
        </is>
      </c>
      <c r="D2092" s="23" t="inlineStr">
        <is>
          <t>Соломенко Е.</t>
        </is>
      </c>
      <c r="E2092" s="23" t="inlineStr">
        <is>
          <t>Ваш номер - тринадцатый</t>
        </is>
      </c>
      <c r="F2092" s="23" t="inlineStr">
        <is>
          <t>        </t>
        </is>
      </c>
      <c r="G2092" s="23" t="n">
        <v>168</v>
      </c>
      <c r="H2092" s="23" t="n">
        <v>10</v>
      </c>
      <c r="I2092" s="23" t="n">
        <v>20</v>
      </c>
      <c r="J2092" s="23" t="inlineStr">
        <is>
          <t>978-5-9524-3910-8</t>
        </is>
      </c>
      <c r="K2092" s="23" t="inlineStr">
        <is>
          <t>70x90 1/32</t>
        </is>
      </c>
      <c r="L2092" s="23" t="inlineStr">
        <is>
          <t>мяг</t>
        </is>
      </c>
      <c r="M2092" s="23" t="n">
        <v>382</v>
      </c>
      <c r="N2092" s="23" t="n">
        <v>2008</v>
      </c>
      <c r="O2092" s="23" t="n">
        <v>152</v>
      </c>
      <c r="P2092" s="23" t="n"/>
      <c r="Q2092" s="23" t="n"/>
      <c r="R2092" s="25" t="inlineStr">
        <is>
          <t>Можно ли поменять судьбу, как старый плащ? И чем придется за это заплатить?_x000D_
Однажды, когда жизнь кандидата технических наук Зорина стала совершенно невыносима, по почте на его адрес пришел элегантный конверт с золотым тиснением от крутой фирмы "Утренняя заря" с приглашением на спектакль._x000D_
В театре Зорину выдали номерок под сакральным номером 13. И закрутился вокруг нашего героя целый калейдоскоп разных персонажей: мексиканская колдунья, вдова команданте Че Гевары, ветеран НКВД, а также непутевый отпрыск одной из августейших фамилий Европы...</t>
        </is>
      </c>
      <c r="S2092" s="26">
        <f>HYPERLINK("http://www.cnpol.ru/covers/10812.jpg","фото на сайте")</f>
        <v/>
      </c>
    </row>
    <row r="2093" ht="50.1" customHeight="1" s="3">
      <c r="A2093" s="23" t="n"/>
      <c r="B2093" s="24" t="inlineStr">
        <is>
          <t>7814</t>
        </is>
      </c>
      <c r="C2093" s="23" t="inlineStr">
        <is>
          <t>М БЕСС</t>
        </is>
      </c>
      <c r="D2093" s="23" t="inlineStr">
        <is>
          <t>Перевозчикова Ю.</t>
        </is>
      </c>
      <c r="E2093" s="23" t="inlineStr">
        <is>
          <t>Городские ведьмы</t>
        </is>
      </c>
      <c r="F2093" s="23" t="inlineStr">
        <is>
          <t>        </t>
        </is>
      </c>
      <c r="G2093" s="23" t="n">
        <v>168</v>
      </c>
      <c r="H2093" s="23" t="n">
        <v>10</v>
      </c>
      <c r="I2093" s="23" t="n">
        <v>24</v>
      </c>
      <c r="J2093" s="23" t="inlineStr">
        <is>
          <t>978-5-9524-2754-9</t>
        </is>
      </c>
      <c r="K2093" s="23" t="inlineStr">
        <is>
          <t>70x90 1/32</t>
        </is>
      </c>
      <c r="L2093" s="23" t="inlineStr">
        <is>
          <t>мяг</t>
        </is>
      </c>
      <c r="M2093" s="23" t="n">
        <v>317</v>
      </c>
      <c r="N2093" s="23" t="n">
        <v>2008</v>
      </c>
      <c r="O2093" s="23" t="n">
        <v>132</v>
      </c>
      <c r="P2093" s="23" t="n"/>
      <c r="Q2093" s="23" t="n"/>
      <c r="R2093" s="25" t="inlineStr">
        <is>
          <t>Отчего женщина может стать ведьмой? От чего угодно! От счастливой любви, от несчастной любви, от нереализованности… Причин много. А еще может родиться ведьмой, и мир магии будет с каждым днем втягивать ее все сильнее, неотвратимо разлучая с миром реальным. И вот взмахнули антрацитовые крылья ворона, и новая жизнь лежит перед тобой...</t>
        </is>
      </c>
      <c r="S2093" s="26">
        <f>HYPERLINK("http://www.cnpol.ru/covers/7814.jpg","фото на сайте")</f>
        <v/>
      </c>
    </row>
    <row r="2094" ht="50.1" customHeight="1" s="3">
      <c r="A2094" s="23" t="n"/>
      <c r="B2094" s="24" t="inlineStr">
        <is>
          <t>11904</t>
        </is>
      </c>
      <c r="C2094" s="23" t="inlineStr">
        <is>
          <t>М БЕСС</t>
        </is>
      </c>
      <c r="D2094" s="23" t="inlineStr">
        <is>
          <t>Соломенко Е.</t>
        </is>
      </c>
      <c r="E2094" s="23" t="inlineStr">
        <is>
          <t>Коридор в конце ночи</t>
        </is>
      </c>
      <c r="F2094" s="23" t="inlineStr">
        <is>
          <t>        </t>
        </is>
      </c>
      <c r="G2094" s="23" t="n">
        <v>168</v>
      </c>
      <c r="H2094" s="23" t="n">
        <v>10</v>
      </c>
      <c r="I2094" s="23" t="n">
        <v>16</v>
      </c>
      <c r="J2094" s="23" t="inlineStr">
        <is>
          <t>978-5-227-02031-4</t>
        </is>
      </c>
      <c r="K2094" s="23" t="inlineStr">
        <is>
          <t>70x90 1/32</t>
        </is>
      </c>
      <c r="L2094" s="23" t="inlineStr">
        <is>
          <t>мяг</t>
        </is>
      </c>
      <c r="M2094" s="23" t="n">
        <v>351</v>
      </c>
      <c r="N2094" s="23" t="n">
        <v>2010</v>
      </c>
      <c r="O2094" s="23" t="n">
        <v>146</v>
      </c>
      <c r="P2094" s="23" t="n"/>
      <c r="Q2094" s="23" t="n"/>
      <c r="R2094" s="25" t="inlineStr">
        <is>
          <t>Земля загадочна и порой непостижима. И кто знает, где происходит параллель перехода из нашего бытия в другое измерение? Фантастика и реальность переплетены в новом романе Евгения Соломенко так тесно, что, взяв в руки книгу, понимаешь что не сможешь закрыть ее, не прочитав до конца. Непризнанный гений Станислав Грушевецкий создает уникальную вакуумную машину, при помощи которой он и его сообщник избавляются от конкурентов по бизнесу, связанному с драгоценными камнями. Люди исчезают необъяснимо, без причин, в никуда. Работники ФСБ терпеливо идут по следу гения и его ослепленного блеском бриллиантов сподвижника. Деньги... Власть... За одним преступлением следует второе, третья...</t>
        </is>
      </c>
      <c r="S2094" s="26">
        <f>HYPERLINK("http://www.cnpol.ru/covers/11904.jpg","фото на сайте")</f>
        <v/>
      </c>
    </row>
    <row r="2095" ht="50.1" customHeight="1" s="3">
      <c r="A2095" s="23" t="n"/>
      <c r="B2095" s="24" t="inlineStr">
        <is>
          <t>11155</t>
        </is>
      </c>
      <c r="C2095" s="23" t="inlineStr">
        <is>
          <t>М БЕСС</t>
        </is>
      </c>
      <c r="D2095" s="23" t="inlineStr">
        <is>
          <t>Звонков А.</t>
        </is>
      </c>
      <c r="E2095" s="23" t="inlineStr">
        <is>
          <t>Любовью спасены будете</t>
        </is>
      </c>
      <c r="F2095" s="23" t="inlineStr">
        <is>
          <t>        </t>
        </is>
      </c>
      <c r="G2095" s="23" t="n">
        <v>168</v>
      </c>
      <c r="H2095" s="23" t="n">
        <v>10</v>
      </c>
      <c r="I2095" s="23" t="n">
        <v>28</v>
      </c>
      <c r="J2095" s="23" t="inlineStr">
        <is>
          <t>978-5-9524-4109-5</t>
        </is>
      </c>
      <c r="K2095" s="23" t="inlineStr">
        <is>
          <t>70x90 1/32</t>
        </is>
      </c>
      <c r="L2095" s="23" t="inlineStr">
        <is>
          <t>мяг</t>
        </is>
      </c>
      <c r="M2095" s="23" t="n">
        <v>285</v>
      </c>
      <c r="N2095" s="23" t="n">
        <v>2009</v>
      </c>
      <c r="O2095" s="23" t="n">
        <v>122</v>
      </c>
      <c r="P2095" s="23" t="n"/>
      <c r="Q2095" s="23" t="n"/>
      <c r="R2095" s="25" t="inlineStr">
        <is>
          <t>Расхожая фраза: «Словом можно ранить или убить». Врач скорой помощи Виктор Носов, как и любой медик, знал ее истинность. Но не мог допустить иного толкования, чем прямое словесное воздействие на психику. А какую энергетику несет необдуманное слово? Или сказанное в гневе?.. Любовь Виктора Носова и Вилены, яркие искорки счастливых эпизодов жизни вспыхнули и сгорели в незримой страшной битве родных людей. За что? Да ни за что! И любят и ненавидят — слепо. Жить злом и совершать зло легко, но однажды придет воздаяние. И это уже удел высших сил...</t>
        </is>
      </c>
      <c r="S2095" s="26">
        <f>HYPERLINK("http://www.cnpol.ru/covers/11155.jpg","фото на сайте")</f>
        <v/>
      </c>
    </row>
    <row r="2096" ht="50.1" customHeight="1" s="3">
      <c r="A2096" s="23" t="n"/>
      <c r="B2096" s="24" t="inlineStr">
        <is>
          <t>10824</t>
        </is>
      </c>
      <c r="C2096" s="23" t="inlineStr">
        <is>
          <t>М БЕСС</t>
        </is>
      </c>
      <c r="D2096" s="23" t="inlineStr">
        <is>
          <t>Аксенова Ю.</t>
        </is>
      </c>
      <c r="E2096" s="23" t="inlineStr">
        <is>
          <t>Морок</t>
        </is>
      </c>
      <c r="F2096" s="23" t="inlineStr">
        <is>
          <t>        </t>
        </is>
      </c>
      <c r="G2096" s="23" t="n">
        <v>168</v>
      </c>
      <c r="H2096" s="23" t="n">
        <v>10</v>
      </c>
      <c r="I2096" s="23" t="n">
        <v>14</v>
      </c>
      <c r="J2096" s="23" t="inlineStr">
        <is>
          <t>978-5-9524-3974-0</t>
        </is>
      </c>
      <c r="K2096" s="23" t="inlineStr">
        <is>
          <t>70x90 1/32</t>
        </is>
      </c>
      <c r="L2096" s="23" t="inlineStr">
        <is>
          <t>мяг</t>
        </is>
      </c>
      <c r="M2096" s="23" t="n">
        <v>446</v>
      </c>
      <c r="N2096" s="23" t="n">
        <v>2008</v>
      </c>
      <c r="O2096" s="23" t="n">
        <v>194</v>
      </c>
      <c r="P2096" s="23" t="n"/>
      <c r="Q2096" s="23" t="n"/>
      <c r="R2096" s="25" t="n"/>
      <c r="S2096" s="26">
        <f>HYPERLINK("http://www.cnpol.ru/covers/10824.jpg","фото на сайте")</f>
        <v/>
      </c>
    </row>
    <row r="2097" ht="50.1" customHeight="1" s="3">
      <c r="A2097" s="23" t="n"/>
      <c r="B2097" s="24" t="inlineStr">
        <is>
          <t>7942</t>
        </is>
      </c>
      <c r="C2097" s="23" t="inlineStr">
        <is>
          <t>М БЕСС</t>
        </is>
      </c>
      <c r="D2097" s="23" t="inlineStr">
        <is>
          <t>Борисова В.</t>
        </is>
      </c>
      <c r="E2097" s="23" t="inlineStr">
        <is>
          <t>Окно в пустоту</t>
        </is>
      </c>
      <c r="F2097" s="23" t="inlineStr">
        <is>
          <t>        </t>
        </is>
      </c>
      <c r="G2097" s="23" t="n">
        <v>168</v>
      </c>
      <c r="H2097" s="23" t="n">
        <v>10</v>
      </c>
      <c r="I2097" s="23" t="n">
        <v>28</v>
      </c>
      <c r="J2097" s="23" t="inlineStr">
        <is>
          <t>978-5-9524-2824-9</t>
        </is>
      </c>
      <c r="K2097" s="23" t="inlineStr">
        <is>
          <t>70x90 1/32</t>
        </is>
      </c>
      <c r="L2097" s="23" t="inlineStr">
        <is>
          <t>мяг</t>
        </is>
      </c>
      <c r="M2097" s="23" t="n">
        <v>258</v>
      </c>
      <c r="N2097" s="23" t="n">
        <v>2008</v>
      </c>
      <c r="O2097" s="23" t="n">
        <v>124</v>
      </c>
      <c r="P2097" s="23" t="n"/>
      <c r="Q2097" s="23" t="n"/>
      <c r="R2097" s="25" t="n"/>
      <c r="S2097" s="26">
        <f>HYPERLINK("http://www.cnpol.ru/covers/7942.jpg","фото на сайте")</f>
        <v/>
      </c>
    </row>
    <row r="2098" ht="50.1" customHeight="1" s="3">
      <c r="A2098" s="23" t="n"/>
      <c r="B2098" s="24" t="inlineStr">
        <is>
          <t>11579</t>
        </is>
      </c>
      <c r="C2098" s="23" t="inlineStr">
        <is>
          <t>М БЕСС</t>
        </is>
      </c>
      <c r="D2098" s="23" t="inlineStr">
        <is>
          <t>Белякова Л.</t>
        </is>
      </c>
      <c r="E2098" s="23" t="inlineStr">
        <is>
          <t>Призрак прошлого</t>
        </is>
      </c>
      <c r="F2098" s="23" t="inlineStr">
        <is>
          <t>        </t>
        </is>
      </c>
      <c r="G2098" s="23" t="n">
        <v>168</v>
      </c>
      <c r="H2098" s="23" t="n">
        <v>10</v>
      </c>
      <c r="I2098" s="23" t="n">
        <v>16</v>
      </c>
      <c r="J2098" s="23" t="inlineStr">
        <is>
          <t>978-5-9524-4705-9</t>
        </is>
      </c>
      <c r="K2098" s="23" t="inlineStr">
        <is>
          <t>70x90 1/32</t>
        </is>
      </c>
      <c r="L2098" s="23" t="inlineStr">
        <is>
          <t>мяг</t>
        </is>
      </c>
      <c r="M2098" s="23" t="n">
        <v>349</v>
      </c>
      <c r="N2098" s="23" t="n">
        <v>2009</v>
      </c>
      <c r="O2098" s="23" t="n">
        <v>144</v>
      </c>
      <c r="P2098" s="23" t="n"/>
      <c r="Q2098" s="23" t="n"/>
      <c r="R2098" s="25" t="n"/>
      <c r="S2098" s="26">
        <f>HYPERLINK("http://www.cnpol.ru/covers/11579.jpg","фото на сайте")</f>
        <v/>
      </c>
    </row>
    <row r="2099" ht="50.1" customHeight="1" s="3">
      <c r="A2099" s="23" t="n"/>
      <c r="B2099" s="24" t="inlineStr">
        <is>
          <t>11623</t>
        </is>
      </c>
      <c r="C2099" s="23" t="inlineStr">
        <is>
          <t>М БЕСС</t>
        </is>
      </c>
      <c r="D2099" s="23" t="inlineStr">
        <is>
          <t>Аксенова Ю.</t>
        </is>
      </c>
      <c r="E2099" s="23" t="inlineStr">
        <is>
          <t>Проклятие тангеры</t>
        </is>
      </c>
      <c r="F2099" s="23" t="inlineStr">
        <is>
          <t>        </t>
        </is>
      </c>
      <c r="G2099" s="23" t="n">
        <v>168</v>
      </c>
      <c r="H2099" s="23" t="n">
        <v>10</v>
      </c>
      <c r="I2099" s="23" t="n">
        <v>20</v>
      </c>
      <c r="J2099" s="23" t="inlineStr">
        <is>
          <t>978-5-9524-4781-3</t>
        </is>
      </c>
      <c r="K2099" s="23" t="inlineStr">
        <is>
          <t>70x90 1/32</t>
        </is>
      </c>
      <c r="L2099" s="23" t="inlineStr">
        <is>
          <t>мяг</t>
        </is>
      </c>
      <c r="M2099" s="23" t="n">
        <v>286</v>
      </c>
      <c r="N2099" s="23" t="n">
        <v>2009</v>
      </c>
      <c r="O2099" s="23" t="n">
        <v>120</v>
      </c>
      <c r="P2099" s="23" t="n"/>
      <c r="Q2099" s="23" t="n"/>
      <c r="R2099" s="25" t="n"/>
      <c r="S2099" s="26">
        <f>HYPERLINK("http://www.cnpol.ru/covers/11623.jpg","фото на сайте")</f>
        <v/>
      </c>
    </row>
    <row r="2100" ht="50.1" customHeight="1" s="3">
      <c r="A2100" s="23" t="n"/>
      <c r="B2100" s="24" t="inlineStr">
        <is>
          <t>10794</t>
        </is>
      </c>
      <c r="C2100" s="23" t="inlineStr">
        <is>
          <t>М БЕСС</t>
        </is>
      </c>
      <c r="D2100" s="23" t="inlineStr">
        <is>
          <t>Борисова В.</t>
        </is>
      </c>
      <c r="E2100" s="23" t="inlineStr">
        <is>
          <t>Прошедший сквозь время</t>
        </is>
      </c>
      <c r="F2100" s="23" t="inlineStr">
        <is>
          <t>        </t>
        </is>
      </c>
      <c r="G2100" s="23" t="n">
        <v>168</v>
      </c>
      <c r="H2100" s="23" t="n">
        <v>10</v>
      </c>
      <c r="I2100" s="23" t="n">
        <v>20</v>
      </c>
      <c r="J2100" s="23" t="inlineStr">
        <is>
          <t>978-5-9524-3889-7</t>
        </is>
      </c>
      <c r="K2100" s="23" t="inlineStr">
        <is>
          <t>70x90 1/32</t>
        </is>
      </c>
      <c r="L2100" s="23" t="inlineStr">
        <is>
          <t>мяг</t>
        </is>
      </c>
      <c r="M2100" s="23" t="n">
        <v>319</v>
      </c>
      <c r="N2100" s="23" t="n">
        <v>2008</v>
      </c>
      <c r="O2100" s="23" t="n">
        <v>126</v>
      </c>
      <c r="P2100" s="23" t="n"/>
      <c r="Q2100" s="23" t="n"/>
      <c r="R2100" s="25" t="n"/>
      <c r="S2100" s="26">
        <f>HYPERLINK("http://www.cnpol.ru/covers/10794.jpg","фото на сайте")</f>
        <v/>
      </c>
    </row>
    <row r="2101" ht="50.1" customHeight="1" s="3">
      <c r="A2101" s="23" t="n"/>
      <c r="B2101" s="24" t="inlineStr">
        <is>
          <t>10179</t>
        </is>
      </c>
      <c r="C2101" s="23" t="inlineStr">
        <is>
          <t>М БЕСС</t>
        </is>
      </c>
      <c r="D2101" s="23" t="inlineStr">
        <is>
          <t>Полякова С.</t>
        </is>
      </c>
      <c r="E2101" s="23" t="inlineStr">
        <is>
          <t>Служители зла</t>
        </is>
      </c>
      <c r="F2101" s="23" t="inlineStr">
        <is>
          <t>        </t>
        </is>
      </c>
      <c r="G2101" s="23" t="n">
        <v>123</v>
      </c>
      <c r="H2101" s="23" t="n">
        <v>10</v>
      </c>
      <c r="I2101" s="23" t="n">
        <v>24</v>
      </c>
      <c r="J2101" s="23" t="inlineStr">
        <is>
          <t>978-5-9524-3355-7</t>
        </is>
      </c>
      <c r="K2101" s="23" t="inlineStr">
        <is>
          <t>70x90 1/32</t>
        </is>
      </c>
      <c r="L2101" s="23" t="inlineStr">
        <is>
          <t>мяг</t>
        </is>
      </c>
      <c r="M2101" s="23" t="n">
        <v>365</v>
      </c>
      <c r="N2101" s="23" t="n">
        <v>2008</v>
      </c>
      <c r="O2101" s="23" t="n">
        <v>152</v>
      </c>
      <c r="P2101" s="23" t="n"/>
      <c r="Q2101" s="23" t="n"/>
      <c r="R2101" s="25" t="n"/>
      <c r="S2101" s="26">
        <f>HYPERLINK("http://www.cnpol.ru/covers/10179.jpg","фото на сайте")</f>
        <v/>
      </c>
    </row>
    <row r="2102" ht="50.1" customHeight="1" s="3">
      <c r="A2102" s="23" t="n"/>
      <c r="B2102" s="24" t="inlineStr">
        <is>
          <t>11441</t>
        </is>
      </c>
      <c r="C2102" s="23" t="inlineStr">
        <is>
          <t>М БЕСС</t>
        </is>
      </c>
      <c r="D2102" s="23" t="inlineStr">
        <is>
          <t>Веткин И.</t>
        </is>
      </c>
      <c r="E2102" s="23" t="inlineStr">
        <is>
          <t>Странница</t>
        </is>
      </c>
      <c r="F2102" s="23" t="inlineStr">
        <is>
          <t>        </t>
        </is>
      </c>
      <c r="G2102" s="23" t="n">
        <v>168</v>
      </c>
      <c r="H2102" s="23" t="n">
        <v>10</v>
      </c>
      <c r="I2102" s="23" t="n">
        <v>24</v>
      </c>
      <c r="J2102" s="23" t="inlineStr">
        <is>
          <t>978-5-9524-4550-5</t>
        </is>
      </c>
      <c r="K2102" s="23" t="inlineStr">
        <is>
          <t>70x90 1/32</t>
        </is>
      </c>
      <c r="L2102" s="23" t="inlineStr">
        <is>
          <t>мяг</t>
        </is>
      </c>
      <c r="M2102" s="23" t="n">
        <v>319</v>
      </c>
      <c r="N2102" s="23" t="n">
        <v>2010</v>
      </c>
      <c r="O2102" s="23" t="n">
        <v>136</v>
      </c>
      <c r="P2102" s="23" t="n"/>
      <c r="Q2102" s="23" t="n"/>
      <c r="R2102" s="25" t="n"/>
      <c r="S2102" s="26">
        <f>HYPERLINK("http://www.cnpol.ru/covers/11441.jpg","фото на сайте")</f>
        <v/>
      </c>
    </row>
    <row r="2103" ht="50.1" customHeight="1" s="3">
      <c r="A2103" s="23" t="n"/>
      <c r="B2103" s="24" t="inlineStr">
        <is>
          <t>10362</t>
        </is>
      </c>
      <c r="C2103" s="23" t="inlineStr">
        <is>
          <t>М БЕСС</t>
        </is>
      </c>
      <c r="D2103" s="23" t="inlineStr">
        <is>
          <t>Соломенко Е.</t>
        </is>
      </c>
      <c r="E2103" s="23" t="inlineStr">
        <is>
          <t>Тебя заберет вода</t>
        </is>
      </c>
      <c r="F2103" s="23" t="inlineStr">
        <is>
          <t>        </t>
        </is>
      </c>
      <c r="G2103" s="23" t="n">
        <v>168</v>
      </c>
      <c r="H2103" s="23" t="n">
        <v>10</v>
      </c>
      <c r="I2103" s="23" t="n">
        <v>20</v>
      </c>
      <c r="J2103" s="23" t="inlineStr">
        <is>
          <t>978-5-9524-3470-7</t>
        </is>
      </c>
      <c r="K2103" s="23" t="inlineStr">
        <is>
          <t>70x90 1/32</t>
        </is>
      </c>
      <c r="L2103" s="23" t="inlineStr">
        <is>
          <t>мяг</t>
        </is>
      </c>
      <c r="M2103" s="23" t="n">
        <v>382</v>
      </c>
      <c r="N2103" s="23" t="n">
        <v>2008</v>
      </c>
      <c r="O2103" s="23" t="inlineStr">
        <is>
          <t>     </t>
        </is>
      </c>
      <c r="P2103" s="23" t="n"/>
      <c r="Q2103" s="23" t="n"/>
      <c r="R2103" s="25" t="n"/>
      <c r="S2103" s="26">
        <f>HYPERLINK("http://www.cnpol.ru/covers/10362.jpg","фото на сайте")</f>
        <v/>
      </c>
    </row>
    <row r="2104" ht="50.1" customHeight="1" s="3">
      <c r="A2104" s="23" t="n"/>
      <c r="B2104" s="24" t="inlineStr">
        <is>
          <t>8731</t>
        </is>
      </c>
      <c r="C2104" s="23" t="inlineStr">
        <is>
          <t>М БЕСС</t>
        </is>
      </c>
      <c r="D2104" s="23" t="inlineStr">
        <is>
          <t>Белякова Л.</t>
        </is>
      </c>
      <c r="E2104" s="23" t="inlineStr">
        <is>
          <t>Темная арена</t>
        </is>
      </c>
      <c r="F2104" s="23" t="inlineStr">
        <is>
          <t>        </t>
        </is>
      </c>
      <c r="G2104" s="23" t="n">
        <v>168</v>
      </c>
      <c r="H2104" s="23" t="n">
        <v>10</v>
      </c>
      <c r="I2104" s="23" t="n">
        <v>24</v>
      </c>
      <c r="J2104" s="23" t="inlineStr">
        <is>
          <t>978-5-9524-3048-8</t>
        </is>
      </c>
      <c r="K2104" s="23" t="inlineStr">
        <is>
          <t>70x90 1/32</t>
        </is>
      </c>
      <c r="L2104" s="23" t="inlineStr">
        <is>
          <t>мяг</t>
        </is>
      </c>
      <c r="M2104" s="23" t="n">
        <v>381</v>
      </c>
      <c r="N2104" s="23" t="n">
        <v>2008</v>
      </c>
      <c r="O2104" s="23" t="n">
        <v>160</v>
      </c>
      <c r="P2104" s="23" t="n"/>
      <c r="Q2104" s="23" t="n"/>
      <c r="R2104" s="25" t="n"/>
      <c r="S2104" s="26">
        <f>HYPERLINK("http://www.cnpol.ru/covers/8731.jpg","фото на сайте")</f>
        <v/>
      </c>
    </row>
    <row r="2105" ht="50.1" customHeight="1" s="3">
      <c r="A2105" s="23" t="n"/>
      <c r="B2105" s="24" t="inlineStr">
        <is>
          <t>11479</t>
        </is>
      </c>
      <c r="C2105" s="23" t="inlineStr">
        <is>
          <t>М БЕСС</t>
        </is>
      </c>
      <c r="D2105" s="23" t="inlineStr">
        <is>
          <t>Борисова В.</t>
        </is>
      </c>
      <c r="E2105" s="23" t="inlineStr">
        <is>
          <t>Теория невероятности</t>
        </is>
      </c>
      <c r="F2105" s="23" t="inlineStr">
        <is>
          <t>        </t>
        </is>
      </c>
      <c r="G2105" s="23" t="n">
        <v>168</v>
      </c>
      <c r="H2105" s="23" t="n">
        <v>10</v>
      </c>
      <c r="I2105" s="23" t="n">
        <v>16</v>
      </c>
      <c r="J2105" s="23" t="inlineStr">
        <is>
          <t>978-5-9524-4581-9</t>
        </is>
      </c>
      <c r="K2105" s="23" t="inlineStr">
        <is>
          <t>70x90 1/32</t>
        </is>
      </c>
      <c r="L2105" s="23" t="inlineStr">
        <is>
          <t>мяг</t>
        </is>
      </c>
      <c r="M2105" s="23" t="n">
        <v>350</v>
      </c>
      <c r="N2105" s="23" t="n">
        <v>2009</v>
      </c>
      <c r="O2105" s="23" t="n">
        <v>150</v>
      </c>
      <c r="P2105" s="23" t="n"/>
      <c r="Q2105" s="23" t="n"/>
      <c r="R2105" s="25" t="n"/>
      <c r="S2105" s="26">
        <f>HYPERLINK("http://www.cnpol.ru/covers/11479.jpg","фото на сайте")</f>
        <v/>
      </c>
    </row>
    <row r="2106" ht="50.1" customHeight="1" s="3">
      <c r="A2106" s="23" t="n"/>
      <c r="B2106" s="24" t="inlineStr">
        <is>
          <t>18360</t>
        </is>
      </c>
      <c r="C2106" s="23" t="inlineStr">
        <is>
          <t>М БРАУН НОВ</t>
        </is>
      </c>
      <c r="D2106" s="23" t="inlineStr">
        <is>
          <t>Браун С.</t>
        </is>
      </c>
      <c r="E2106" s="23" t="inlineStr">
        <is>
          <t>Двое одиноких</t>
        </is>
      </c>
      <c r="F2106" s="23" t="inlineStr">
        <is>
          <t>        </t>
        </is>
      </c>
      <c r="G2106" s="23" t="n">
        <v>317</v>
      </c>
      <c r="H2106" s="23" t="n">
        <v>10</v>
      </c>
      <c r="I2106" s="23" t="n">
        <v>18</v>
      </c>
      <c r="J2106" s="23" t="inlineStr">
        <is>
          <t>978-5-227-08398-2</t>
        </is>
      </c>
      <c r="K2106" s="23" t="inlineStr">
        <is>
          <t>70x100 1/32</t>
        </is>
      </c>
      <c r="L2106" s="23" t="inlineStr">
        <is>
          <t>мяг</t>
        </is>
      </c>
      <c r="M2106" s="23" t="n">
        <v>384</v>
      </c>
      <c r="N2106" s="23" t="n">
        <v>2018</v>
      </c>
      <c r="O2106" s="23" t="n">
        <v>180</v>
      </c>
      <c r="P2106" s="23" t="n"/>
      <c r="Q2106" s="23" t="n"/>
      <c r="R2106" s="25" t="n"/>
      <c r="S2106" s="26">
        <f>HYPERLINK("http://www.cnpol.ru/covers/18360.jpg","фото на сайте")</f>
        <v/>
      </c>
    </row>
    <row r="2107" ht="50.1" customHeight="1" s="3">
      <c r="A2107" s="23" t="n"/>
      <c r="B2107" s="24" t="inlineStr">
        <is>
          <t>18569</t>
        </is>
      </c>
      <c r="C2107" s="23" t="inlineStr">
        <is>
          <t>М БРАУН НОВ</t>
        </is>
      </c>
      <c r="D2107" s="23" t="inlineStr">
        <is>
          <t>Браун С.</t>
        </is>
      </c>
      <c r="E2107" s="23" t="inlineStr">
        <is>
          <t>Дьявол</t>
        </is>
      </c>
      <c r="F2107" s="23" t="inlineStr">
        <is>
          <t>        </t>
        </is>
      </c>
      <c r="G2107" s="23" t="n">
        <v>317</v>
      </c>
      <c r="H2107" s="23" t="n">
        <v>10</v>
      </c>
      <c r="I2107" s="23" t="n">
        <v>20</v>
      </c>
      <c r="J2107" s="23" t="inlineStr">
        <is>
          <t>978-5-227-08542-9</t>
        </is>
      </c>
      <c r="K2107" s="23" t="inlineStr">
        <is>
          <t>70x100 1/32</t>
        </is>
      </c>
      <c r="L2107" s="23" t="inlineStr">
        <is>
          <t>мяг</t>
        </is>
      </c>
      <c r="M2107" s="23" t="n">
        <v>320</v>
      </c>
      <c r="N2107" s="23" t="n">
        <v>2019</v>
      </c>
      <c r="O2107" s="23" t="n">
        <v>148</v>
      </c>
      <c r="P2107" s="23" t="n"/>
      <c r="Q2107" s="23" t="n"/>
      <c r="R2107" s="25" t="n"/>
      <c r="S2107" s="26">
        <f>HYPERLINK("http://www.cnpol.ru/covers/18569.jpg","фото на сайте")</f>
        <v/>
      </c>
    </row>
    <row r="2108" ht="50.1" customHeight="1" s="3">
      <c r="A2108" s="23" t="n"/>
      <c r="B2108" s="24" t="inlineStr">
        <is>
          <t>20055</t>
        </is>
      </c>
      <c r="C2108" s="23" t="inlineStr">
        <is>
          <t>М БРАУН НОВ</t>
        </is>
      </c>
      <c r="D2108" s="23" t="inlineStr">
        <is>
          <t>Браун С.</t>
        </is>
      </c>
      <c r="E2108" s="23" t="inlineStr">
        <is>
          <t>Дьявол</t>
        </is>
      </c>
      <c r="F2108" s="23" t="inlineStr">
        <is>
          <t>        </t>
        </is>
      </c>
      <c r="G2108" s="23" t="n">
        <v>317</v>
      </c>
      <c r="H2108" s="23" t="n">
        <v>10</v>
      </c>
      <c r="I2108" s="23" t="n">
        <v>16</v>
      </c>
      <c r="J2108" s="23" t="inlineStr">
        <is>
          <t>978-5-227-09609-8</t>
        </is>
      </c>
      <c r="K2108" s="23" t="inlineStr">
        <is>
          <t>70x100 1/32</t>
        </is>
      </c>
      <c r="L2108" s="23" t="inlineStr">
        <is>
          <t>мяг</t>
        </is>
      </c>
      <c r="M2108" s="23" t="n">
        <v>314</v>
      </c>
      <c r="N2108" s="23" t="n">
        <v>2021</v>
      </c>
      <c r="O2108" s="23" t="n">
        <v>148</v>
      </c>
      <c r="P2108" s="23" t="n"/>
      <c r="Q2108" s="23" t="n"/>
      <c r="R2108" s="25" t="inlineStr">
        <is>
          <t>Керри Бишоп была в отчаянии. Ей нужно было найти кого-нибудь — кого угодно, — кто помог бы ей спасти девятерых детей-сирот. Линк О’Нил казался идеальным кандидатом. Только он не хотел участвовать в этом рискованном предприятии, выступая в роли благодетеля. Но Керри нуждалась в нем и решилась на обман. Выживет ли их любовь, несмотря ни на что?</t>
        </is>
      </c>
      <c r="S2108" s="26">
        <f>HYPERLINK("http://www.cnpol.ru/covers/20055.jpg","фото на сайте")</f>
        <v/>
      </c>
    </row>
    <row r="2109" ht="50.1" customHeight="1" s="3">
      <c r="A2109" s="23" t="n"/>
      <c r="B2109" s="24" t="inlineStr">
        <is>
          <t>19917</t>
        </is>
      </c>
      <c r="C2109" s="23" t="inlineStr">
        <is>
          <t>М БРАУН НОВ</t>
        </is>
      </c>
      <c r="D2109" s="23" t="inlineStr">
        <is>
          <t>Браун С.</t>
        </is>
      </c>
      <c r="E2109" s="23" t="inlineStr">
        <is>
          <t>Навстречу завтрашнему дню</t>
        </is>
      </c>
      <c r="F2109" s="23" t="inlineStr">
        <is>
          <t>        </t>
        </is>
      </c>
      <c r="G2109" s="23" t="n">
        <v>317</v>
      </c>
      <c r="H2109" s="23" t="n">
        <v>10</v>
      </c>
      <c r="I2109" s="23" t="n">
        <v>20</v>
      </c>
      <c r="J2109" s="23" t="inlineStr">
        <is>
          <t>978-5-227-09678-4</t>
        </is>
      </c>
      <c r="K2109" s="23" t="inlineStr">
        <is>
          <t>70x100 1/32</t>
        </is>
      </c>
      <c r="L2109" s="23" t="inlineStr">
        <is>
          <t>мяг</t>
        </is>
      </c>
      <c r="M2109" s="23" t="n">
        <v>347</v>
      </c>
      <c r="N2109" s="23" t="n">
        <v>2021</v>
      </c>
      <c r="O2109" s="23" t="n">
        <v>160</v>
      </c>
      <c r="P2109" s="23" t="n"/>
      <c r="Q2109" s="23" t="n"/>
      <c r="R2109" s="25" t="n"/>
      <c r="S2109" s="26">
        <f>HYPERLINK("http://www.cnpol.ru/covers/19917.jpg","фото на сайте")</f>
        <v/>
      </c>
    </row>
    <row r="2110" ht="50.1" customHeight="1" s="3">
      <c r="A2110" s="23" t="n"/>
      <c r="B2110" s="24" t="inlineStr">
        <is>
          <t>20718</t>
        </is>
      </c>
      <c r="C2110" s="23" t="inlineStr">
        <is>
          <t>М БРАУН НОВ</t>
        </is>
      </c>
      <c r="D2110" s="23" t="inlineStr">
        <is>
          <t>Браун С.</t>
        </is>
      </c>
      <c r="E2110" s="23" t="inlineStr">
        <is>
          <t>Против правил</t>
        </is>
      </c>
      <c r="F2110" s="23" t="inlineStr">
        <is>
          <t>        </t>
        </is>
      </c>
      <c r="G2110" s="23" t="n">
        <v>317</v>
      </c>
      <c r="H2110" s="23" t="n">
        <v>10</v>
      </c>
      <c r="I2110" s="23" t="n">
        <v>20</v>
      </c>
      <c r="J2110" s="23" t="inlineStr">
        <is>
          <t>978-5-227-10009-2</t>
        </is>
      </c>
      <c r="K2110" s="23" t="inlineStr">
        <is>
          <t>70x100 1/32</t>
        </is>
      </c>
      <c r="L2110" s="23" t="inlineStr">
        <is>
          <t>мяг</t>
        </is>
      </c>
      <c r="M2110" s="23" t="n">
        <v>346</v>
      </c>
      <c r="N2110" s="23" t="n">
        <v>2023</v>
      </c>
      <c r="O2110" s="23" t="n">
        <v>340</v>
      </c>
      <c r="P2110" s="23" t="n"/>
      <c r="Q2110" s="23" t="n"/>
      <c r="R2110" s="25" t="inlineStr">
        <is>
          <t>Письма Кайлы, посланные мужу, сержанту Ричарду Страуду, находившемуся на военной службе на другом конце света, полны любви, которой не страшен разлучающий молодую пару океан. Но трагедия слишком рано оставила Кайлу вдовой с новорожденным сыном. Друзья Ричарда сохранили его металлический ящик с наполненными признаниями в любви письмами жены. Тревор Рул, возвращаясь домой с военной службы, забрал с собой письма своего лучшего друга. Читая их, он все больше и больше влюбляется в нежную и страстную женщину, которая написала их, и хочет убедить Кайлу быть счастливой, оставив в прошлом смерть Ричарда. Но Тревор скрывает секрет, который может разрушить так страстно лелеемую им любовь.</t>
        </is>
      </c>
      <c r="S2110" s="26">
        <f>HYPERLINK("http://www.cnpol.ru/covers/20718.jpg","фото на сайте")</f>
        <v/>
      </c>
    </row>
    <row r="2111" ht="50.1" customHeight="1" s="3">
      <c r="A2111" s="23" t="n"/>
      <c r="B2111" s="24" t="inlineStr">
        <is>
          <t>20148</t>
        </is>
      </c>
      <c r="C2111" s="23" t="inlineStr">
        <is>
          <t>М БРАУН НОВ</t>
        </is>
      </c>
      <c r="D2111" s="23" t="inlineStr">
        <is>
          <t>Браун С.</t>
        </is>
      </c>
      <c r="E2111" s="23" t="inlineStr">
        <is>
          <t>Радость победы</t>
        </is>
      </c>
      <c r="F2111" s="23" t="inlineStr">
        <is>
          <t>        </t>
        </is>
      </c>
      <c r="G2111" s="23" t="n">
        <v>317</v>
      </c>
      <c r="H2111" s="23" t="n">
        <v>10</v>
      </c>
      <c r="I2111" s="23" t="n">
        <v>24</v>
      </c>
      <c r="J2111" s="23" t="inlineStr">
        <is>
          <t>978-5-227-09760-6</t>
        </is>
      </c>
      <c r="K2111" s="23" t="inlineStr">
        <is>
          <t>70x100 1/32</t>
        </is>
      </c>
      <c r="L2111" s="23" t="inlineStr">
        <is>
          <t>мяг</t>
        </is>
      </c>
      <c r="M2111" s="23" t="n">
        <v>256</v>
      </c>
      <c r="N2111" s="23" t="n">
        <v>2022</v>
      </c>
      <c r="O2111" s="23" t="n">
        <v>122</v>
      </c>
      <c r="P2111" s="23" t="n"/>
      <c r="Q2111" s="23" t="n"/>
      <c r="R2111" s="25" t="n"/>
      <c r="S2111" s="26">
        <f>HYPERLINK("http://www.cnpol.ru/covers/20148.jpg","фото на сайте")</f>
        <v/>
      </c>
    </row>
    <row r="2112" ht="50.1" customHeight="1" s="3">
      <c r="A2112" s="23" t="n"/>
      <c r="B2112" s="24" t="inlineStr">
        <is>
          <t>19918</t>
        </is>
      </c>
      <c r="C2112" s="23" t="inlineStr">
        <is>
          <t>М БРАУН НОВ</t>
        </is>
      </c>
      <c r="D2112" s="23" t="inlineStr">
        <is>
          <t>Браун С.</t>
        </is>
      </c>
      <c r="E2112" s="23" t="inlineStr">
        <is>
          <t>Сбиться с пути</t>
        </is>
      </c>
      <c r="F2112" s="23" t="inlineStr">
        <is>
          <t>        </t>
        </is>
      </c>
      <c r="G2112" s="23" t="n">
        <v>317</v>
      </c>
      <c r="H2112" s="23" t="n">
        <v>10</v>
      </c>
      <c r="I2112" s="23" t="n">
        <v>14</v>
      </c>
      <c r="J2112" s="23" t="inlineStr">
        <is>
          <t>978-5-227-09677-7</t>
        </is>
      </c>
      <c r="K2112" s="23" t="inlineStr">
        <is>
          <t>70x100 1/32</t>
        </is>
      </c>
      <c r="L2112" s="23" t="inlineStr">
        <is>
          <t>мяг</t>
        </is>
      </c>
      <c r="M2112" s="23" t="n">
        <v>378</v>
      </c>
      <c r="N2112" s="23" t="n">
        <v>2021</v>
      </c>
      <c r="O2112" s="23" t="n">
        <v>174</v>
      </c>
      <c r="P2112" s="23" t="n"/>
      <c r="Q2112" s="23" t="n"/>
      <c r="R2112" s="25" t="n"/>
      <c r="S2112" s="26">
        <f>HYPERLINK("http://www.cnpol.ru/covers/19918.jpg","фото на сайте")</f>
        <v/>
      </c>
    </row>
    <row r="2113" ht="50.1" customHeight="1" s="3">
      <c r="A2113" s="23" t="n"/>
      <c r="B2113" s="24" t="inlineStr">
        <is>
          <t>20739</t>
        </is>
      </c>
      <c r="C2113" s="23" t="inlineStr">
        <is>
          <t>М БРАУН НОВ</t>
        </is>
      </c>
      <c r="D2113" s="23" t="inlineStr">
        <is>
          <t>Браун С.</t>
        </is>
      </c>
      <c r="E2113" s="23" t="inlineStr">
        <is>
          <t>Связанный честью</t>
        </is>
      </c>
      <c r="F2113" s="23" t="inlineStr">
        <is>
          <t>        </t>
        </is>
      </c>
      <c r="G2113" s="23" t="n">
        <v>317</v>
      </c>
      <c r="H2113" s="23" t="n">
        <v>10</v>
      </c>
      <c r="I2113" s="23" t="n">
        <v>8</v>
      </c>
      <c r="J2113" s="23" t="inlineStr">
        <is>
          <t>978-5-227-10453-3</t>
        </is>
      </c>
      <c r="K2113" s="23" t="inlineStr">
        <is>
          <t>70x100 1/32</t>
        </is>
      </c>
      <c r="L2113" s="23" t="inlineStr">
        <is>
          <t>мяг</t>
        </is>
      </c>
      <c r="M2113" s="23" t="n">
        <v>352</v>
      </c>
      <c r="N2113" s="23" t="n">
        <v>2023</v>
      </c>
      <c r="O2113" s="23" t="n">
        <v>166</v>
      </c>
      <c r="P2113" s="23" t="n"/>
      <c r="Q2113" s="23" t="n"/>
      <c r="R2113" s="25" t="inlineStr">
        <is>
          <t>Едва войдя в свою комфортабельную квартиру, Эйслин Едва войдя в свою комфортабельную квартиру, Эйслин Эндрюс почувствовала угрозу, а в следующее мгновение уже знала, от кого она исходит. Лукас Грейвольф, сбежавший из федеральной тюрьмы преступник, вторгся в ее жилище в поисках пищи и убежища. С этого момента жизнь красивой, образованной, не знающей проблем и потихоньку изнывающей от скуки девушки из богатой семьи полетела кувырком. Но, попав в заложницы и помогая Грейвольфу скрываться от полиции, Эйслин ощутила вкус к жизни и с удивлением обнаружила, что ее похититель не только умен, хорош собой и сексуален — за навязчивой грубостью Лукаса скрывается тонкая, благородная, ранимая душа. И мисс Эндрюс начала сомневаться в его виновности.</t>
        </is>
      </c>
      <c r="S2113" s="26">
        <f>HYPERLINK("http://www.cnpol.ru/covers/20739.jpg","фото на сайте")</f>
        <v/>
      </c>
    </row>
    <row r="2114" ht="50.1" customHeight="1" s="3">
      <c r="A2114" s="23" t="inlineStr">
        <is>
          <t>Д</t>
        </is>
      </c>
      <c r="B2114" s="24" t="inlineStr">
        <is>
          <t>21538</t>
        </is>
      </c>
      <c r="C2114" s="23" t="inlineStr">
        <is>
          <t>М БРАУН НОВ</t>
        </is>
      </c>
      <c r="D2114" s="23" t="inlineStr">
        <is>
          <t>Браун С.</t>
        </is>
      </c>
      <c r="E2114" s="23" t="inlineStr">
        <is>
          <t>Секрет обаяния</t>
        </is>
      </c>
      <c r="F2114" s="23" t="inlineStr">
        <is>
          <t>        </t>
        </is>
      </c>
      <c r="G2114" s="23" t="n">
        <v>317</v>
      </c>
      <c r="H2114" s="23" t="n">
        <v>10</v>
      </c>
      <c r="I2114" s="23" t="n">
        <v>6</v>
      </c>
      <c r="J2114" s="23" t="inlineStr">
        <is>
          <t>978-5-227-10807-4</t>
        </is>
      </c>
      <c r="K2114" s="23" t="inlineStr">
        <is>
          <t>70x100 1/32</t>
        </is>
      </c>
      <c r="L2114" s="23" t="inlineStr">
        <is>
          <t>мяг</t>
        </is>
      </c>
      <c r="M2114" s="23" t="n">
        <v>378</v>
      </c>
      <c r="N2114" s="23" t="n">
        <v>2025</v>
      </c>
      <c r="O2114" s="23" t="n">
        <v>175</v>
      </c>
      <c r="P2114" s="23" t="n"/>
      <c r="Q2114" s="23" t="n"/>
      <c r="R2114" s="25" t="inlineStr">
        <is>
          <t>Отчаявшаяся мать готова на все, чтобы спасти тяжелобольного сына. Когда на лечение потребовались средства, Арден Джентри согласилась на чудовищное предложение мужа, врача-акушера, — за большие деньги стать суррогатной матерью для обеспеченной бесплодной пары. Но все оказалось напрасно — сын умер. И, порвав с ненавистным мужем, она стала цепляться за спасительную мысль — увидеть ребенка, которого родила от неизвестного мужчины. Им оказался знаменитый теннисист, жена которого погибла, и он растит мальчика один. Они встретились и полюбили друг друга. Но Арден не смогла вовремя открыть свою тайну, и теперь их счастье в руках шантажиста.</t>
        </is>
      </c>
      <c r="S2114" s="26">
        <f>HYPERLINK("http://www.cnpol.ru/covers/21538.jpg","фото на сайте")</f>
        <v/>
      </c>
    </row>
    <row r="2115" ht="50.1" customHeight="1" s="3">
      <c r="A2115" s="23" t="n"/>
      <c r="B2115" s="24" t="inlineStr">
        <is>
          <t>5486</t>
        </is>
      </c>
      <c r="C2115" s="23" t="inlineStr">
        <is>
          <t>М БРС</t>
        </is>
      </c>
      <c r="D2115" s="23" t="inlineStr">
        <is>
          <t>Дубров</t>
        </is>
      </c>
      <c r="E2115" s="23" t="inlineStr">
        <is>
          <t>Американский коккер-спаниель</t>
        </is>
      </c>
      <c r="F2115" s="23" t="inlineStr">
        <is>
          <t>        </t>
        </is>
      </c>
      <c r="G2115" s="23" t="n">
        <v>213</v>
      </c>
      <c r="H2115" s="23" t="n">
        <v>10</v>
      </c>
      <c r="I2115" s="23" t="n">
        <v>30</v>
      </c>
      <c r="J2115" s="23" t="inlineStr">
        <is>
          <t>5-9524-1482-6</t>
        </is>
      </c>
      <c r="K2115" s="23" t="inlineStr">
        <is>
          <t>84x108 1/32 (обл)</t>
        </is>
      </c>
      <c r="L2115" s="23" t="inlineStr">
        <is>
          <t>мяг</t>
        </is>
      </c>
      <c r="M2115" s="23" t="n">
        <v>172</v>
      </c>
      <c r="N2115" s="23" t="n">
        <v>2005</v>
      </c>
      <c r="O2115" s="23" t="n">
        <v>90</v>
      </c>
      <c r="P2115" s="23" t="n"/>
      <c r="Q2115" s="23" t="n"/>
      <c r="R2115" s="25" t="inlineStr">
        <is>
          <t>Эта книга посвящена американскому кокер-спаниелю.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советы по лечению заболеваний, наиболее часто встречающихся у кокеров, а также узнает принципы их натаски и разведения...</t>
        </is>
      </c>
      <c r="S2115" s="26">
        <f>HYPERLINK("http://www.cnpol.ru/covers/5486.jpg","фото на сайте")</f>
        <v/>
      </c>
    </row>
    <row r="2116" ht="50.1" customHeight="1" s="3">
      <c r="A2116" s="23" t="n"/>
      <c r="B2116" s="24" t="inlineStr">
        <is>
          <t>6241</t>
        </is>
      </c>
      <c r="C2116" s="23" t="inlineStr">
        <is>
          <t>М БРС</t>
        </is>
      </c>
      <c r="D2116" s="23" t="inlineStr">
        <is>
          <t>Дубров</t>
        </is>
      </c>
      <c r="E2116" s="23" t="inlineStr">
        <is>
          <t>Американский питбультерьер</t>
        </is>
      </c>
      <c r="F2116" s="23" t="inlineStr">
        <is>
          <t>        </t>
        </is>
      </c>
      <c r="G2116" s="23" t="n">
        <v>213</v>
      </c>
      <c r="H2116" s="23" t="n">
        <v>10</v>
      </c>
      <c r="I2116" s="23" t="n">
        <v>40</v>
      </c>
      <c r="J2116" s="23" t="inlineStr">
        <is>
          <t>5-9524-2022-2</t>
        </is>
      </c>
      <c r="K2116" s="23" t="inlineStr">
        <is>
          <t>84x108 1/32 (обл)</t>
        </is>
      </c>
      <c r="L2116" s="23" t="inlineStr">
        <is>
          <t>мяг</t>
        </is>
      </c>
      <c r="M2116" s="23" t="n">
        <v>140</v>
      </c>
      <c r="N2116" s="23" t="n">
        <v>2005</v>
      </c>
      <c r="O2116" s="23" t="n">
        <v>98</v>
      </c>
      <c r="P2116" s="23" t="n"/>
      <c r="Q2116" s="23" t="n"/>
      <c r="R2116" s="25" t="inlineStr">
        <is>
          <t>Книга посвящена американскому пит-бультерьеру — прекрасной бойцовой собаке. Это умные, самостоятельные животные атлетического сложения, надежные друзья и помощники, наделенные большой силой и ловкостью.</t>
        </is>
      </c>
      <c r="S2116" s="26">
        <f>HYPERLINK("http://www.cnpol.ru/covers/6241.jpg","фото на сайте")</f>
        <v/>
      </c>
    </row>
    <row r="2117" ht="50.1" customHeight="1" s="3">
      <c r="A2117" s="23" t="n"/>
      <c r="B2117" s="24" t="inlineStr">
        <is>
          <t>5424</t>
        </is>
      </c>
      <c r="C2117" s="23" t="inlineStr">
        <is>
          <t>М БРС</t>
        </is>
      </c>
      <c r="D2117" s="23" t="inlineStr">
        <is>
          <t>Дубров</t>
        </is>
      </c>
      <c r="E2117" s="23" t="inlineStr">
        <is>
          <t>Английский бульдог</t>
        </is>
      </c>
      <c r="F2117" s="23" t="inlineStr">
        <is>
          <t>        </t>
        </is>
      </c>
      <c r="G2117" s="23" t="n">
        <v>213</v>
      </c>
      <c r="H2117" s="23" t="n">
        <v>10</v>
      </c>
      <c r="I2117" s="23" t="n">
        <v>30</v>
      </c>
      <c r="J2117" s="23" t="inlineStr">
        <is>
          <t>5-9524-1443-5</t>
        </is>
      </c>
      <c r="K2117" s="23" t="inlineStr">
        <is>
          <t>84x108 1/32 (обл)</t>
        </is>
      </c>
      <c r="L2117" s="23" t="inlineStr">
        <is>
          <t>мяг</t>
        </is>
      </c>
      <c r="M2117" s="23" t="n">
        <v>143</v>
      </c>
      <c r="N2117" s="23" t="n">
        <v>2005</v>
      </c>
      <c r="O2117" s="23" t="n">
        <v>96</v>
      </c>
      <c r="P2117" s="23" t="n"/>
      <c r="Q2117" s="23" t="n"/>
      <c r="R2117" s="25" t="n"/>
      <c r="S2117" s="26">
        <f>HYPERLINK("http://www.cnpol.ru/covers/5424.jpg","фото на сайте")</f>
        <v/>
      </c>
    </row>
    <row r="2118" ht="50.1" customHeight="1" s="3">
      <c r="A2118" s="23" t="n"/>
      <c r="B2118" s="24" t="inlineStr">
        <is>
          <t>5568</t>
        </is>
      </c>
      <c r="C2118" s="23" t="inlineStr">
        <is>
          <t>М БРС</t>
        </is>
      </c>
      <c r="D2118" s="23" t="inlineStr">
        <is>
          <t>Дубров</t>
        </is>
      </c>
      <c r="E2118" s="23" t="inlineStr">
        <is>
          <t>Английский кокер спаниель</t>
        </is>
      </c>
      <c r="F2118" s="23" t="inlineStr">
        <is>
          <t>        </t>
        </is>
      </c>
      <c r="G2118" s="23" t="n">
        <v>213</v>
      </c>
      <c r="H2118" s="23" t="n">
        <v>10</v>
      </c>
      <c r="I2118" s="23" t="n">
        <v>30</v>
      </c>
      <c r="J2118" s="23" t="inlineStr">
        <is>
          <t>5-9524-1481-8</t>
        </is>
      </c>
      <c r="K2118" s="23" t="inlineStr">
        <is>
          <t>84x108 1/32 (обл)</t>
        </is>
      </c>
      <c r="L2118" s="23" t="inlineStr">
        <is>
          <t>мяг</t>
        </is>
      </c>
      <c r="M2118" s="23" t="n">
        <v>163</v>
      </c>
      <c r="N2118" s="23" t="n">
        <v>2005</v>
      </c>
      <c r="O2118" s="23" t="n">
        <v>108</v>
      </c>
      <c r="P2118" s="23" t="n"/>
      <c r="Q2118" s="23" t="n"/>
      <c r="R2118" s="25" t="inlineStr">
        <is>
          <t>Эта книга посвящена самому маленькому спаниелю — английскому кокеру.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информацию о заболеваниях, наиболее часто встречающихся у кокеров, принципы их натаски и разведения.</t>
        </is>
      </c>
      <c r="S2118" s="26">
        <f>HYPERLINK("http://www.cnpol.ru/covers/5568.jpg","фото на сайте")</f>
        <v/>
      </c>
    </row>
    <row r="2119" ht="50.1" customHeight="1" s="3">
      <c r="A2119" s="23" t="n"/>
      <c r="B2119" s="24" t="inlineStr">
        <is>
          <t>2120</t>
        </is>
      </c>
      <c r="C2119" s="23" t="inlineStr">
        <is>
          <t>М БРС</t>
        </is>
      </c>
      <c r="D2119" s="23" t="inlineStr">
        <is>
          <t>Дубров</t>
        </is>
      </c>
      <c r="E2119" s="23" t="inlineStr">
        <is>
          <t>Далматин</t>
        </is>
      </c>
      <c r="F2119" s="23" t="inlineStr">
        <is>
          <t>        </t>
        </is>
      </c>
      <c r="G2119" s="23" t="n">
        <v>79</v>
      </c>
      <c r="H2119" s="23" t="n">
        <v>10</v>
      </c>
      <c r="I2119" s="23" t="n">
        <v>40</v>
      </c>
      <c r="J2119" s="23" t="inlineStr">
        <is>
          <t>5-227-00888-4</t>
        </is>
      </c>
      <c r="K2119" s="23" t="inlineStr">
        <is>
          <t>84x108 1/32 (обл)</t>
        </is>
      </c>
      <c r="L2119" s="23" t="inlineStr">
        <is>
          <t>мяг</t>
        </is>
      </c>
      <c r="M2119" s="23" t="inlineStr">
        <is>
          <t>    </t>
        </is>
      </c>
      <c r="N2119" s="23" t="inlineStr">
        <is>
          <t>    </t>
        </is>
      </c>
      <c r="O2119" s="23" t="inlineStr">
        <is>
          <t>     </t>
        </is>
      </c>
      <c r="P2119" s="23" t="n"/>
      <c r="Q2119" s="23" t="n"/>
      <c r="R2119" s="25" t="inlineStr">
        <is>
          <t>Эта книга написана для тех, кто решил завести далматина - собаку загадочного происхождения, с выдаюшимся прошлым, сохранившую предназначение и темперамент своих предков. Читатель найдет ответ на вопрос, является ли Далмация исторической родиной породы, узнает ее стандарт, правила выбора, содержания, выращивания и воспитания щенка с учетом критических периодов в его жизни, а также методику разведения далматинов и наиболее часто встречающиеся у них заболевания.</t>
        </is>
      </c>
      <c r="S2119" s="26">
        <f>HYPERLINK("http://www.cnpol.ru/covers/2120.jpg","фото на сайте")</f>
        <v/>
      </c>
    </row>
    <row r="2120" ht="50.1" customHeight="1" s="3">
      <c r="A2120" s="23" t="n"/>
      <c r="B2120" s="24" t="inlineStr">
        <is>
          <t>4304</t>
        </is>
      </c>
      <c r="C2120" s="23" t="inlineStr">
        <is>
          <t>М БРС</t>
        </is>
      </c>
      <c r="D2120" s="23" t="inlineStr">
        <is>
          <t>Дубров</t>
        </is>
      </c>
      <c r="E2120" s="23" t="inlineStr">
        <is>
          <t>Далматин</t>
        </is>
      </c>
      <c r="F2120" s="23" t="inlineStr">
        <is>
          <t>        </t>
        </is>
      </c>
      <c r="G2120" s="23" t="n">
        <v>213</v>
      </c>
      <c r="H2120" s="23" t="n">
        <v>10</v>
      </c>
      <c r="I2120" s="23" t="n">
        <v>40</v>
      </c>
      <c r="J2120" s="23" t="inlineStr">
        <is>
          <t>5-227-00888-4</t>
        </is>
      </c>
      <c r="K2120" s="23" t="inlineStr">
        <is>
          <t>84x108 1/32 (обл)</t>
        </is>
      </c>
      <c r="L2120" s="23" t="inlineStr">
        <is>
          <t>мяг</t>
        </is>
      </c>
      <c r="M2120" s="23" t="n">
        <v>139</v>
      </c>
      <c r="N2120" s="23" t="n">
        <v>2003</v>
      </c>
      <c r="O2120" s="23" t="n">
        <v>92</v>
      </c>
      <c r="P2120" s="23" t="n"/>
      <c r="Q2120" s="23" t="n"/>
      <c r="R2120" s="25" t="inlineStr">
        <is>
          <t>Эта книга написана для тех, кто решил завести далматина - собаку загадочного происхождения, с выдаюшимся прошлым, сохранившую предназначение и темперамент своих предков. Читатель найдет ответ на вопрос, является ли Далмация исторической родиной породы, узнает ее стандарт, правила выбора, содержания, выращивания и воспитания щенка с учетом критических периодов в его жизни, а также методику разведения далматинов и наиболее часто встречающиеся у них заболевания.</t>
        </is>
      </c>
      <c r="S2120" s="26">
        <f>HYPERLINK("http://www.cnpol.ru/covers/4304.jpg","фото на сайте")</f>
        <v/>
      </c>
    </row>
    <row r="2121" ht="50.1" customHeight="1" s="3">
      <c r="A2121" s="23" t="n"/>
      <c r="B2121" s="24" t="inlineStr">
        <is>
          <t>2458</t>
        </is>
      </c>
      <c r="C2121" s="23" t="inlineStr">
        <is>
          <t>М БРС</t>
        </is>
      </c>
      <c r="D2121" s="23" t="inlineStr">
        <is>
          <t>Дубров</t>
        </is>
      </c>
      <c r="E2121" s="23" t="inlineStr">
        <is>
          <t>Доберман</t>
        </is>
      </c>
      <c r="F2121" s="23" t="inlineStr">
        <is>
          <t>        </t>
        </is>
      </c>
      <c r="G2121" s="23" t="n">
        <v>62</v>
      </c>
      <c r="H2121" s="23" t="n">
        <v>10</v>
      </c>
      <c r="I2121" s="23" t="n">
        <v>40</v>
      </c>
      <c r="J2121" s="23" t="inlineStr">
        <is>
          <t>5-227-01104-4</t>
        </is>
      </c>
      <c r="K2121" s="23" t="inlineStr">
        <is>
          <t>84x108 1/32 (обл)</t>
        </is>
      </c>
      <c r="L2121" s="23" t="inlineStr">
        <is>
          <t>мяг</t>
        </is>
      </c>
      <c r="M2121" s="23" t="inlineStr">
        <is>
          <t>    </t>
        </is>
      </c>
      <c r="N2121" s="23" t="inlineStr">
        <is>
          <t>    </t>
        </is>
      </c>
      <c r="O2121" s="23" t="inlineStr">
        <is>
          <t>     </t>
        </is>
      </c>
      <c r="P2121" s="23" t="n"/>
      <c r="Q2121" s="23" t="n"/>
      <c r="R2121" s="25" t="inlineStr">
        <is>
          <t>Из этой книги вы узнаете, какая замечательная, умная, энергичная и крепкая универсальная собака - лоберман. Автор познакомит вас с интересной историей происхождения породы, ее стандартом. В книге подробно рассказано о том, как правильно выбрать шенка, определить признаки родословной. Большое внимание уделено выращиванию и воспитанию шенка в домашних условиях, а также основам разведения добермана, профилактике заболеваний, наиболее часто встречающихся у него. В книге также много полезных рекомендаций для любителей-собаководов по уходу, кормлению, воспитанию и обучению добермана.</t>
        </is>
      </c>
      <c r="S2121" s="26">
        <f>HYPERLINK("http://www.cnpol.ru/covers/2458.jpg","фото на сайте")</f>
        <v/>
      </c>
    </row>
    <row r="2122" ht="50.1" customHeight="1" s="3">
      <c r="A2122" s="23" t="n"/>
      <c r="B2122" s="24" t="inlineStr">
        <is>
          <t>4305</t>
        </is>
      </c>
      <c r="C2122" s="23" t="inlineStr">
        <is>
          <t>М БРС</t>
        </is>
      </c>
      <c r="D2122" s="23" t="inlineStr">
        <is>
          <t>Дубров</t>
        </is>
      </c>
      <c r="E2122" s="23" t="inlineStr">
        <is>
          <t>Доберман</t>
        </is>
      </c>
      <c r="F2122" s="23" t="inlineStr">
        <is>
          <t>        </t>
        </is>
      </c>
      <c r="G2122" s="23" t="n">
        <v>213</v>
      </c>
      <c r="H2122" s="23" t="n">
        <v>10</v>
      </c>
      <c r="I2122" s="23" t="n">
        <v>40</v>
      </c>
      <c r="J2122" s="23" t="inlineStr">
        <is>
          <t>5-227-01104-4</t>
        </is>
      </c>
      <c r="K2122" s="23" t="inlineStr">
        <is>
          <t>84x108 1/32 (обл)</t>
        </is>
      </c>
      <c r="L2122" s="23" t="inlineStr">
        <is>
          <t>мяг</t>
        </is>
      </c>
      <c r="M2122" s="23" t="n">
        <v>138</v>
      </c>
      <c r="N2122" s="23" t="n">
        <v>2003</v>
      </c>
      <c r="O2122" s="23" t="n">
        <v>88</v>
      </c>
      <c r="P2122" s="23" t="n"/>
      <c r="Q2122" s="23" t="n"/>
      <c r="R2122" s="25" t="inlineStr">
        <is>
          <t>Из этой книги вы узнаете, какая замечательная, умная, энергичная и крепкая универсальная собака - лоберман. Автор познакомит вас с интересной историей происхождения породы, ее стандартом. В книге подробно рассказано о том, как правильно выбрать шенка, определить признаки родословной. Большое внимание уделено выращиванию и воспитанию шенка в домашних условиях, а также основам разведения добермана, профилактике заболеваний, наиболее часто встречающихся у него. В книге также много полезных рекомендаций для любителей-собаководов по уходу, кормлению, воспитанию и обучению добермана.</t>
        </is>
      </c>
      <c r="S2122" s="26">
        <f>HYPERLINK("http://www.cnpol.ru/covers/4305.jpg","фото на сайте")</f>
        <v/>
      </c>
    </row>
    <row r="2123" ht="50.1" customHeight="1" s="3">
      <c r="A2123" s="23" t="n"/>
      <c r="B2123" s="24" t="inlineStr">
        <is>
          <t>5579</t>
        </is>
      </c>
      <c r="C2123" s="23" t="inlineStr">
        <is>
          <t>М БРС</t>
        </is>
      </c>
      <c r="D2123" s="23" t="inlineStr">
        <is>
          <t>Дубров</t>
        </is>
      </c>
      <c r="E2123" s="23" t="inlineStr">
        <is>
          <t>Немецкая овчарка</t>
        </is>
      </c>
      <c r="F2123" s="23" t="inlineStr">
        <is>
          <t>        </t>
        </is>
      </c>
      <c r="G2123" s="23" t="n">
        <v>213</v>
      </c>
      <c r="H2123" s="23" t="n">
        <v>10</v>
      </c>
      <c r="I2123" s="23" t="n">
        <v>40</v>
      </c>
      <c r="J2123" s="23" t="inlineStr">
        <is>
          <t>5-9524-1560-1</t>
        </is>
      </c>
      <c r="K2123" s="23" t="inlineStr">
        <is>
          <t>84x108 1/32 (обл)</t>
        </is>
      </c>
      <c r="L2123" s="23" t="inlineStr">
        <is>
          <t>мяг</t>
        </is>
      </c>
      <c r="M2123" s="23" t="n">
        <v>159</v>
      </c>
      <c r="N2123" s="23" t="n">
        <v>2005</v>
      </c>
      <c r="O2123" s="23" t="n">
        <v>100</v>
      </c>
      <c r="P2123" s="23" t="n"/>
      <c r="Q2123" s="23" t="n"/>
      <c r="R2123" s="25" t="n"/>
      <c r="S2123" s="26">
        <f>HYPERLINK("http://www.cnpol.ru/covers/5579.jpg","фото на сайте")</f>
        <v/>
      </c>
    </row>
    <row r="2124" ht="50.1" customHeight="1" s="3">
      <c r="A2124" s="23" t="n"/>
      <c r="B2124" s="24" t="inlineStr">
        <is>
          <t>5710</t>
        </is>
      </c>
      <c r="C2124" s="23" t="inlineStr">
        <is>
          <t>М БРС</t>
        </is>
      </c>
      <c r="D2124" s="23" t="inlineStr">
        <is>
          <t>Дубров</t>
        </is>
      </c>
      <c r="E2124" s="23" t="inlineStr">
        <is>
          <t>Такса</t>
        </is>
      </c>
      <c r="F2124" s="23" t="inlineStr">
        <is>
          <t>        </t>
        </is>
      </c>
      <c r="G2124" s="23" t="n">
        <v>213</v>
      </c>
      <c r="H2124" s="23" t="n">
        <v>10</v>
      </c>
      <c r="I2124" s="23" t="n">
        <v>40</v>
      </c>
      <c r="J2124" s="23" t="inlineStr">
        <is>
          <t>5-9524-1625-X</t>
        </is>
      </c>
      <c r="K2124" s="23" t="inlineStr">
        <is>
          <t>84x108 1/32 (обл)</t>
        </is>
      </c>
      <c r="L2124" s="23" t="inlineStr">
        <is>
          <t>мяг</t>
        </is>
      </c>
      <c r="M2124" s="23" t="n">
        <v>143</v>
      </c>
      <c r="N2124" s="23" t="n">
        <v>2004</v>
      </c>
      <c r="O2124" s="23" t="n">
        <v>94</v>
      </c>
      <c r="P2124" s="23" t="n"/>
      <c r="Q2124" s="23" t="n"/>
      <c r="R2124" s="25" t="n"/>
      <c r="S2124" s="26">
        <f>HYPERLINK("http://www.cnpol.ru/covers/5710.jpg","фото на сайте")</f>
        <v/>
      </c>
    </row>
    <row r="2125" ht="50.1" customHeight="1" s="3">
      <c r="A2125" s="23" t="n"/>
      <c r="B2125" s="24" t="inlineStr">
        <is>
          <t>5927</t>
        </is>
      </c>
      <c r="C2125" s="23" t="inlineStr">
        <is>
          <t>М БРС</t>
        </is>
      </c>
      <c r="D2125" s="23" t="inlineStr">
        <is>
          <t>Дубров</t>
        </is>
      </c>
      <c r="E2125" s="23" t="inlineStr">
        <is>
          <t>Чау чау</t>
        </is>
      </c>
      <c r="F2125" s="23" t="inlineStr">
        <is>
          <t>        </t>
        </is>
      </c>
      <c r="G2125" s="23" t="n">
        <v>213</v>
      </c>
      <c r="H2125" s="23" t="n">
        <v>10</v>
      </c>
      <c r="I2125" s="23" t="n">
        <v>40</v>
      </c>
      <c r="J2125" s="23" t="inlineStr">
        <is>
          <t>5-9524-1837-6</t>
        </is>
      </c>
      <c r="K2125" s="23" t="inlineStr">
        <is>
          <t>84x108 1/32 (обл)</t>
        </is>
      </c>
      <c r="L2125" s="23" t="inlineStr">
        <is>
          <t>мяг</t>
        </is>
      </c>
      <c r="M2125" s="23" t="n">
        <v>143</v>
      </c>
      <c r="N2125" s="23" t="n">
        <v>2005</v>
      </c>
      <c r="O2125" s="23" t="n">
        <v>92</v>
      </c>
      <c r="P2125" s="23" t="n"/>
      <c r="Q2125" s="23" t="n"/>
      <c r="R2125" s="25" t="n"/>
      <c r="S2125" s="26">
        <f>HYPERLINK("http://www.cnpol.ru/covers/5927.jpg","фото на сайте")</f>
        <v/>
      </c>
    </row>
    <row r="2126" ht="50.1" customHeight="1" s="3">
      <c r="A2126" s="23" t="n"/>
      <c r="B2126" s="24" t="inlineStr">
        <is>
          <t>2744</t>
        </is>
      </c>
      <c r="C2126" s="23" t="inlineStr">
        <is>
          <t>М ГОНЧАРОВ</t>
        </is>
      </c>
      <c r="D2126" s="23" t="inlineStr">
        <is>
          <t>Петров М.</t>
        </is>
      </c>
      <c r="E2126" s="23" t="inlineStr">
        <is>
          <t>Гончаров и шайка мошенников</t>
        </is>
      </c>
      <c r="F2126" s="23" t="inlineStr">
        <is>
          <t>        </t>
        </is>
      </c>
      <c r="G2126" s="23" t="n">
        <v>62</v>
      </c>
      <c r="H2126" s="23" t="n">
        <v>10</v>
      </c>
      <c r="I2126" s="23" t="n">
        <v>28</v>
      </c>
      <c r="J2126" s="23" t="inlineStr">
        <is>
          <t>5-227-01448-5</t>
        </is>
      </c>
      <c r="K2126" s="23" t="inlineStr">
        <is>
          <t>70x90 1/32</t>
        </is>
      </c>
      <c r="L2126" s="23" t="inlineStr">
        <is>
          <t>мяг</t>
        </is>
      </c>
      <c r="M2126" s="23" t="n">
        <v>380</v>
      </c>
      <c r="N2126" s="23" t="n">
        <v>2001</v>
      </c>
      <c r="O2126" s="23" t="n">
        <v>156</v>
      </c>
      <c r="P2126" s="23" t="n"/>
      <c r="Q2126" s="23" t="n"/>
      <c r="R2126" s="25" t="inlineStr">
        <is>
          <t>Сыщик Костя Гончаров, решая чужие проблемы, порой нарывается на крупные неприятности. В повести "Гончаров и шайка мошенников" ему приходится разыскивать похищенную жену и самому выбираться из хитроумной ловушки, а в повести "Гончаров разгадывает семенную тайну" - копаться в прошлом, чтобы понять причину давней трагедии.</t>
        </is>
      </c>
      <c r="S2126" s="26">
        <f>HYPERLINK("http://www.cnpol.ru/covers/2744.jpg","фото на сайте")</f>
        <v/>
      </c>
    </row>
    <row r="2127" ht="50.1" customHeight="1" s="3">
      <c r="A2127" s="23" t="n"/>
      <c r="B2127" s="24" t="inlineStr">
        <is>
          <t>12273</t>
        </is>
      </c>
      <c r="C2127" s="23" t="inlineStr">
        <is>
          <t>М ГОРОД</t>
        </is>
      </c>
      <c r="D2127" s="23" t="inlineStr">
        <is>
          <t>Рахманова Е.</t>
        </is>
      </c>
      <c r="E2127" s="23" t="inlineStr">
        <is>
          <t>Любит не любит</t>
        </is>
      </c>
      <c r="F2127" s="23" t="inlineStr">
        <is>
          <t>        </t>
        </is>
      </c>
      <c r="G2127" s="23" t="n">
        <v>186</v>
      </c>
      <c r="H2127" s="23" t="n">
        <v>10</v>
      </c>
      <c r="I2127" s="23" t="n">
        <v>36</v>
      </c>
      <c r="J2127" s="23" t="inlineStr">
        <is>
          <t>978-5-227-02449-7</t>
        </is>
      </c>
      <c r="K2127" s="23" t="inlineStr">
        <is>
          <t>70x90 1/32</t>
        </is>
      </c>
      <c r="L2127" s="23" t="inlineStr">
        <is>
          <t>мяг</t>
        </is>
      </c>
      <c r="M2127" s="23" t="n">
        <v>286</v>
      </c>
      <c r="N2127" s="23" t="n">
        <v>2010</v>
      </c>
      <c r="O2127" s="23" t="n">
        <v>120</v>
      </c>
      <c r="P2127" s="23" t="n"/>
      <c r="Q2127" s="23" t="n"/>
      <c r="R2127" s="25" t="inlineStr">
        <is>
          <t>Продюсер Венчик, секретарша Бина, начальник отдела Максим и его сотрудница Тина однажды отправились в кафе. Все было прекрасно, мило и весело. Бина считала, что потихоньку приручает ветреного Венчика, а Макс и Тина наслаждались романтикой конфетно-букетного периода, за которым уже маячило брачное предложение, свадьба и радости супружеской спальни. По нелепой случайности поцелуй страсти достался не той, кому предназначался, и карты судьбы легли в совершенно неожиданном раскладе.</t>
        </is>
      </c>
      <c r="S2127" s="26">
        <f>HYPERLINK("http://www.cnpol.ru/covers/12273.jpg","фото на сайте")</f>
        <v/>
      </c>
    </row>
    <row r="2128" ht="50.1" customHeight="1" s="3">
      <c r="A2128" s="23" t="n"/>
      <c r="B2128" s="24" t="inlineStr">
        <is>
          <t>11753</t>
        </is>
      </c>
      <c r="C2128" s="23" t="inlineStr">
        <is>
          <t>М ГОРОД</t>
        </is>
      </c>
      <c r="D2128" s="23" t="inlineStr">
        <is>
          <t>Градова И.</t>
        </is>
      </c>
      <c r="E2128" s="23" t="inlineStr">
        <is>
          <t>Пять причин улыбнуться</t>
        </is>
      </c>
      <c r="F2128" s="23" t="inlineStr">
        <is>
          <t>        </t>
        </is>
      </c>
      <c r="G2128" s="23" t="n">
        <v>186</v>
      </c>
      <c r="H2128" s="23" t="n">
        <v>10</v>
      </c>
      <c r="I2128" s="23" t="n">
        <v>20</v>
      </c>
      <c r="J2128" s="23" t="inlineStr">
        <is>
          <t>978-5-9524-4866-7</t>
        </is>
      </c>
      <c r="K2128" s="23" t="inlineStr">
        <is>
          <t>70x90 1/32</t>
        </is>
      </c>
      <c r="L2128" s="23" t="inlineStr">
        <is>
          <t>мяг</t>
        </is>
      </c>
      <c r="M2128" s="23" t="n">
        <v>288</v>
      </c>
      <c r="N2128" s="23" t="n">
        <v>2010</v>
      </c>
      <c r="O2128" s="23" t="n">
        <v>120</v>
      </c>
      <c r="P2128" s="23" t="n"/>
      <c r="Q2128" s="23" t="n"/>
      <c r="R2128" s="25" t="n"/>
      <c r="S2128" s="26">
        <f>HYPERLINK("http://www.cnpol.ru/covers/11753.jpg","фото на сайте")</f>
        <v/>
      </c>
    </row>
    <row r="2129" ht="50.1" customHeight="1" s="3">
      <c r="A2129" s="23" t="n"/>
      <c r="B2129" s="24" t="inlineStr">
        <is>
          <t>17443</t>
        </is>
      </c>
      <c r="C2129" s="23" t="inlineStr">
        <is>
          <t>М ГРЭНДЖЕР</t>
        </is>
      </c>
      <c r="D2129" s="23" t="inlineStr">
        <is>
          <t>Грэнджер Э.</t>
        </is>
      </c>
      <c r="E2129" s="23" t="inlineStr">
        <is>
          <t>В дурном обществе</t>
        </is>
      </c>
      <c r="F2129" s="23" t="inlineStr">
        <is>
          <t>        </t>
        </is>
      </c>
      <c r="G2129" s="23" t="n">
        <v>229</v>
      </c>
      <c r="H2129" s="23" t="n">
        <v>10</v>
      </c>
      <c r="I2129" s="23" t="n">
        <v>20</v>
      </c>
      <c r="J2129" s="23" t="inlineStr">
        <is>
          <t>978-5-227-07437-9</t>
        </is>
      </c>
      <c r="K2129" s="23" t="inlineStr">
        <is>
          <t>70x100 1/32</t>
        </is>
      </c>
      <c r="L2129" s="23" t="inlineStr">
        <is>
          <t>мяг</t>
        </is>
      </c>
      <c r="M2129" s="23" t="n">
        <v>320</v>
      </c>
      <c r="N2129" s="23" t="n">
        <v>2017</v>
      </c>
      <c r="O2129" s="23" t="n">
        <v>144</v>
      </c>
      <c r="P2129" s="23" t="n"/>
      <c r="Q2129" s="23" t="n"/>
      <c r="R2129" s="25" t="inlineStr">
        <is>
          <t>Фран Варади случайно узнала от бродяги алкаша Алби, что он видел, как ночью какую-то девушку схватили на улице и увезли в старой машине. История показалась Фран настолько правдоподобной, что она, преодолев нелюбовь к стражам порядка, пошла в полицию, где от нее отмахнулись, словно от назойливой мухи. Так Фран становится сыщиком поневоле, потому что не может выкинуть из головы несчастную жертву похищения.</t>
        </is>
      </c>
      <c r="S2129" s="26">
        <f>HYPERLINK("http://www.cnpol.ru/covers/17443.jpg","фото на сайте")</f>
        <v/>
      </c>
    </row>
    <row r="2130" ht="50.1" customHeight="1" s="3">
      <c r="A2130" s="23" t="n"/>
      <c r="B2130" s="24" t="inlineStr">
        <is>
          <t>14562</t>
        </is>
      </c>
      <c r="C2130" s="23" t="inlineStr">
        <is>
          <t>М ГРЭНДЖЕР</t>
        </is>
      </c>
      <c r="D2130" s="23" t="inlineStr">
        <is>
          <t>Грэнджер Э.</t>
        </is>
      </c>
      <c r="E2130" s="23" t="inlineStr">
        <is>
          <t>Где старые кости лежат</t>
        </is>
      </c>
      <c r="F2130" s="23" t="inlineStr">
        <is>
          <t>        </t>
        </is>
      </c>
      <c r="G2130" s="23" t="n">
        <v>229</v>
      </c>
      <c r="H2130" s="23" t="n">
        <v>10</v>
      </c>
      <c r="I2130" s="23" t="n">
        <v>16</v>
      </c>
      <c r="J2130" s="23" t="inlineStr">
        <is>
          <t>978-5-227-04603-1</t>
        </is>
      </c>
      <c r="K2130" s="23" t="inlineStr">
        <is>
          <t>70x100 1/32</t>
        </is>
      </c>
      <c r="L2130" s="23" t="inlineStr">
        <is>
          <t>мяг</t>
        </is>
      </c>
      <c r="M2130" s="23" t="n">
        <v>416</v>
      </c>
      <c r="N2130" s="23" t="n">
        <v>2013</v>
      </c>
      <c r="O2130" s="23" t="n">
        <v>186</v>
      </c>
      <c r="P2130" s="23" t="n"/>
      <c r="Q2130" s="23" t="n"/>
      <c r="R2130" s="25" t="inlineStr">
        <is>
          <t>Свой недельный отпуск Мередит Митчелл собиралась провести с толком и с удовольствием: сходить в парикмахерскую, посетить зубного врача, побаловать себя шопингом. Но с раскопок в окрестностях Бамфорда позвонила подруга, доктор палеонтологии Урсула Греттон, и попросила Мередит и ее друга, старшего инспектора Алана Маркби, о помощи. Урсула подозревает, что жена ее бывшего любовника убита. Маркби посоветовал Мередит не впутываться в чужие дела и заявил, что не расследует подозрения. Но ему пришлось приступить к своим обязанностям, потому что труп несчастной женщины, завернутый в старый ковер, был-таки обнаружен на свалке, неподалеку от раскопа…</t>
        </is>
      </c>
      <c r="S2130" s="26">
        <f>HYPERLINK("http://www.cnpol.ru/covers/14562.jpg","фото на сайте")</f>
        <v/>
      </c>
    </row>
    <row r="2131" ht="50.1" customHeight="1" s="3">
      <c r="A2131" s="23" t="n"/>
      <c r="B2131" s="24" t="inlineStr">
        <is>
          <t>14696</t>
        </is>
      </c>
      <c r="C2131" s="23" t="inlineStr">
        <is>
          <t>М ГРЭНДЖЕР</t>
        </is>
      </c>
      <c r="D2131" s="23" t="inlineStr">
        <is>
          <t>Грэнджер Э.</t>
        </is>
      </c>
      <c r="E2131" s="23" t="inlineStr">
        <is>
          <t>Где старые кости лежат</t>
        </is>
      </c>
      <c r="F2131" s="23" t="inlineStr">
        <is>
          <t>        </t>
        </is>
      </c>
      <c r="G2131" s="23" t="n">
        <v>196</v>
      </c>
      <c r="H2131" s="23" t="n">
        <v>10</v>
      </c>
      <c r="I2131" s="23" t="n">
        <v>24</v>
      </c>
      <c r="J2131" s="23" t="inlineStr">
        <is>
          <t>978-5-227-04603-1</t>
        </is>
      </c>
      <c r="K2131" s="23" t="inlineStr">
        <is>
          <t>70x100 1/32</t>
        </is>
      </c>
      <c r="L2131" s="23" t="inlineStr">
        <is>
          <t>мяг</t>
        </is>
      </c>
      <c r="M2131" s="23" t="n">
        <v>416</v>
      </c>
      <c r="N2131" s="23" t="n">
        <v>2013</v>
      </c>
      <c r="O2131" s="23" t="n">
        <v>190</v>
      </c>
      <c r="P2131" s="23" t="n"/>
      <c r="Q2131" s="23" t="n"/>
      <c r="R2131" s="25" t="inlineStr">
        <is>
          <t>Свой недельный отпуск Мередит Митчелл собиралась провести с толком и с удовольствием: сходить в парикмахерскую, посетить зубного врача, побаловать себя шопингом. Но с раскопок в окрестностях Бамфорда позвонила подруга, доктор палеонтологии Урсула Греттон, и попросила Мередит и ее друга, старшего инспектора Алана Маркби, о помощи. Урсула подозревает, что жена ее бывшего любовника убита. Маркби посоветовал Мередит не впутываться в чужие дела и заявил, что не расследует подозрения. Но ему пришлось приступить к своим обязанностям, потому что труп несчастной женщины, завернутый в старый ковер, был-таки обнаружен на свалке, неподалеку от раскопа…</t>
        </is>
      </c>
      <c r="S2131" s="26">
        <f>HYPERLINK("http://www.cnpol.ru/covers/14696.jpg","фото на сайте")</f>
        <v/>
      </c>
    </row>
    <row r="2132" ht="50.1" customHeight="1" s="3">
      <c r="A2132" s="23" t="n"/>
      <c r="B2132" s="24" t="inlineStr">
        <is>
          <t>17212</t>
        </is>
      </c>
      <c r="C2132" s="23" t="inlineStr">
        <is>
          <t>М ГРЭНДЖЕР</t>
        </is>
      </c>
      <c r="D2132" s="23" t="inlineStr">
        <is>
          <t>Грэнджер Э.</t>
        </is>
      </c>
      <c r="E2132" s="23" t="inlineStr">
        <is>
          <t>Дорога к убийству</t>
        </is>
      </c>
      <c r="F2132" s="23" t="inlineStr">
        <is>
          <t>        </t>
        </is>
      </c>
      <c r="G2132" s="23" t="n">
        <v>229</v>
      </c>
      <c r="H2132" s="23" t="n">
        <v>10</v>
      </c>
      <c r="I2132" s="23" t="n">
        <v>20</v>
      </c>
      <c r="J2132" s="23" t="inlineStr">
        <is>
          <t>978-5-227-07153-8</t>
        </is>
      </c>
      <c r="K2132" s="23" t="inlineStr">
        <is>
          <t>70x100 1/32</t>
        </is>
      </c>
      <c r="L2132" s="23" t="inlineStr">
        <is>
          <t>мяг</t>
        </is>
      </c>
      <c r="M2132" s="23" t="n">
        <v>320</v>
      </c>
      <c r="N2132" s="23" t="n">
        <v>2016</v>
      </c>
      <c r="O2132" s="23" t="n">
        <v>146</v>
      </c>
      <c r="P2132" s="23" t="n"/>
      <c r="Q2132" s="23" t="n"/>
      <c r="R2132" s="25" t="inlineStr">
        <is>
          <t>Элисон Дженнер — хозяйку большого богатого поместья — шантажируют. Некто неизвестный шлет ей угрожающие письма, намекая на то, что она убийца. Боясь, что об этом узнают и пострадает доброе имя жены, Джереми Дженнер приглашает в гости знакомую пару, Мередит Митчелл и суперинтендента Алана Маркби, и просит их неофициально заняться расследованием. Маркби не готов включиться в это дело — оно кажется ему надуманным. Но когда в озере находят труп дочери Дженнера Фионы, он уже не может остаться в стороне.</t>
        </is>
      </c>
      <c r="S2132" s="26">
        <f>HYPERLINK("http://www.cnpol.ru/covers/17212.jpg","фото на сайте")</f>
        <v/>
      </c>
    </row>
    <row r="2133" ht="50.1" customHeight="1" s="3">
      <c r="A2133" s="23" t="n"/>
      <c r="B2133" s="24" t="inlineStr">
        <is>
          <t>17550</t>
        </is>
      </c>
      <c r="C2133" s="23" t="inlineStr">
        <is>
          <t>М ГРЭНДЖЕР</t>
        </is>
      </c>
      <c r="D2133" s="23" t="inlineStr">
        <is>
          <t>Грэнджер Э.</t>
        </is>
      </c>
      <c r="E2133" s="23" t="inlineStr">
        <is>
          <t>На злодеев глаз наметан</t>
        </is>
      </c>
      <c r="F2133" s="23" t="inlineStr">
        <is>
          <t>        </t>
        </is>
      </c>
      <c r="G2133" s="23" t="n">
        <v>229</v>
      </c>
      <c r="H2133" s="23" t="n">
        <v>10</v>
      </c>
      <c r="I2133" s="23" t="n">
        <v>20</v>
      </c>
      <c r="J2133" s="23" t="inlineStr">
        <is>
          <t>978-5-227-07599-4</t>
        </is>
      </c>
      <c r="K2133" s="23" t="inlineStr">
        <is>
          <t>70x100 1/32</t>
        </is>
      </c>
      <c r="L2133" s="23" t="inlineStr">
        <is>
          <t>мяг</t>
        </is>
      </c>
      <c r="M2133" s="23" t="n">
        <v>384</v>
      </c>
      <c r="N2133" s="23" t="n">
        <v>2017</v>
      </c>
      <c r="O2133" s="23" t="n">
        <v>178</v>
      </c>
      <c r="P2133" s="23" t="n"/>
      <c r="Q2133" s="23" t="n"/>
      <c r="R2133" s="25" t="n"/>
      <c r="S2133" s="26">
        <f>HYPERLINK("http://www.cnpol.ru/covers/17550.jpg","фото на сайте")</f>
        <v/>
      </c>
    </row>
    <row r="2134" ht="50.1" customHeight="1" s="3">
      <c r="A2134" s="23" t="n"/>
      <c r="B2134" s="24" t="inlineStr">
        <is>
          <t>15551</t>
        </is>
      </c>
      <c r="C2134" s="23" t="inlineStr">
        <is>
          <t>М ГРЭНДЖЕР</t>
        </is>
      </c>
      <c r="D2134" s="23" t="inlineStr">
        <is>
          <t>Грэнджер Э.</t>
        </is>
      </c>
      <c r="E2134" s="23" t="inlineStr">
        <is>
          <t>Неугомонное зло</t>
        </is>
      </c>
      <c r="F2134" s="23" t="inlineStr">
        <is>
          <t>        </t>
        </is>
      </c>
      <c r="G2134" s="23" t="n">
        <v>229</v>
      </c>
      <c r="H2134" s="23" t="n">
        <v>10</v>
      </c>
      <c r="I2134" s="23" t="n">
        <v>20</v>
      </c>
      <c r="J2134" s="23" t="inlineStr">
        <is>
          <t>978-5-227-05461-6</t>
        </is>
      </c>
      <c r="K2134" s="23" t="inlineStr">
        <is>
          <t>70x100 1/32</t>
        </is>
      </c>
      <c r="L2134" s="23" t="inlineStr">
        <is>
          <t>мяг</t>
        </is>
      </c>
      <c r="M2134" s="23" t="n">
        <v>352</v>
      </c>
      <c r="N2134" s="23" t="n">
        <v>2014</v>
      </c>
      <c r="O2134" s="23" t="n">
        <v>164</v>
      </c>
      <c r="P2134" s="23" t="n"/>
      <c r="Q2134" s="23" t="n"/>
      <c r="R2134" s="25" t="n"/>
      <c r="S2134" s="26">
        <f>HYPERLINK("http://www.cnpol.ru/covers/15551.jpg","фото на сайте")</f>
        <v/>
      </c>
    </row>
    <row r="2135" ht="50.1" customHeight="1" s="3">
      <c r="A2135" s="23" t="n"/>
      <c r="B2135" s="24" t="inlineStr">
        <is>
          <t>17204</t>
        </is>
      </c>
      <c r="C2135" s="23" t="inlineStr">
        <is>
          <t>М ГРЭНДЖЕР</t>
        </is>
      </c>
      <c r="D2135" s="23" t="inlineStr">
        <is>
          <t>Грэнджер Э.</t>
        </is>
      </c>
      <c r="E2135" s="23" t="inlineStr">
        <is>
          <t>Неугомонное зло</t>
        </is>
      </c>
      <c r="F2135" s="23" t="inlineStr">
        <is>
          <t>        </t>
        </is>
      </c>
      <c r="G2135" s="23" t="n">
        <v>229</v>
      </c>
      <c r="H2135" s="23" t="n">
        <v>10</v>
      </c>
      <c r="I2135" s="23" t="n">
        <v>20</v>
      </c>
      <c r="J2135" s="23" t="inlineStr">
        <is>
          <t>978-5-227-07151-4</t>
        </is>
      </c>
      <c r="K2135" s="23" t="inlineStr">
        <is>
          <t>70x100 1/32</t>
        </is>
      </c>
      <c r="L2135" s="23" t="inlineStr">
        <is>
          <t>мяг</t>
        </is>
      </c>
      <c r="M2135" s="23" t="n">
        <v>352</v>
      </c>
      <c r="N2135" s="23" t="n">
        <v>2016</v>
      </c>
      <c r="O2135" s="23" t="n">
        <v>164</v>
      </c>
      <c r="P2135" s="23" t="n"/>
      <c r="Q2135" s="23" t="n"/>
      <c r="R2135" s="25" t="n"/>
      <c r="S2135" s="26">
        <f>HYPERLINK("http://www.cnpol.ru/covers/17204.jpg","фото на сайте")</f>
        <v/>
      </c>
    </row>
    <row r="2136" ht="50.1" customHeight="1" s="3">
      <c r="A2136" s="23" t="n"/>
      <c r="B2136" s="24" t="inlineStr">
        <is>
          <t>14638</t>
        </is>
      </c>
      <c r="C2136" s="23" t="inlineStr">
        <is>
          <t>М ГРЭНДЖЕР</t>
        </is>
      </c>
      <c r="D2136" s="23" t="inlineStr">
        <is>
          <t>Грэнджер Э.</t>
        </is>
      </c>
      <c r="E2136" s="23" t="inlineStr">
        <is>
          <t>Прекрасное место для смерти</t>
        </is>
      </c>
      <c r="F2136" s="23" t="inlineStr">
        <is>
          <t>        </t>
        </is>
      </c>
      <c r="G2136" s="23" t="n">
        <v>229</v>
      </c>
      <c r="H2136" s="23" t="n">
        <v>10</v>
      </c>
      <c r="I2136" s="23" t="n">
        <v>20</v>
      </c>
      <c r="J2136" s="23" t="inlineStr">
        <is>
          <t>978-5-227-04651-2</t>
        </is>
      </c>
      <c r="K2136" s="23" t="inlineStr">
        <is>
          <t>70x100 1/32</t>
        </is>
      </c>
      <c r="L2136" s="23" t="inlineStr">
        <is>
          <t>мяг</t>
        </is>
      </c>
      <c r="M2136" s="23" t="n">
        <v>351</v>
      </c>
      <c r="N2136" s="23" t="n">
        <v>2013</v>
      </c>
      <c r="O2136" s="23" t="n">
        <v>164</v>
      </c>
      <c r="P2136" s="23" t="n"/>
      <c r="Q2136" s="23" t="n"/>
      <c r="R2136" s="25" t="n"/>
      <c r="S2136" s="26">
        <f>HYPERLINK("http://www.cnpol.ru/covers/14638.jpg","фото на сайте")</f>
        <v/>
      </c>
    </row>
    <row r="2137" ht="50.1" customHeight="1" s="3">
      <c r="A2137" s="23" t="n"/>
      <c r="B2137" s="24" t="inlineStr">
        <is>
          <t>15553</t>
        </is>
      </c>
      <c r="C2137" s="23" t="inlineStr">
        <is>
          <t>М ГРЭНДЖЕР</t>
        </is>
      </c>
      <c r="D2137" s="23" t="inlineStr">
        <is>
          <t>Грэнджер Э.</t>
        </is>
      </c>
      <c r="E2137" s="23" t="inlineStr">
        <is>
          <t>Тени прошлых грехов</t>
        </is>
      </c>
      <c r="F2137" s="23" t="inlineStr">
        <is>
          <t>        </t>
        </is>
      </c>
      <c r="G2137" s="23" t="n">
        <v>229</v>
      </c>
      <c r="H2137" s="23" t="n">
        <v>10</v>
      </c>
      <c r="I2137" s="23" t="n">
        <v>20</v>
      </c>
      <c r="J2137" s="23" t="inlineStr">
        <is>
          <t>978-5-227-05041-0</t>
        </is>
      </c>
      <c r="K2137" s="23" t="inlineStr">
        <is>
          <t>70x100 1/32</t>
        </is>
      </c>
      <c r="L2137" s="23" t="inlineStr">
        <is>
          <t>мяг</t>
        </is>
      </c>
      <c r="M2137" s="23" t="n">
        <v>352</v>
      </c>
      <c r="N2137" s="23" t="n">
        <v>2014</v>
      </c>
      <c r="O2137" s="23" t="n">
        <v>160</v>
      </c>
      <c r="P2137" s="23" t="n"/>
      <c r="Q2137" s="23" t="n"/>
      <c r="R2137" s="25" t="n"/>
      <c r="S2137" s="26">
        <f>HYPERLINK("http://www.cnpol.ru/covers/15553.jpg","фото на сайте")</f>
        <v/>
      </c>
    </row>
    <row r="2138" ht="50.1" customHeight="1" s="3">
      <c r="A2138" s="23" t="n"/>
      <c r="B2138" s="24" t="inlineStr">
        <is>
          <t>17570</t>
        </is>
      </c>
      <c r="C2138" s="23" t="inlineStr">
        <is>
          <t>М ГРЭНДЖЕР</t>
        </is>
      </c>
      <c r="D2138" s="23" t="inlineStr">
        <is>
          <t>Грэнджер Э.</t>
        </is>
      </c>
      <c r="E2138" s="23" t="inlineStr">
        <is>
          <t>Тени прошлых грехов</t>
        </is>
      </c>
      <c r="F2138" s="23" t="inlineStr">
        <is>
          <t>        </t>
        </is>
      </c>
      <c r="G2138" s="23" t="n">
        <v>229</v>
      </c>
      <c r="H2138" s="23" t="n">
        <v>10</v>
      </c>
      <c r="I2138" s="23" t="n">
        <v>20</v>
      </c>
      <c r="J2138" s="23" t="inlineStr">
        <is>
          <t>978-5-227-07626-7</t>
        </is>
      </c>
      <c r="K2138" s="23" t="inlineStr">
        <is>
          <t>70x100 1/32</t>
        </is>
      </c>
      <c r="L2138" s="23" t="inlineStr">
        <is>
          <t>мяг</t>
        </is>
      </c>
      <c r="M2138" s="23" t="n">
        <v>352</v>
      </c>
      <c r="N2138" s="23" t="n">
        <v>2017</v>
      </c>
      <c r="O2138" s="23" t="n">
        <v>160</v>
      </c>
      <c r="P2138" s="23" t="n"/>
      <c r="Q2138" s="23" t="n"/>
      <c r="R2138" s="25" t="n"/>
      <c r="S2138" s="26">
        <f>HYPERLINK("http://www.cnpol.ru/covers/17570.jpg","фото на сайте")</f>
        <v/>
      </c>
    </row>
    <row r="2139" ht="50.1" customHeight="1" s="3">
      <c r="A2139" s="23" t="n"/>
      <c r="B2139" s="24" t="inlineStr">
        <is>
          <t>17211</t>
        </is>
      </c>
      <c r="C2139" s="23" t="inlineStr">
        <is>
          <t>М ГРЭНДЖЕР</t>
        </is>
      </c>
      <c r="D2139" s="23" t="inlineStr">
        <is>
          <t>Грэнджер Э.</t>
        </is>
      </c>
      <c r="E2139" s="23" t="inlineStr">
        <is>
          <t>Тени убийства</t>
        </is>
      </c>
      <c r="F2139" s="23" t="inlineStr">
        <is>
          <t>        </t>
        </is>
      </c>
      <c r="G2139" s="23" t="n">
        <v>229</v>
      </c>
      <c r="H2139" s="23" t="n">
        <v>10</v>
      </c>
      <c r="I2139" s="23" t="n">
        <v>18</v>
      </c>
      <c r="J2139" s="23" t="inlineStr">
        <is>
          <t>978-5-227-07152-1</t>
        </is>
      </c>
      <c r="K2139" s="23" t="inlineStr">
        <is>
          <t>70x100 1/32</t>
        </is>
      </c>
      <c r="L2139" s="23" t="inlineStr">
        <is>
          <t>мяг</t>
        </is>
      </c>
      <c r="M2139" s="23" t="n">
        <v>384</v>
      </c>
      <c r="N2139" s="23" t="n">
        <v>2016</v>
      </c>
      <c r="O2139" s="23" t="n">
        <v>176</v>
      </c>
      <c r="P2139" s="23" t="n"/>
      <c r="Q2139" s="23" t="n"/>
      <c r="R2139" s="25" t="n"/>
      <c r="S2139" s="26">
        <f>HYPERLINK("http://www.cnpol.ru/covers/17211.jpg","фото на сайте")</f>
        <v/>
      </c>
    </row>
    <row r="2140" ht="50.1" customHeight="1" s="3">
      <c r="A2140" s="23" t="n"/>
      <c r="B2140" s="24" t="inlineStr">
        <is>
          <t>14680</t>
        </is>
      </c>
      <c r="C2140" s="23" t="inlineStr">
        <is>
          <t>М ГРЭНДЖЕР</t>
        </is>
      </c>
      <c r="D2140" s="23" t="inlineStr">
        <is>
          <t>Грэнджер Э.</t>
        </is>
      </c>
      <c r="E2140" s="23" t="inlineStr">
        <is>
          <t>Цветы на его похороны</t>
        </is>
      </c>
      <c r="F2140" s="23" t="inlineStr">
        <is>
          <t>        </t>
        </is>
      </c>
      <c r="G2140" s="23" t="n">
        <v>229</v>
      </c>
      <c r="H2140" s="23" t="n">
        <v>10</v>
      </c>
      <c r="I2140" s="23" t="n">
        <v>24</v>
      </c>
      <c r="J2140" s="23" t="inlineStr">
        <is>
          <t>978-5-227-04685-7</t>
        </is>
      </c>
      <c r="K2140" s="23" t="inlineStr">
        <is>
          <t>70x100 1/32</t>
        </is>
      </c>
      <c r="L2140" s="23" t="inlineStr">
        <is>
          <t>мяг</t>
        </is>
      </c>
      <c r="M2140" s="23" t="n">
        <v>384</v>
      </c>
      <c r="N2140" s="23" t="n">
        <v>2013</v>
      </c>
      <c r="O2140" s="23" t="n">
        <v>174</v>
      </c>
      <c r="P2140" s="23" t="n"/>
      <c r="Q2140" s="23" t="n"/>
      <c r="R2140" s="25" t="n"/>
      <c r="S2140" s="26">
        <f>HYPERLINK("http://www.cnpol.ru/covers/14680.jpg","фото на сайте")</f>
        <v/>
      </c>
    </row>
    <row r="2141" ht="50.1" customHeight="1" s="3">
      <c r="A2141" s="23" t="n"/>
      <c r="B2141" s="24" t="inlineStr">
        <is>
          <t>14660</t>
        </is>
      </c>
      <c r="C2141" s="23" t="inlineStr">
        <is>
          <t>М ДЕЛИНСКИ</t>
        </is>
      </c>
      <c r="D2141" s="23" t="inlineStr">
        <is>
          <t>Делински Б.</t>
        </is>
      </c>
      <c r="E2141" s="23" t="inlineStr">
        <is>
          <t>Первый, лучший и единственный</t>
        </is>
      </c>
      <c r="F2141" s="23" t="inlineStr">
        <is>
          <t>        </t>
        </is>
      </c>
      <c r="G2141" s="23" t="n">
        <v>229</v>
      </c>
      <c r="H2141" s="23" t="n">
        <v>10</v>
      </c>
      <c r="I2141" s="23" t="n">
        <v>36</v>
      </c>
      <c r="J2141" s="23" t="inlineStr">
        <is>
          <t>978-5-227-04624-6</t>
        </is>
      </c>
      <c r="K2141" s="23" t="inlineStr">
        <is>
          <t>70x100 1/32</t>
        </is>
      </c>
      <c r="L2141" s="23" t="inlineStr">
        <is>
          <t>мяг</t>
        </is>
      </c>
      <c r="M2141" s="23" t="n">
        <v>283</v>
      </c>
      <c r="N2141" s="23" t="n">
        <v>2013</v>
      </c>
      <c r="O2141" s="23" t="n">
        <v>140</v>
      </c>
      <c r="P2141" s="23" t="n"/>
      <c r="Q2141" s="23" t="n"/>
      <c r="R2141" s="25" t="n"/>
      <c r="S2141" s="26">
        <f>HYPERLINK("http://www.cnpol.ru/covers/14660.jpg","фото на сайте")</f>
        <v/>
      </c>
    </row>
    <row r="2142" ht="50.1" customHeight="1" s="3">
      <c r="A2142" s="23" t="n"/>
      <c r="B2142" s="24" t="inlineStr">
        <is>
          <t>18417</t>
        </is>
      </c>
      <c r="C2142" s="23" t="inlineStr">
        <is>
          <t>М ДЖОЙС</t>
        </is>
      </c>
      <c r="D2142" s="23" t="inlineStr">
        <is>
          <t>Джойс Б.</t>
        </is>
      </c>
      <c r="E2142" s="23" t="inlineStr">
        <is>
          <t>Идеальная невеста</t>
        </is>
      </c>
      <c r="F2142" s="23" t="inlineStr">
        <is>
          <t>        </t>
        </is>
      </c>
      <c r="G2142" s="23" t="n">
        <v>301</v>
      </c>
      <c r="H2142" s="23" t="n">
        <v>10</v>
      </c>
      <c r="I2142" s="23" t="n">
        <v>14</v>
      </c>
      <c r="J2142" s="23" t="inlineStr">
        <is>
          <t>978-5-227-08424-8</t>
        </is>
      </c>
      <c r="K2142" s="23" t="inlineStr">
        <is>
          <t>70x100 1/32</t>
        </is>
      </c>
      <c r="L2142" s="23" t="inlineStr">
        <is>
          <t>мяг</t>
        </is>
      </c>
      <c r="M2142" s="23" t="n">
        <v>480</v>
      </c>
      <c r="N2142" s="23" t="n">
        <v>2018</v>
      </c>
      <c r="O2142" s="23" t="n">
        <v>222</v>
      </c>
      <c r="P2142" s="23" t="n"/>
      <c r="Q2142" s="23" t="n"/>
      <c r="R2142" s="25" t="inlineStr">
        <is>
          <t>После смерти нежно любимого отца Бланш Херрингтон, понимая, что не сможет одна справиться с управлением огромного состояния, решила выйти замуж. В свои двадцать семь лет не зная, что такое любовь и не считая себя способной на подобное чувство, она вознамерилась вступить в брак, выбрав мужа умом, а не сердцем. Но ее подруги рассудили иначе и затеяли интригу, благодаря которой леди Херрингтон угодила в объятия сэра Рекса де Варена, красивого, достойного, даже героического мужчины. Свершилось чудо, она загорелась страстью и провела с ним волшебную ночь! Влюбленные счастливы. Но Бланш вдруг вообразила, что она не достойна сэра Рекса, и, расторгнув помолвку, с разбитым сердцем покидает его замок...</t>
        </is>
      </c>
      <c r="S2142" s="26">
        <f>HYPERLINK("http://www.cnpol.ru/covers/18417.jpg","фото на сайте")</f>
        <v/>
      </c>
    </row>
    <row r="2143" ht="50.1" customHeight="1" s="3">
      <c r="A2143" s="23" t="n"/>
      <c r="B2143" s="24" t="inlineStr">
        <is>
          <t>19963</t>
        </is>
      </c>
      <c r="C2143" s="23" t="inlineStr">
        <is>
          <t>М ДЖОЙС</t>
        </is>
      </c>
      <c r="D2143" s="23" t="inlineStr">
        <is>
          <t>Джойс Б.</t>
        </is>
      </c>
      <c r="E2143" s="23" t="inlineStr">
        <is>
          <t>Капитуляция</t>
        </is>
      </c>
      <c r="F2143" s="23" t="inlineStr">
        <is>
          <t>        </t>
        </is>
      </c>
      <c r="G2143" s="23" t="n">
        <v>301</v>
      </c>
      <c r="H2143" s="23" t="n">
        <v>10</v>
      </c>
      <c r="I2143" s="23" t="n">
        <v>12</v>
      </c>
      <c r="J2143" s="23" t="inlineStr">
        <is>
          <t>978-5-227-09624-1</t>
        </is>
      </c>
      <c r="K2143" s="23" t="inlineStr">
        <is>
          <t>70x100 1/32</t>
        </is>
      </c>
      <c r="L2143" s="23" t="inlineStr">
        <is>
          <t>мяг</t>
        </is>
      </c>
      <c r="M2143" s="23" t="n">
        <v>479</v>
      </c>
      <c r="N2143" s="23" t="n">
        <v>2021</v>
      </c>
      <c r="O2143" s="23" t="n">
        <v>343</v>
      </c>
      <c r="P2143" s="23" t="n"/>
      <c r="Q2143" s="23" t="n"/>
      <c r="R2143" s="25" t="n"/>
      <c r="S2143" s="26">
        <f>HYPERLINK("http://www.cnpol.ru/covers/19963.jpg","фото на сайте")</f>
        <v/>
      </c>
    </row>
    <row r="2144" ht="50.1" customHeight="1" s="3">
      <c r="A2144" s="23" t="n"/>
      <c r="B2144" s="24" t="inlineStr">
        <is>
          <t>20496</t>
        </is>
      </c>
      <c r="C2144" s="23" t="inlineStr">
        <is>
          <t>М ДЖОЙС</t>
        </is>
      </c>
      <c r="D2144" s="23" t="inlineStr">
        <is>
          <t>Джойс Б.</t>
        </is>
      </c>
      <c r="E2144" s="23" t="inlineStr">
        <is>
          <t>Маскарад</t>
        </is>
      </c>
      <c r="F2144" s="23" t="inlineStr">
        <is>
          <t>        </t>
        </is>
      </c>
      <c r="G2144" s="23" t="n">
        <v>301</v>
      </c>
      <c r="H2144" s="23" t="n">
        <v>10</v>
      </c>
      <c r="I2144" s="23" t="n">
        <v>7</v>
      </c>
      <c r="J2144" s="23" t="inlineStr">
        <is>
          <t>978-5-227-09822-1</t>
        </is>
      </c>
      <c r="K2144" s="23" t="inlineStr">
        <is>
          <t>70x100 1/32</t>
        </is>
      </c>
      <c r="L2144" s="23" t="inlineStr">
        <is>
          <t>мяг</t>
        </is>
      </c>
      <c r="M2144" s="23" t="n">
        <v>448</v>
      </c>
      <c r="N2144" s="23" t="n">
        <v>2023</v>
      </c>
      <c r="O2144" s="23" t="n">
        <v>208</v>
      </c>
      <c r="P2144" s="23" t="n"/>
      <c r="Q2144" s="23" t="n"/>
      <c r="R2144" s="25" t="inlineStr">
        <is>
          <t>Когда Элизабет Фицджеральд вернулась из Дублина с ребенком на руках, все ахнули. Такая застенчивая, такая благонравная девушка — и вдруг опозорена! Имя отца вызвало еще большее удивление — лорд Тайрел де Уоррен, будущий граф Адар. Лизи была с детства влюблена в Тайрела. И знатного наследника привлекала скромная тихая девушка. Так привлекала, что он настойчиво предлагал Элизабет стать его любовницей, хотя был помолвлен. Кроме того, Тайрел был уверен, что ребенок не от него. Но вскоре он узнал, что и Лизи не мать мальчика. Какую странную игру затеяла эта с виду невинная девушка? И какая тайна связана с этим так похожим на Тайрела малышом?..</t>
        </is>
      </c>
      <c r="S2144" s="26">
        <f>HYPERLINK("http://www.cnpol.ru/covers/20496.jpg","фото на сайте")</f>
        <v/>
      </c>
    </row>
    <row r="2145" ht="50.1" customHeight="1" s="3">
      <c r="A2145" s="23" t="n"/>
      <c r="B2145" s="24" t="inlineStr">
        <is>
          <t>19196</t>
        </is>
      </c>
      <c r="C2145" s="23" t="inlineStr">
        <is>
          <t>М ДЖОЙС</t>
        </is>
      </c>
      <c r="D2145" s="23" t="inlineStr">
        <is>
          <t>Джойс Б.</t>
        </is>
      </c>
      <c r="E2145" s="23" t="inlineStr">
        <is>
          <t>Невероятное влечение</t>
        </is>
      </c>
      <c r="F2145" s="23" t="inlineStr">
        <is>
          <t>        </t>
        </is>
      </c>
      <c r="G2145" s="23" t="n">
        <v>301</v>
      </c>
      <c r="H2145" s="23" t="n">
        <v>10</v>
      </c>
      <c r="I2145" s="23" t="n">
        <v>12</v>
      </c>
      <c r="J2145" s="23" t="inlineStr">
        <is>
          <t>978-5-227-08561-0</t>
        </is>
      </c>
      <c r="K2145" s="23" t="inlineStr">
        <is>
          <t>70x100 1/32</t>
        </is>
      </c>
      <c r="L2145" s="23" t="inlineStr">
        <is>
          <t>мяг</t>
        </is>
      </c>
      <c r="M2145" s="23" t="n">
        <v>511</v>
      </c>
      <c r="N2145" s="23" t="n">
        <v>2020</v>
      </c>
      <c r="O2145" s="23" t="n">
        <v>234</v>
      </c>
      <c r="P2145" s="23" t="n"/>
      <c r="Q2145" s="23" t="n"/>
      <c r="R2145" s="25" t="n"/>
      <c r="S2145" s="26">
        <f>HYPERLINK("http://www.cnpol.ru/covers/19196.jpg","фото на сайте")</f>
        <v/>
      </c>
    </row>
    <row r="2146" ht="50.1" customHeight="1" s="3">
      <c r="A2146" s="23" t="n"/>
      <c r="B2146" s="24" t="inlineStr">
        <is>
          <t>19062</t>
        </is>
      </c>
      <c r="C2146" s="23" t="inlineStr">
        <is>
          <t>М ДЖОЙС</t>
        </is>
      </c>
      <c r="D2146" s="23" t="inlineStr">
        <is>
          <t>Джойс Б.</t>
        </is>
      </c>
      <c r="E2146" s="23" t="inlineStr">
        <is>
          <t>Обретенная любовь</t>
        </is>
      </c>
      <c r="F2146" s="23" t="inlineStr">
        <is>
          <t>        </t>
        </is>
      </c>
      <c r="G2146" s="23" t="n">
        <v>301</v>
      </c>
      <c r="H2146" s="23" t="n">
        <v>10</v>
      </c>
      <c r="I2146" s="23" t="n">
        <v>16</v>
      </c>
      <c r="J2146" s="23" t="inlineStr">
        <is>
          <t>978-5-227-08648-8</t>
        </is>
      </c>
      <c r="K2146" s="23" t="inlineStr">
        <is>
          <t>70x100 1/32</t>
        </is>
      </c>
      <c r="L2146" s="23" t="inlineStr">
        <is>
          <t>мяг</t>
        </is>
      </c>
      <c r="M2146" s="23" t="n">
        <v>416</v>
      </c>
      <c r="N2146" s="23" t="n">
        <v>2020</v>
      </c>
      <c r="O2146" s="23" t="n">
        <v>192</v>
      </c>
      <c r="P2146" s="23" t="n"/>
      <c r="Q2146" s="23" t="n"/>
      <c r="R2146" s="25" t="n"/>
      <c r="S2146" s="26">
        <f>HYPERLINK("http://www.cnpol.ru/covers/19062.jpg","фото на сайте")</f>
        <v/>
      </c>
    </row>
    <row r="2147" ht="50.1" customHeight="1" s="3">
      <c r="A2147" s="23" t="n"/>
      <c r="B2147" s="24" t="inlineStr">
        <is>
          <t>18916</t>
        </is>
      </c>
      <c r="C2147" s="23" t="inlineStr">
        <is>
          <t>М ДЖОЙС</t>
        </is>
      </c>
      <c r="D2147" s="23" t="inlineStr">
        <is>
          <t>Джойс Б.</t>
        </is>
      </c>
      <c r="E2147" s="23" t="inlineStr">
        <is>
          <t>Опасная любовь</t>
        </is>
      </c>
      <c r="F2147" s="23" t="inlineStr">
        <is>
          <t>        </t>
        </is>
      </c>
      <c r="G2147" s="23" t="n">
        <v>301</v>
      </c>
      <c r="H2147" s="23" t="n">
        <v>10</v>
      </c>
      <c r="I2147" s="23" t="n">
        <v>12</v>
      </c>
      <c r="J2147" s="23" t="inlineStr">
        <is>
          <t>978-5-227-08538-2</t>
        </is>
      </c>
      <c r="K2147" s="23" t="inlineStr">
        <is>
          <t>70x100 1/32</t>
        </is>
      </c>
      <c r="L2147" s="23" t="inlineStr">
        <is>
          <t>мяг</t>
        </is>
      </c>
      <c r="M2147" s="23" t="n">
        <v>448</v>
      </c>
      <c r="N2147" s="23" t="n">
        <v>2019</v>
      </c>
      <c r="O2147" s="23" t="n">
        <v>206</v>
      </c>
      <c r="P2147" s="23" t="n"/>
      <c r="Q2147" s="23" t="n"/>
      <c r="R2147" s="25" t="n"/>
      <c r="S2147" s="26">
        <f>HYPERLINK("http://www.cnpol.ru/covers/18916.jpg","фото на сайте")</f>
        <v/>
      </c>
    </row>
    <row r="2148" ht="50.1" customHeight="1" s="3">
      <c r="A2148" s="23" t="n"/>
      <c r="B2148" s="24" t="inlineStr">
        <is>
          <t>17695</t>
        </is>
      </c>
      <c r="C2148" s="23" t="inlineStr">
        <is>
          <t>М ДЖОЙС</t>
        </is>
      </c>
      <c r="D2148" s="23" t="inlineStr">
        <is>
          <t>Джойс Б.</t>
        </is>
      </c>
      <c r="E2148" s="23" t="inlineStr">
        <is>
          <t>Прекрасная леди</t>
        </is>
      </c>
      <c r="F2148" s="23" t="inlineStr">
        <is>
          <t>        </t>
        </is>
      </c>
      <c r="G2148" s="23" t="n">
        <v>301</v>
      </c>
      <c r="H2148" s="23" t="n">
        <v>10</v>
      </c>
      <c r="I2148" s="23" t="n">
        <v>12</v>
      </c>
      <c r="J2148" s="23" t="inlineStr">
        <is>
          <t>978-5-227-07699-1</t>
        </is>
      </c>
      <c r="K2148" s="23" t="inlineStr">
        <is>
          <t>70x100 1/32</t>
        </is>
      </c>
      <c r="L2148" s="23" t="inlineStr">
        <is>
          <t>мяг</t>
        </is>
      </c>
      <c r="M2148" s="23" t="n">
        <v>512</v>
      </c>
      <c r="N2148" s="23" t="n">
        <v>2017</v>
      </c>
      <c r="O2148" s="23" t="n">
        <v>234</v>
      </c>
      <c r="P2148" s="23" t="n"/>
      <c r="Q2148" s="23" t="n"/>
      <c r="R2148" s="25" t="n"/>
      <c r="S2148" s="26">
        <f>HYPERLINK("http://www.cnpol.ru/covers/17695.jpg","фото на сайте")</f>
        <v/>
      </c>
    </row>
    <row r="2149" ht="50.1" customHeight="1" s="3">
      <c r="A2149" s="23" t="n"/>
      <c r="B2149" s="24" t="inlineStr">
        <is>
          <t>19635</t>
        </is>
      </c>
      <c r="C2149" s="23" t="inlineStr">
        <is>
          <t>М ДЖОЙС</t>
        </is>
      </c>
      <c r="D2149" s="23" t="inlineStr">
        <is>
          <t>Джойс Б.</t>
        </is>
      </c>
      <c r="E2149" s="23" t="inlineStr">
        <is>
          <t>Смертельные иллюзии</t>
        </is>
      </c>
      <c r="F2149" s="23" t="inlineStr">
        <is>
          <t>        </t>
        </is>
      </c>
      <c r="G2149" s="23" t="n">
        <v>301</v>
      </c>
      <c r="H2149" s="23" t="n">
        <v>10</v>
      </c>
      <c r="I2149" s="23" t="n">
        <v>8</v>
      </c>
      <c r="J2149" s="23" t="inlineStr">
        <is>
          <t>978-5-227-09493-3</t>
        </is>
      </c>
      <c r="K2149" s="23" t="inlineStr">
        <is>
          <t>70x100 1/32</t>
        </is>
      </c>
      <c r="L2149" s="23" t="inlineStr">
        <is>
          <t>мяг</t>
        </is>
      </c>
      <c r="M2149" s="23" t="n">
        <v>416</v>
      </c>
      <c r="N2149" s="23" t="n">
        <v>2021</v>
      </c>
      <c r="O2149" s="23" t="n">
        <v>192</v>
      </c>
      <c r="P2149" s="23" t="n"/>
      <c r="Q2149" s="23" t="n"/>
      <c r="R2149" s="25" t="n"/>
      <c r="S2149" s="26">
        <f>HYPERLINK("http://www.cnpol.ru/covers/19635.jpg","фото на сайте")</f>
        <v/>
      </c>
    </row>
    <row r="2150" ht="50.1" customHeight="1" s="3">
      <c r="A2150" s="23" t="n"/>
      <c r="B2150" s="24" t="inlineStr">
        <is>
          <t>19681</t>
        </is>
      </c>
      <c r="C2150" s="23" t="inlineStr">
        <is>
          <t>М ДЖОЙС</t>
        </is>
      </c>
      <c r="D2150" s="23" t="inlineStr">
        <is>
          <t>Джойс Б.</t>
        </is>
      </c>
      <c r="E2150" s="23" t="inlineStr">
        <is>
          <t>Смертельные обеты</t>
        </is>
      </c>
      <c r="F2150" s="23" t="inlineStr">
        <is>
          <t>        </t>
        </is>
      </c>
      <c r="G2150" s="23" t="n">
        <v>301</v>
      </c>
      <c r="H2150" s="23" t="n">
        <v>10</v>
      </c>
      <c r="I2150" s="23" t="n">
        <v>8</v>
      </c>
      <c r="J2150" s="23" t="inlineStr">
        <is>
          <t>978-5-227-09516-9</t>
        </is>
      </c>
      <c r="K2150" s="23" t="inlineStr">
        <is>
          <t>70x100 1/32</t>
        </is>
      </c>
      <c r="L2150" s="23" t="inlineStr">
        <is>
          <t>мяг</t>
        </is>
      </c>
      <c r="M2150" s="23" t="n">
        <v>416</v>
      </c>
      <c r="N2150" s="23" t="n">
        <v>2021</v>
      </c>
      <c r="O2150" s="23" t="n">
        <v>192</v>
      </c>
      <c r="P2150" s="23" t="n"/>
      <c r="Q2150" s="23" t="n"/>
      <c r="R2150" s="25" t="n"/>
      <c r="S2150" s="26">
        <f>HYPERLINK("http://www.cnpol.ru/covers/19681.jpg","фото на сайте")</f>
        <v/>
      </c>
    </row>
    <row r="2151" ht="50.1" customHeight="1" s="3">
      <c r="A2151" s="23" t="n"/>
      <c r="B2151" s="24" t="inlineStr">
        <is>
          <t>19721</t>
        </is>
      </c>
      <c r="C2151" s="23" t="inlineStr">
        <is>
          <t>М ДЖОЙС</t>
        </is>
      </c>
      <c r="D2151" s="23" t="inlineStr">
        <is>
          <t>Джойс Б.</t>
        </is>
      </c>
      <c r="E2151" s="23" t="inlineStr">
        <is>
          <t>Смертельные поцелуи</t>
        </is>
      </c>
      <c r="F2151" s="23" t="inlineStr">
        <is>
          <t>        </t>
        </is>
      </c>
      <c r="G2151" s="23" t="n">
        <v>301</v>
      </c>
      <c r="H2151" s="23" t="n">
        <v>10</v>
      </c>
      <c r="I2151" s="23" t="n">
        <v>7</v>
      </c>
      <c r="J2151" s="23" t="inlineStr">
        <is>
          <t>978-5-227-09569-5</t>
        </is>
      </c>
      <c r="K2151" s="23" t="inlineStr">
        <is>
          <t>70x100 1/32</t>
        </is>
      </c>
      <c r="L2151" s="23" t="inlineStr">
        <is>
          <t>мяг</t>
        </is>
      </c>
      <c r="M2151" s="23" t="n">
        <v>416</v>
      </c>
      <c r="N2151" s="23" t="n">
        <v>2021</v>
      </c>
      <c r="O2151" s="23" t="n">
        <v>192</v>
      </c>
      <c r="P2151" s="23" t="n"/>
      <c r="Q2151" s="23" t="n"/>
      <c r="R2151" s="25" t="n"/>
      <c r="S2151" s="26">
        <f>HYPERLINK("http://www.cnpol.ru/covers/19721.jpg","фото на сайте")</f>
        <v/>
      </c>
    </row>
    <row r="2152" ht="50.1" customHeight="1" s="3">
      <c r="A2152" s="23" t="n"/>
      <c r="B2152" s="24" t="inlineStr">
        <is>
          <t>18464</t>
        </is>
      </c>
      <c r="C2152" s="23" t="inlineStr">
        <is>
          <t>М ДЖОЙС</t>
        </is>
      </c>
      <c r="D2152" s="23" t="inlineStr">
        <is>
          <t>Джойс Б.</t>
        </is>
      </c>
      <c r="E2152" s="23" t="inlineStr">
        <is>
          <t>Темное обольщение</t>
        </is>
      </c>
      <c r="F2152" s="23" t="inlineStr">
        <is>
          <t>        </t>
        </is>
      </c>
      <c r="G2152" s="23" t="n">
        <v>301</v>
      </c>
      <c r="H2152" s="23" t="n">
        <v>10</v>
      </c>
      <c r="I2152" s="23" t="n">
        <v>28</v>
      </c>
      <c r="J2152" s="23" t="inlineStr">
        <is>
          <t>978-5-227-08433-0</t>
        </is>
      </c>
      <c r="K2152" s="23" t="inlineStr">
        <is>
          <t>70x100 1/32</t>
        </is>
      </c>
      <c r="L2152" s="23" t="inlineStr">
        <is>
          <t>мяг</t>
        </is>
      </c>
      <c r="M2152" s="23" t="n">
        <v>480</v>
      </c>
      <c r="N2152" s="23" t="n">
        <v>2019</v>
      </c>
      <c r="O2152" s="23" t="n">
        <v>216</v>
      </c>
      <c r="P2152" s="23" t="n"/>
      <c r="Q2152" s="23" t="n"/>
      <c r="R2152" s="25" t="n"/>
      <c r="S2152" s="26">
        <f>HYPERLINK("http://www.cnpol.ru/covers/18464.jpg","фото на сайте")</f>
        <v/>
      </c>
    </row>
    <row r="2153" ht="50.1" customHeight="1" s="3">
      <c r="A2153" s="23" t="n"/>
      <c r="B2153" s="24" t="inlineStr">
        <is>
          <t>18821</t>
        </is>
      </c>
      <c r="C2153" s="23" t="inlineStr">
        <is>
          <t>М ДЖОЙС</t>
        </is>
      </c>
      <c r="D2153" s="23" t="inlineStr">
        <is>
          <t>Джойс Б.</t>
        </is>
      </c>
      <c r="E2153" s="23" t="inlineStr">
        <is>
          <t>Темный соперник</t>
        </is>
      </c>
      <c r="F2153" s="23" t="inlineStr">
        <is>
          <t>        </t>
        </is>
      </c>
      <c r="G2153" s="23" t="n">
        <v>301</v>
      </c>
      <c r="H2153" s="23" t="n">
        <v>10</v>
      </c>
      <c r="I2153" s="23" t="n">
        <v>12</v>
      </c>
      <c r="J2153" s="23" t="inlineStr">
        <is>
          <t>978-5-227-08459-0</t>
        </is>
      </c>
      <c r="K2153" s="23" t="inlineStr">
        <is>
          <t>70x100 1/32</t>
        </is>
      </c>
      <c r="L2153" s="23" t="inlineStr">
        <is>
          <t>мяг</t>
        </is>
      </c>
      <c r="M2153" s="23" t="n">
        <v>512</v>
      </c>
      <c r="N2153" s="23" t="n">
        <v>2019</v>
      </c>
      <c r="O2153" s="23" t="n">
        <v>234</v>
      </c>
      <c r="P2153" s="23" t="n"/>
      <c r="Q2153" s="23" t="n"/>
      <c r="R2153" s="25" t="n"/>
      <c r="S2153" s="26">
        <f>HYPERLINK("http://www.cnpol.ru/covers/18821.jpg","фото на сайте")</f>
        <v/>
      </c>
    </row>
    <row r="2154" ht="50.1" customHeight="1" s="3">
      <c r="A2154" s="23" t="n"/>
      <c r="B2154" s="24" t="inlineStr">
        <is>
          <t>17613</t>
        </is>
      </c>
      <c r="C2154" s="23" t="inlineStr">
        <is>
          <t>М ДЖОЙС</t>
        </is>
      </c>
      <c r="D2154" s="23" t="inlineStr">
        <is>
          <t>Джойс Б.</t>
        </is>
      </c>
      <c r="E2154" s="23" t="inlineStr">
        <is>
          <t>Украденная невеста</t>
        </is>
      </c>
      <c r="F2154" s="23" t="inlineStr">
        <is>
          <t>        </t>
        </is>
      </c>
      <c r="G2154" s="23" t="n">
        <v>301</v>
      </c>
      <c r="H2154" s="23" t="n">
        <v>10</v>
      </c>
      <c r="I2154" s="23" t="n">
        <v>20</v>
      </c>
      <c r="J2154" s="23" t="inlineStr">
        <is>
          <t>978-5-227-07627-4</t>
        </is>
      </c>
      <c r="K2154" s="23" t="inlineStr">
        <is>
          <t>70x100 1/32</t>
        </is>
      </c>
      <c r="L2154" s="23" t="inlineStr">
        <is>
          <t>мяг</t>
        </is>
      </c>
      <c r="M2154" s="23" t="n">
        <v>352</v>
      </c>
      <c r="N2154" s="23" t="n">
        <v>2017</v>
      </c>
      <c r="O2154" s="23" t="n">
        <v>162</v>
      </c>
      <c r="P2154" s="23" t="n"/>
      <c r="Q2154" s="23" t="n"/>
      <c r="R2154" s="25" t="n"/>
      <c r="S2154" s="26">
        <f>HYPERLINK("http://www.cnpol.ru/covers/17613.jpg","фото на сайте")</f>
        <v/>
      </c>
    </row>
    <row r="2155" ht="50.1" customHeight="1" s="3">
      <c r="A2155" s="23" t="n"/>
      <c r="B2155" s="24" t="inlineStr">
        <is>
          <t>8747</t>
        </is>
      </c>
      <c r="C2155" s="23" t="inlineStr">
        <is>
          <t>М ДХ</t>
        </is>
      </c>
      <c r="D2155" s="23" t="inlineStr">
        <is>
          <t>Колочкова В. А.</t>
        </is>
      </c>
      <c r="E2155" s="23" t="inlineStr">
        <is>
          <t>Витамины для черта</t>
        </is>
      </c>
      <c r="F2155" s="23" t="inlineStr">
        <is>
          <t>        </t>
        </is>
      </c>
      <c r="G2155" s="23" t="n">
        <v>150</v>
      </c>
      <c r="H2155" s="23" t="n">
        <v>10</v>
      </c>
      <c r="I2155" s="23" t="n">
        <v>24</v>
      </c>
      <c r="J2155" s="23" t="inlineStr">
        <is>
          <t>978-5-9524-2997-0</t>
        </is>
      </c>
      <c r="K2155" s="23" t="inlineStr">
        <is>
          <t>70x90 1/32</t>
        </is>
      </c>
      <c r="L2155" s="23" t="inlineStr">
        <is>
          <t>мяг</t>
        </is>
      </c>
      <c r="M2155" s="23" t="n">
        <v>303</v>
      </c>
      <c r="N2155" s="23" t="n">
        <v>2008</v>
      </c>
      <c r="O2155" s="23" t="inlineStr">
        <is>
          <t>     </t>
        </is>
      </c>
      <c r="P2155" s="23" t="n"/>
      <c r="Q2155" s="23" t="n"/>
      <c r="R2155" s="25" t="inlineStr">
        <is>
          <t>Анастасия после смерти мужа осталась с двоими детьми. Заботу о вдове берут на себя друзья семьи — состоятельная семейная пара. Но дети взбунтовались против навязчивой опеки благодетелей, которая унижает их мать. Сможет ли она выдержать характер, обрести независимость и, может быть, новую любовь?..</t>
        </is>
      </c>
      <c r="S2155" s="26">
        <f>HYPERLINK("http://www.cnpol.ru/covers/8747.jpg","фото на сайте")</f>
        <v/>
      </c>
    </row>
    <row r="2156" ht="50.1" customHeight="1" s="3">
      <c r="A2156" s="23" t="n"/>
      <c r="B2156" s="24" t="inlineStr">
        <is>
          <t>11124</t>
        </is>
      </c>
      <c r="C2156" s="23" t="inlineStr">
        <is>
          <t>М ДХ</t>
        </is>
      </c>
      <c r="D2156" s="23" t="inlineStr">
        <is>
          <t>Колочкова В. А.</t>
        </is>
      </c>
      <c r="E2156" s="23" t="inlineStr">
        <is>
          <t>Дважды дрянь</t>
        </is>
      </c>
      <c r="F2156" s="23" t="inlineStr">
        <is>
          <t>        </t>
        </is>
      </c>
      <c r="G2156" s="23" t="n">
        <v>150</v>
      </c>
      <c r="H2156" s="23" t="n">
        <v>10</v>
      </c>
      <c r="I2156" s="23" t="n">
        <v>32</v>
      </c>
      <c r="J2156" s="23" t="inlineStr">
        <is>
          <t>978-5-9524-4272-6</t>
        </is>
      </c>
      <c r="K2156" s="23" t="inlineStr">
        <is>
          <t>70x90 1/32</t>
        </is>
      </c>
      <c r="L2156" s="23" t="inlineStr">
        <is>
          <t>мяг</t>
        </is>
      </c>
      <c r="M2156" s="23" t="n">
        <v>254</v>
      </c>
      <c r="N2156" s="23" t="n">
        <v>2009</v>
      </c>
      <c r="O2156" s="23" t="n">
        <v>106</v>
      </c>
      <c r="P2156" s="23" t="n"/>
      <c r="Q2156" s="23" t="n"/>
      <c r="R2156" s="25" t="inlineStr">
        <is>
          <t>Майка Дубровкина и Дина дружили чуть ли не с первого класса. Хорошенькая Дина, дочь успешного городского функционера, во всем покровительствовала невзрачной подружке из многодетной, осиротевшей после смерти отца семьи, где с трудом сводили концы с концами, но от себя-то скрыть не могла: до чего же раздражает ее эта гордячка Дубровкина! А когда давняя Майкина любовь Дима Ненашев, от одного вида которого у той дух захватывало, к восьмому классу стал вдруг проявлять к этой тощей дылде недвусмысленный интерес, Динка совсем покоя лишилась. Уж теперь она за внимание Димки всерьез поборется! Пришла пора дать понять замухрышке Дубровкиной, кто есть кто и что почем в этой жизни...</t>
        </is>
      </c>
      <c r="S2156" s="26">
        <f>HYPERLINK("http://www.cnpol.ru/covers/11124.jpg","фото на сайте")</f>
        <v/>
      </c>
    </row>
    <row r="2157" ht="50.1" customHeight="1" s="3">
      <c r="A2157" s="23" t="n"/>
      <c r="B2157" s="24" t="inlineStr">
        <is>
          <t>10699</t>
        </is>
      </c>
      <c r="C2157" s="23" t="inlineStr">
        <is>
          <t>М ДХ</t>
        </is>
      </c>
      <c r="D2157" s="23" t="inlineStr">
        <is>
          <t>Колочкова В. А.</t>
        </is>
      </c>
      <c r="E2157" s="23" t="inlineStr">
        <is>
          <t>Дом с мезонином в наследство</t>
        </is>
      </c>
      <c r="F2157" s="23" t="inlineStr">
        <is>
          <t>        </t>
        </is>
      </c>
      <c r="G2157" s="23" t="n">
        <v>150</v>
      </c>
      <c r="H2157" s="23" t="n">
        <v>10</v>
      </c>
      <c r="I2157" s="23" t="n">
        <v>32</v>
      </c>
      <c r="J2157" s="23" t="inlineStr">
        <is>
          <t>978-5-9524-3834-7</t>
        </is>
      </c>
      <c r="K2157" s="23" t="inlineStr">
        <is>
          <t>70x90 1/32</t>
        </is>
      </c>
      <c r="L2157" s="23" t="inlineStr">
        <is>
          <t>мяг</t>
        </is>
      </c>
      <c r="M2157" s="23" t="n">
        <v>254</v>
      </c>
      <c r="N2157" s="23" t="n">
        <v>2008</v>
      </c>
      <c r="O2157" s="23" t="n">
        <v>112</v>
      </c>
      <c r="P2157" s="23" t="n"/>
      <c r="Q2157" s="23" t="n"/>
      <c r="R2157" s="25" t="inlineStr">
        <is>
          <t>Нежданные гости ворвались в жизнь Валентины Званцевой, принеся с собой холодный ветер прошлого. Дети бывшего мужа приехали сообщить о его смерти. Это значит, что теперь предстоит борьба за наследство - большой "чеховский" дом с мезонином. Визит родственников пробуждает воспоминания о любви и страшной обиде: любимого мужа увела родная сестра-завистница. Тина с трудом возвращалась туда, где была счастлива и откуда уехала после предательства. У нее нет сомнений насчет того, как поступить со своей долей наследства, но сумеет ли она простить сестру, которой предательство не принесло счастья? И сможет ли сама вновь стать счастливой?</t>
        </is>
      </c>
      <c r="S2157" s="26">
        <f>HYPERLINK("http://www.cnpol.ru/covers/10699.jpg","фото на сайте")</f>
        <v/>
      </c>
    </row>
    <row r="2158" ht="50.1" customHeight="1" s="3">
      <c r="A2158" s="23" t="n"/>
      <c r="B2158" s="24" t="inlineStr">
        <is>
          <t>11735</t>
        </is>
      </c>
      <c r="C2158" s="23" t="inlineStr">
        <is>
          <t>М ДХ</t>
        </is>
      </c>
      <c r="D2158" s="23" t="inlineStr">
        <is>
          <t>Чалова Е.</t>
        </is>
      </c>
      <c r="E2158" s="23" t="inlineStr">
        <is>
          <t>За облаками солнце</t>
        </is>
      </c>
      <c r="F2158" s="23" t="inlineStr">
        <is>
          <t>        </t>
        </is>
      </c>
      <c r="G2158" s="23" t="n">
        <v>150</v>
      </c>
      <c r="H2158" s="23" t="n">
        <v>10</v>
      </c>
      <c r="I2158" s="23" t="n">
        <v>22</v>
      </c>
      <c r="J2158" s="23" t="inlineStr">
        <is>
          <t>978-5-9524-4883-4</t>
        </is>
      </c>
      <c r="K2158" s="23" t="inlineStr">
        <is>
          <t>70x90 1/32</t>
        </is>
      </c>
      <c r="L2158" s="23" t="inlineStr">
        <is>
          <t>мяг</t>
        </is>
      </c>
      <c r="M2158" s="23" t="n">
        <v>255</v>
      </c>
      <c r="N2158" s="23" t="n">
        <v>2010</v>
      </c>
      <c r="O2158" s="23" t="n">
        <v>110</v>
      </c>
      <c r="P2158" s="23" t="n"/>
      <c r="Q2158" s="23" t="n"/>
      <c r="R2158" s="25" t="inlineStr">
        <is>
          <t>У Лары прекрасная семья, интересная работа, размеренная, благополучная жизнь. Но иногда ей словно не хватает солнца, на нее нападает непреодолимая скука, ее тянет из дому (видно, пошла в отца, бродягу-геолога), и тогда она бесцельно ходит по городу или позволяет себе "скоропостижное" сексуальное приключение... На корпоративной вечеринке, куда ее пригласил новый знакомый, Игорь, она узнала, как живут и развлекаются очень богатые люди. Красивая, воспитанная женщина с хорошим вксом, она произвела на них более чем благоприятное впечатление и... получила от Ио=горя предложение руки и скорее кошелька, чем сердца. Вот тут-то и пришлось ей подумать, где искать свое солнце, как жить дальше и с кем...</t>
        </is>
      </c>
      <c r="S2158" s="26">
        <f>HYPERLINK("http://www.cnpol.ru/covers/11735.jpg","фото на сайте")</f>
        <v/>
      </c>
    </row>
    <row r="2159" ht="50.1" customHeight="1" s="3">
      <c r="A2159" s="23" t="n"/>
      <c r="B2159" s="24" t="inlineStr">
        <is>
          <t>10700</t>
        </is>
      </c>
      <c r="C2159" s="23" t="inlineStr">
        <is>
          <t>М ДХ</t>
        </is>
      </c>
      <c r="D2159" s="23" t="inlineStr">
        <is>
          <t>Чалова Е.</t>
        </is>
      </c>
      <c r="E2159" s="23" t="inlineStr">
        <is>
          <t>Новая жизнь Милы</t>
        </is>
      </c>
      <c r="F2159" s="23" t="inlineStr">
        <is>
          <t>        </t>
        </is>
      </c>
      <c r="G2159" s="23" t="n">
        <v>150</v>
      </c>
      <c r="H2159" s="23" t="n">
        <v>10</v>
      </c>
      <c r="I2159" s="23" t="n">
        <v>28</v>
      </c>
      <c r="J2159" s="23" t="inlineStr">
        <is>
          <t>978-5-9524-3864-4</t>
        </is>
      </c>
      <c r="K2159" s="23" t="inlineStr">
        <is>
          <t>70x90 1/32</t>
        </is>
      </c>
      <c r="L2159" s="23" t="inlineStr">
        <is>
          <t>мяг</t>
        </is>
      </c>
      <c r="M2159" s="23" t="n">
        <v>287</v>
      </c>
      <c r="N2159" s="23" t="n">
        <v>2008</v>
      </c>
      <c r="O2159" s="23" t="n">
        <v>122</v>
      </c>
      <c r="P2159" s="23" t="n"/>
      <c r="Q2159" s="23" t="n"/>
      <c r="R2159" s="25" t="n"/>
      <c r="S2159" s="26">
        <f>HYPERLINK("http://www.cnpol.ru/covers/10700.jpg","фото на сайте")</f>
        <v/>
      </c>
    </row>
    <row r="2160" ht="50.1" customHeight="1" s="3">
      <c r="A2160" s="23" t="n"/>
      <c r="B2160" s="24" t="inlineStr">
        <is>
          <t>11108</t>
        </is>
      </c>
      <c r="C2160" s="23" t="inlineStr">
        <is>
          <t>М ДХ</t>
        </is>
      </c>
      <c r="D2160" s="23" t="inlineStr">
        <is>
          <t>Чалова Е.</t>
        </is>
      </c>
      <c r="E2160" s="23" t="inlineStr">
        <is>
          <t>Пустите меня в Рим</t>
        </is>
      </c>
      <c r="F2160" s="23" t="inlineStr">
        <is>
          <t>        </t>
        </is>
      </c>
      <c r="G2160" s="23" t="n">
        <v>150</v>
      </c>
      <c r="H2160" s="23" t="n">
        <v>10</v>
      </c>
      <c r="I2160" s="23" t="n">
        <v>32</v>
      </c>
      <c r="J2160" s="23" t="inlineStr">
        <is>
          <t>978-5-9524-4228-3</t>
        </is>
      </c>
      <c r="K2160" s="23" t="inlineStr">
        <is>
          <t>70x90 1/32</t>
        </is>
      </c>
      <c r="L2160" s="23" t="inlineStr">
        <is>
          <t>мяг</t>
        </is>
      </c>
      <c r="M2160" s="23" t="n">
        <v>253</v>
      </c>
      <c r="N2160" s="23" t="n">
        <v>2009</v>
      </c>
      <c r="O2160" s="23" t="n">
        <v>106</v>
      </c>
      <c r="P2160" s="23" t="n"/>
      <c r="Q2160" s="23" t="n"/>
      <c r="R2160" s="25" t="n"/>
      <c r="S2160" s="26">
        <f>HYPERLINK("http://www.cnpol.ru/covers/11108.jpg","фото на сайте")</f>
        <v/>
      </c>
    </row>
    <row r="2161" ht="50.1" customHeight="1" s="3">
      <c r="A2161" s="23" t="n"/>
      <c r="B2161" s="24" t="inlineStr">
        <is>
          <t>10631</t>
        </is>
      </c>
      <c r="C2161" s="23" t="inlineStr">
        <is>
          <t>М ДХ</t>
        </is>
      </c>
      <c r="D2161" s="23" t="inlineStr">
        <is>
          <t>Чалова Е.</t>
        </is>
      </c>
      <c r="E2161" s="23" t="inlineStr">
        <is>
          <t>Ребенок моего мужа</t>
        </is>
      </c>
      <c r="F2161" s="23" t="inlineStr">
        <is>
          <t>        </t>
        </is>
      </c>
      <c r="G2161" s="23" t="n">
        <v>150</v>
      </c>
      <c r="H2161" s="23" t="n">
        <v>10</v>
      </c>
      <c r="I2161" s="23" t="n">
        <v>28</v>
      </c>
      <c r="J2161" s="23" t="inlineStr">
        <is>
          <t>978-5-9524-3835-4</t>
        </is>
      </c>
      <c r="K2161" s="23" t="inlineStr">
        <is>
          <t>60х90 1/32</t>
        </is>
      </c>
      <c r="L2161" s="23" t="inlineStr">
        <is>
          <t>мяг</t>
        </is>
      </c>
      <c r="M2161" s="23" t="n">
        <v>288</v>
      </c>
      <c r="N2161" s="23" t="n">
        <v>2008</v>
      </c>
      <c r="O2161" s="23" t="n">
        <v>122</v>
      </c>
      <c r="P2161" s="23" t="n"/>
      <c r="Q2161" s="23" t="n"/>
      <c r="R2161" s="25" t="n"/>
      <c r="S2161" s="26">
        <f>HYPERLINK("http://www.cnpol.ru/covers/10631.jpg","фото на сайте")</f>
        <v/>
      </c>
    </row>
    <row r="2162" ht="50.1" customHeight="1" s="3">
      <c r="A2162" s="23" t="n"/>
      <c r="B2162" s="24" t="inlineStr">
        <is>
          <t>10752</t>
        </is>
      </c>
      <c r="C2162" s="23" t="inlineStr">
        <is>
          <t>М ДХ</t>
        </is>
      </c>
      <c r="D2162" s="23" t="inlineStr">
        <is>
          <t>Чалова Е.</t>
        </is>
      </c>
      <c r="E2162" s="23" t="inlineStr">
        <is>
          <t>Рыцарь для дамы с ребенком</t>
        </is>
      </c>
      <c r="F2162" s="23" t="inlineStr">
        <is>
          <t>        </t>
        </is>
      </c>
      <c r="G2162" s="23" t="n">
        <v>150</v>
      </c>
      <c r="H2162" s="23" t="n">
        <v>10</v>
      </c>
      <c r="I2162" s="23" t="n">
        <v>24</v>
      </c>
      <c r="J2162" s="23" t="inlineStr">
        <is>
          <t>978-5-9524-3836-1</t>
        </is>
      </c>
      <c r="K2162" s="23" t="inlineStr">
        <is>
          <t>70x90 1/32</t>
        </is>
      </c>
      <c r="L2162" s="23" t="inlineStr">
        <is>
          <t>мяг</t>
        </is>
      </c>
      <c r="M2162" s="23" t="n">
        <v>335</v>
      </c>
      <c r="N2162" s="23" t="n">
        <v>2008</v>
      </c>
      <c r="O2162" s="23" t="n">
        <v>142</v>
      </c>
      <c r="P2162" s="23" t="n"/>
      <c r="Q2162" s="23" t="n"/>
      <c r="R2162" s="25" t="n"/>
      <c r="S2162" s="26">
        <f>HYPERLINK("http://www.cnpol.ru/covers/10752.jpg","фото на сайте")</f>
        <v/>
      </c>
    </row>
    <row r="2163" ht="50.1" customHeight="1" s="3">
      <c r="A2163" s="23" t="n"/>
      <c r="B2163" s="24" t="inlineStr">
        <is>
          <t>10455</t>
        </is>
      </c>
      <c r="C2163" s="23" t="inlineStr">
        <is>
          <t>М ДХ</t>
        </is>
      </c>
      <c r="D2163" s="23" t="inlineStr">
        <is>
          <t>Колочкова В. А.</t>
        </is>
      </c>
      <c r="E2163" s="23" t="inlineStr">
        <is>
          <t>Сестра милосердия</t>
        </is>
      </c>
      <c r="F2163" s="23" t="inlineStr">
        <is>
          <t>        </t>
        </is>
      </c>
      <c r="G2163" s="23" t="n">
        <v>150</v>
      </c>
      <c r="H2163" s="23" t="n">
        <v>10</v>
      </c>
      <c r="I2163" s="23" t="n">
        <v>20</v>
      </c>
      <c r="J2163" s="23" t="inlineStr">
        <is>
          <t>978-5-9524-3619-0</t>
        </is>
      </c>
      <c r="K2163" s="23" t="inlineStr">
        <is>
          <t>70x90 1/32</t>
        </is>
      </c>
      <c r="L2163" s="23" t="inlineStr">
        <is>
          <t>мяг</t>
        </is>
      </c>
      <c r="M2163" s="23" t="n">
        <v>287</v>
      </c>
      <c r="N2163" s="23" t="n">
        <v>2008</v>
      </c>
      <c r="O2163" s="23" t="n">
        <v>118</v>
      </c>
      <c r="P2163" s="23" t="n"/>
      <c r="Q2163" s="23" t="n"/>
      <c r="R2163" s="25" t="n"/>
      <c r="S2163" s="26">
        <f>HYPERLINK("http://www.cnpol.ru/covers/10455.jpg","фото на сайте")</f>
        <v/>
      </c>
    </row>
    <row r="2164" ht="50.1" customHeight="1" s="3">
      <c r="A2164" s="23" t="n"/>
      <c r="B2164" s="24" t="inlineStr">
        <is>
          <t>10789</t>
        </is>
      </c>
      <c r="C2164" s="23" t="inlineStr">
        <is>
          <t>М ДХ</t>
        </is>
      </c>
      <c r="D2164" s="23" t="inlineStr">
        <is>
          <t>Быстрова И.</t>
        </is>
      </c>
      <c r="E2164" s="23" t="inlineStr">
        <is>
          <t>Сюрприз заказывали?</t>
        </is>
      </c>
      <c r="F2164" s="23" t="inlineStr">
        <is>
          <t>        </t>
        </is>
      </c>
      <c r="G2164" s="23" t="n">
        <v>150</v>
      </c>
      <c r="H2164" s="23" t="n">
        <v>10</v>
      </c>
      <c r="I2164" s="23" t="n">
        <v>20</v>
      </c>
      <c r="J2164" s="23" t="inlineStr">
        <is>
          <t>978-5-9524-3899-6</t>
        </is>
      </c>
      <c r="K2164" s="23" t="inlineStr">
        <is>
          <t>70x90 1/32</t>
        </is>
      </c>
      <c r="L2164" s="23" t="inlineStr">
        <is>
          <t>мяг</t>
        </is>
      </c>
      <c r="M2164" s="23" t="n">
        <v>348</v>
      </c>
      <c r="N2164" s="23" t="n">
        <v>2008</v>
      </c>
      <c r="O2164" s="23" t="n">
        <v>142</v>
      </c>
      <c r="P2164" s="23" t="n"/>
      <c r="Q2164" s="23" t="n"/>
      <c r="R2164" s="25" t="n"/>
      <c r="S2164" s="26">
        <f>HYPERLINK("http://www.cnpol.ru/covers/10789.jpg","фото на сайте")</f>
        <v/>
      </c>
    </row>
    <row r="2165" ht="50.1" customHeight="1" s="3">
      <c r="A2165" s="23" t="n"/>
      <c r="B2165" s="24" t="inlineStr">
        <is>
          <t>11237</t>
        </is>
      </c>
      <c r="C2165" s="23" t="inlineStr">
        <is>
          <t>М ДХ</t>
        </is>
      </c>
      <c r="D2165" s="23" t="inlineStr">
        <is>
          <t>Чалова Е.</t>
        </is>
      </c>
      <c r="E2165" s="23" t="inlineStr">
        <is>
          <t>Фонтан с шоколадом</t>
        </is>
      </c>
      <c r="F2165" s="23" t="inlineStr">
        <is>
          <t>        </t>
        </is>
      </c>
      <c r="G2165" s="23" t="n">
        <v>150</v>
      </c>
      <c r="H2165" s="23" t="n">
        <v>10</v>
      </c>
      <c r="I2165" s="23" t="n">
        <v>36</v>
      </c>
      <c r="J2165" s="23" t="inlineStr">
        <is>
          <t>978-5-9524-4346-4</t>
        </is>
      </c>
      <c r="K2165" s="23" t="inlineStr">
        <is>
          <t>70x90 1/32</t>
        </is>
      </c>
      <c r="L2165" s="23" t="inlineStr">
        <is>
          <t>мяг</t>
        </is>
      </c>
      <c r="M2165" s="23" t="n">
        <v>255</v>
      </c>
      <c r="N2165" s="23" t="n">
        <v>2009</v>
      </c>
      <c r="O2165" s="23" t="n">
        <v>106</v>
      </c>
      <c r="P2165" s="23" t="n"/>
      <c r="Q2165" s="23" t="n"/>
      <c r="R2165" s="25" t="n"/>
      <c r="S2165" s="26">
        <f>HYPERLINK("http://www.cnpol.ru/covers/11237.jpg","фото на сайте")</f>
        <v/>
      </c>
    </row>
    <row r="2166" ht="50.1" customHeight="1" s="3">
      <c r="A2166" s="23" t="n"/>
      <c r="B2166" s="24" t="inlineStr">
        <is>
          <t>8826</t>
        </is>
      </c>
      <c r="C2166" s="23" t="inlineStr">
        <is>
          <t>М ЖИ</t>
        </is>
      </c>
      <c r="D2166" s="23" t="inlineStr">
        <is>
          <t>Константинова Д.</t>
        </is>
      </c>
      <c r="E2166" s="23" t="inlineStr">
        <is>
          <t>Авантюристка</t>
        </is>
      </c>
      <c r="F2166" s="23" t="inlineStr">
        <is>
          <t>        </t>
        </is>
      </c>
      <c r="G2166" s="23" t="n">
        <v>168</v>
      </c>
      <c r="H2166" s="23" t="n">
        <v>10</v>
      </c>
      <c r="I2166" s="23" t="n">
        <v>24</v>
      </c>
      <c r="J2166" s="23" t="inlineStr">
        <is>
          <t>978-5-9524-3077-8</t>
        </is>
      </c>
      <c r="K2166" s="23" t="inlineStr">
        <is>
          <t>70x90 1/32</t>
        </is>
      </c>
      <c r="L2166" s="23" t="inlineStr">
        <is>
          <t>мяг</t>
        </is>
      </c>
      <c r="M2166" s="23" t="n">
        <v>269</v>
      </c>
      <c r="N2166" s="23" t="n">
        <v>2008</v>
      </c>
      <c r="O2166" s="23" t="n">
        <v>112</v>
      </c>
      <c r="P2166" s="23" t="n"/>
      <c r="Q2166" s="23" t="n"/>
      <c r="R2166" s="25" t="inlineStr">
        <is>
          <t>Дело складывалось как нельзя удачно. Предложение Жака для Маргариты было из тех, от которых не отказываются. Путешествие в Таиланд, сказочные пейзажи, знакомство с неотразимым мачо - чего еще желать скучающей дамочке? Но у Маргариты в крови опасный вирус авантюризма. И вот судьба вновь зовет ее к неведомым берегам, на которых маячат загадочные красавцы. Кто будет следующей жертвой авантюрной красотки?</t>
        </is>
      </c>
      <c r="S2166" s="26">
        <f>HYPERLINK("http://www.cnpol.ru/covers/8826.jpg","фото на сайте")</f>
        <v/>
      </c>
    </row>
    <row r="2167" ht="50.1" customHeight="1" s="3">
      <c r="A2167" s="23" t="n"/>
      <c r="B2167" s="24" t="inlineStr">
        <is>
          <t>10438</t>
        </is>
      </c>
      <c r="C2167" s="23" t="inlineStr">
        <is>
          <t>М ЖИ</t>
        </is>
      </c>
      <c r="D2167" s="23" t="inlineStr">
        <is>
          <t>Константинова Д.</t>
        </is>
      </c>
      <c r="E2167" s="23" t="inlineStr">
        <is>
          <t>Бриллианты в шампанском</t>
        </is>
      </c>
      <c r="F2167" s="23" t="inlineStr">
        <is>
          <t>        </t>
        </is>
      </c>
      <c r="G2167" s="23" t="n">
        <v>168</v>
      </c>
      <c r="H2167" s="23" t="n">
        <v>10</v>
      </c>
      <c r="I2167" s="23" t="n">
        <v>20</v>
      </c>
      <c r="J2167" s="23" t="inlineStr">
        <is>
          <t>978-5-9524-3596-4</t>
        </is>
      </c>
      <c r="K2167" s="23" t="inlineStr">
        <is>
          <t>70x90 1/32</t>
        </is>
      </c>
      <c r="L2167" s="23" t="inlineStr">
        <is>
          <t>мяг</t>
        </is>
      </c>
      <c r="M2167" s="23" t="n">
        <v>302</v>
      </c>
      <c r="N2167" s="23" t="n">
        <v>2008</v>
      </c>
      <c r="O2167" s="23" t="n">
        <v>122</v>
      </c>
      <c r="P2167" s="23" t="n"/>
      <c r="Q2167" s="23" t="n"/>
      <c r="R2167" s="25" t="inlineStr">
        <is>
          <t>У Риты, выпускницы престижного языкового вуза, ставшей обычной офисной барышней, очень скучная жизнь... Но неожиданно все меняется. Маргарита оказалась крепко впутанной в дело об исчезновении фамильных драгоценностей одной из европейских монархий. Можно было бы постараться выскочить из этой круговерти,,,</t>
        </is>
      </c>
      <c r="S2167" s="26">
        <f>HYPERLINK("http://www.cnpol.ru/covers/10438.jpg","фото на сайте")</f>
        <v/>
      </c>
    </row>
    <row r="2168" ht="50.1" customHeight="1" s="3">
      <c r="A2168" s="23" t="n"/>
      <c r="B2168" s="24" t="inlineStr">
        <is>
          <t>12872</t>
        </is>
      </c>
      <c r="C2168" s="23" t="inlineStr">
        <is>
          <t>М ЖИ</t>
        </is>
      </c>
      <c r="D2168" s="23" t="inlineStr">
        <is>
          <t>Волчок Ирина</t>
        </is>
      </c>
      <c r="E2168" s="23" t="inlineStr">
        <is>
          <t>В Калифорнии морозов не бывает</t>
        </is>
      </c>
      <c r="F2168" s="23" t="inlineStr">
        <is>
          <t>        </t>
        </is>
      </c>
      <c r="G2168" s="23" t="n">
        <v>168</v>
      </c>
      <c r="H2168" s="23" t="n">
        <v>10</v>
      </c>
      <c r="I2168" s="23" t="n">
        <v>28</v>
      </c>
      <c r="J2168" s="23" t="inlineStr">
        <is>
          <t>978-5-227-03112-9</t>
        </is>
      </c>
      <c r="K2168" s="23" t="inlineStr">
        <is>
          <t>70x90 1/32</t>
        </is>
      </c>
      <c r="L2168" s="23" t="inlineStr">
        <is>
          <t>мяг</t>
        </is>
      </c>
      <c r="M2168" s="23" t="n">
        <v>383</v>
      </c>
      <c r="N2168" s="23" t="n">
        <v>2011</v>
      </c>
      <c r="O2168" s="23" t="n">
        <v>170</v>
      </c>
      <c r="P2168" s="23" t="n"/>
      <c r="Q2168" s="23" t="n"/>
      <c r="R2168" s="25" t="inlineStr">
        <is>
          <t>За какие заслуги выдается это почетное право - быть любимой? В несчастье каждой женщины виноват мужчина, впрочем, как и в счастье тоже… Александра была опытным редактором и любила романы о любви. Но этот был неожиданным, и написан мужчиной, одержимым почти маниакальной страстью к женщине. Роман нуждался в другом названии, и Александра, медленно вчитываясь в текст, начинает узнавать героев, а ситуация кажется ей в чем-то поразительно знакомой…</t>
        </is>
      </c>
      <c r="S2168" s="26">
        <f>HYPERLINK("http://www.cnpol.ru/covers/12872.jpg","фото на сайте")</f>
        <v/>
      </c>
    </row>
    <row r="2169" ht="50.1" customHeight="1" s="3">
      <c r="A2169" s="23" t="n"/>
      <c r="B2169" s="24" t="inlineStr">
        <is>
          <t>12710</t>
        </is>
      </c>
      <c r="C2169" s="23" t="inlineStr">
        <is>
          <t>М ЖИ</t>
        </is>
      </c>
      <c r="D2169" s="23" t="inlineStr">
        <is>
          <t>Батенёва Т.</t>
        </is>
      </c>
      <c r="E2169" s="23" t="inlineStr">
        <is>
          <t>Внучка, Жук и Марианна</t>
        </is>
      </c>
      <c r="F2169" s="23" t="inlineStr">
        <is>
          <t>        </t>
        </is>
      </c>
      <c r="G2169" s="23" t="n">
        <v>168</v>
      </c>
      <c r="H2169" s="23" t="n">
        <v>10</v>
      </c>
      <c r="I2169" s="23" t="n">
        <v>32</v>
      </c>
      <c r="J2169" s="23" t="inlineStr">
        <is>
          <t>978-5-227-02818-1</t>
        </is>
      </c>
      <c r="K2169" s="23" t="inlineStr">
        <is>
          <t>70x90 1/32</t>
        </is>
      </c>
      <c r="L2169" s="23" t="inlineStr">
        <is>
          <t>мяг</t>
        </is>
      </c>
      <c r="M2169" s="23" t="n">
        <v>286</v>
      </c>
      <c r="N2169" s="23" t="n">
        <v>2011</v>
      </c>
      <c r="O2169" s="23" t="n">
        <v>124</v>
      </c>
      <c r="P2169" s="23" t="n"/>
      <c r="Q2169" s="23" t="n"/>
      <c r="R2169" s="25" t="inlineStr">
        <is>
          <t>Любимая бабушка Кати неожиданно умерла, оставив внучке в наследство старый дом на окраине Московской области, кошку Марианну и пса по кличке Жук. Катя попрощалась с бабушкой, более или менее привела в порядок хозяйство и собиралась вернуться в Питер к работе. Но у Жука и Марианны были свои планы… («Внучка, Жук и Марианна»). Давно потерявший своих хозяев пес Арчибальд бродяжничал, пока не оказался под колесами машины Стаса Полякова. Так у него появился новый дом. Однако вскоре Стас попал в беду, и пришла очередь Арчибальда выручать нового хозяина («Боцман Арчибальд»).</t>
        </is>
      </c>
      <c r="S2169" s="26">
        <f>HYPERLINK("http://www.cnpol.ru/covers/12710.jpg","фото на сайте")</f>
        <v/>
      </c>
    </row>
    <row r="2170" ht="50.1" customHeight="1" s="3">
      <c r="A2170" s="23" t="n"/>
      <c r="B2170" s="24" t="inlineStr">
        <is>
          <t>10268</t>
        </is>
      </c>
      <c r="C2170" s="23" t="inlineStr">
        <is>
          <t>М ЖИ</t>
        </is>
      </c>
      <c r="D2170" s="23" t="inlineStr">
        <is>
          <t>Быстрова И.</t>
        </is>
      </c>
      <c r="E2170" s="23" t="inlineStr">
        <is>
          <t>Всему свое время</t>
        </is>
      </c>
      <c r="F2170" s="23" t="inlineStr">
        <is>
          <t>        </t>
        </is>
      </c>
      <c r="G2170" s="23" t="n">
        <v>168</v>
      </c>
      <c r="H2170" s="23" t="n">
        <v>10</v>
      </c>
      <c r="I2170" s="23" t="n">
        <v>20</v>
      </c>
      <c r="J2170" s="23" t="inlineStr">
        <is>
          <t>978-5-9524-3395-3</t>
        </is>
      </c>
      <c r="K2170" s="23" t="inlineStr">
        <is>
          <t>70x90 1/32</t>
        </is>
      </c>
      <c r="L2170" s="23" t="inlineStr">
        <is>
          <t>мяг</t>
        </is>
      </c>
      <c r="M2170" s="23" t="n">
        <v>317</v>
      </c>
      <c r="N2170" s="23" t="n">
        <v>2008</v>
      </c>
      <c r="O2170" s="23" t="n">
        <v>128</v>
      </c>
      <c r="P2170" s="23" t="n"/>
      <c r="Q2170" s="23" t="n"/>
      <c r="R2170" s="25" t="inlineStr">
        <is>
          <t>Три подруги сохранили дружбу со студенческой скамьи. Но судьбы их сложились по-разному. Ирина осталась в столице и уверенно штурмовала ступени карьерной лестницы. Светлана сменила и профессию, и страну проживания. А Маша, тихая, безобидная и безответная Машка, стала мужней женой, примерной матерью двоих детей и хозяйкой небедного дома...</t>
        </is>
      </c>
      <c r="S2170" s="26">
        <f>HYPERLINK("http://www.cnpol.ru/covers/10268.jpg","фото на сайте")</f>
        <v/>
      </c>
    </row>
    <row r="2171" ht="50.1" customHeight="1" s="3">
      <c r="A2171" s="23" t="n"/>
      <c r="B2171" s="24" t="inlineStr">
        <is>
          <t>10989</t>
        </is>
      </c>
      <c r="C2171" s="23" t="inlineStr">
        <is>
          <t>М ЖИ</t>
        </is>
      </c>
      <c r="D2171" s="23" t="inlineStr">
        <is>
          <t>Врублевская Г.</t>
        </is>
      </c>
      <c r="E2171" s="23" t="inlineStr">
        <is>
          <t>Еще один шанс</t>
        </is>
      </c>
      <c r="F2171" s="23" t="inlineStr">
        <is>
          <t>        </t>
        </is>
      </c>
      <c r="G2171" s="23" t="n">
        <v>168</v>
      </c>
      <c r="H2171" s="23" t="n">
        <v>10</v>
      </c>
      <c r="I2171" s="23" t="n">
        <v>24</v>
      </c>
      <c r="J2171" s="23" t="inlineStr">
        <is>
          <t>978-5-9524-4060-9</t>
        </is>
      </c>
      <c r="K2171" s="23" t="inlineStr">
        <is>
          <t>70x90 1/32</t>
        </is>
      </c>
      <c r="L2171" s="23" t="inlineStr">
        <is>
          <t>мяг</t>
        </is>
      </c>
      <c r="M2171" s="23" t="n">
        <v>350</v>
      </c>
      <c r="N2171" s="23" t="n">
        <v>2009</v>
      </c>
      <c r="O2171" s="23" t="n">
        <v>108</v>
      </c>
      <c r="P2171" s="23" t="n"/>
      <c r="Q2171" s="23" t="n"/>
      <c r="R2171" s="25" t="inlineStr">
        <is>
          <t>Снова поезд, как и двадцать лет назад. Она опять едет к морю, только теперь в дорогу ее подтолкнули не мечты о любви, а растоптанные чувства. Тогда колеса несли навстречу счастью, а теперь жестоко твердят: «од-на, од-на, од-на-на-на». Она сейчас одна и в купе поезда дальнего следования. А в тот удивительный день все места были заняты, и каждый из трех попутчиков по-своему хорош. Но выбор ее оказался стремителен и безрассуден. Вот бы вернуться назад и поступить совсем по-другому... Или он не в прошлом, а в будущем, ее шанс, тот самый, единственный?</t>
        </is>
      </c>
      <c r="S2171" s="26">
        <f>HYPERLINK("http://www.cnpol.ru/covers/10989.jpg","фото на сайте")</f>
        <v/>
      </c>
    </row>
    <row r="2172" ht="50.1" customHeight="1" s="3">
      <c r="A2172" s="23" t="n"/>
      <c r="B2172" s="24" t="inlineStr">
        <is>
          <t>10280</t>
        </is>
      </c>
      <c r="C2172" s="23" t="inlineStr">
        <is>
          <t>М ЖИ</t>
        </is>
      </c>
      <c r="D2172" s="23" t="inlineStr">
        <is>
          <t>Рахманова Е.</t>
        </is>
      </c>
      <c r="E2172" s="23" t="inlineStr">
        <is>
          <t>Женское счастье</t>
        </is>
      </c>
      <c r="F2172" s="23" t="inlineStr">
        <is>
          <t>        </t>
        </is>
      </c>
      <c r="G2172" s="23" t="n">
        <v>168</v>
      </c>
      <c r="H2172" s="23" t="n">
        <v>10</v>
      </c>
      <c r="I2172" s="23" t="n">
        <v>28</v>
      </c>
      <c r="J2172" s="23" t="inlineStr">
        <is>
          <t>978-5-9524-3454-7</t>
        </is>
      </c>
      <c r="K2172" s="23" t="inlineStr">
        <is>
          <t>70x90 1/32</t>
        </is>
      </c>
      <c r="L2172" s="23" t="inlineStr">
        <is>
          <t>мяг</t>
        </is>
      </c>
      <c r="M2172" s="23" t="n">
        <v>285</v>
      </c>
      <c r="N2172" s="23" t="n">
        <v>2008</v>
      </c>
      <c r="O2172" s="23" t="n">
        <v>120</v>
      </c>
      <c r="P2172" s="23" t="n"/>
      <c r="Q2172" s="23" t="n"/>
      <c r="R2172" s="25" t="inlineStr">
        <is>
          <t>У Татьяны Завьяловой появился новый сосед по даче, подозрительный тип самого бандитского вида. Таня заволновалась: ведь на даче живет мама с приятельницами-пенсионерками. Как оставить беззащитных дачниц одних? Татьяна и две ее школьные подруги решили, что будут по очереди жить в летнем домике, чтобы в случае чего заступиться за старушек. Грубоватый сосед с ходу обозвал женщин "курицами" и намеренно держал с ними дистанцию. Но неожиданно для самого себя бывший военный обнаружил, что робкая и вечно всем угождающая Татьяна привлекает его, как никакая женщина прежде...</t>
        </is>
      </c>
      <c r="S2172" s="26">
        <f>HYPERLINK("http://www.cnpol.ru/covers/10280.jpg","фото на сайте")</f>
        <v/>
      </c>
    </row>
    <row r="2173" ht="50.1" customHeight="1" s="3">
      <c r="A2173" s="23" t="n"/>
      <c r="B2173" s="24" t="inlineStr">
        <is>
          <t>6300</t>
        </is>
      </c>
      <c r="C2173" s="23" t="inlineStr">
        <is>
          <t>М ЖИ</t>
        </is>
      </c>
      <c r="D2173" s="23" t="inlineStr">
        <is>
          <t>Терентьева Н.</t>
        </is>
      </c>
      <c r="E2173" s="23" t="inlineStr">
        <is>
          <t>Знак неравенства</t>
        </is>
      </c>
      <c r="F2173" s="23" t="inlineStr">
        <is>
          <t>        </t>
        </is>
      </c>
      <c r="G2173" s="23" t="n">
        <v>105</v>
      </c>
      <c r="H2173" s="23" t="n">
        <v>10</v>
      </c>
      <c r="I2173" s="23" t="n">
        <v>20</v>
      </c>
      <c r="J2173" s="23" t="inlineStr">
        <is>
          <t>5-9524-2082-6</t>
        </is>
      </c>
      <c r="K2173" s="23" t="inlineStr">
        <is>
          <t>70x90 1/32</t>
        </is>
      </c>
      <c r="L2173" s="23" t="inlineStr">
        <is>
          <t>мяг</t>
        </is>
      </c>
      <c r="M2173" s="23" t="n">
        <v>412</v>
      </c>
      <c r="N2173" s="23" t="n">
        <v>2007</v>
      </c>
      <c r="O2173" s="23" t="n">
        <v>166</v>
      </c>
      <c r="P2173" s="23" t="n"/>
      <c r="Q2173" s="23" t="n"/>
      <c r="R2173" s="25" t="inlineStr">
        <is>
          <t>У Дениса есть жена Оксана и дочь Маргоша. Он не хочет их терять, не хочет начинать в сорок лет все сначала. Но жена не потерпит предательства, которое вот-вот откроется. Девушка Алена, милая, нежно любящая Дениса, решила разрушить его жизнь, родив ребенка... Он еще не появился на свет, он еще может не появиться, если попытаться остановить Алену...</t>
        </is>
      </c>
      <c r="S2173" s="26">
        <f>HYPERLINK("http://www.cnpol.ru/covers/6300.jpg","фото на сайте")</f>
        <v/>
      </c>
    </row>
    <row r="2174" ht="50.1" customHeight="1" s="3">
      <c r="A2174" s="23" t="n"/>
      <c r="B2174" s="24" t="inlineStr">
        <is>
          <t>7436</t>
        </is>
      </c>
      <c r="C2174" s="23" t="inlineStr">
        <is>
          <t>М ЖИ</t>
        </is>
      </c>
      <c r="D2174" s="23" t="inlineStr">
        <is>
          <t>Терентьева Н.</t>
        </is>
      </c>
      <c r="E2174" s="23" t="inlineStr">
        <is>
          <t>Знак неравенства</t>
        </is>
      </c>
      <c r="F2174" s="23" t="inlineStr">
        <is>
          <t>        </t>
        </is>
      </c>
      <c r="G2174" s="23" t="n">
        <v>168</v>
      </c>
      <c r="H2174" s="23" t="n">
        <v>10</v>
      </c>
      <c r="I2174" s="23" t="n">
        <v>16</v>
      </c>
      <c r="J2174" s="23" t="inlineStr">
        <is>
          <t>5-9524-2082-6</t>
        </is>
      </c>
      <c r="K2174" s="23" t="inlineStr">
        <is>
          <t>70x90 1/32</t>
        </is>
      </c>
      <c r="L2174" s="23" t="inlineStr">
        <is>
          <t>мяг</t>
        </is>
      </c>
      <c r="M2174" s="23" t="n">
        <v>412</v>
      </c>
      <c r="N2174" s="23" t="n">
        <v>2008</v>
      </c>
      <c r="O2174" s="23" t="n">
        <v>168</v>
      </c>
      <c r="P2174" s="23" t="n"/>
      <c r="Q2174" s="23" t="n"/>
      <c r="R2174" s="25" t="inlineStr">
        <is>
          <t>У Дениса есть жена Оксана и дочь Маргоша. Он не хочет их терять, не хочет начинать в сорок лет все сначала. Но жена не потерпит предательства, которое вот-вот откроется. Девушка Алена, милая, нежно любящая Дениса, решила разрушить его жизнь, родив ребенка... Он еще не появился на свет, он еще может не появиться, если попытаться остановить Алену...</t>
        </is>
      </c>
      <c r="S2174" s="26">
        <f>HYPERLINK("http://www.cnpol.ru/covers/7436.jpg","фото на сайте")</f>
        <v/>
      </c>
    </row>
    <row r="2175" ht="50.1" customHeight="1" s="3">
      <c r="A2175" s="23" t="n"/>
      <c r="B2175" s="24" t="inlineStr">
        <is>
          <t>4579</t>
        </is>
      </c>
      <c r="C2175" s="23" t="inlineStr">
        <is>
          <t>М ЖИ</t>
        </is>
      </c>
      <c r="D2175" s="23" t="inlineStr">
        <is>
          <t>Гайворонская Е.</t>
        </is>
      </c>
      <c r="E2175" s="23" t="inlineStr">
        <is>
          <t>Игра с огнем</t>
        </is>
      </c>
      <c r="F2175" s="23" t="inlineStr">
        <is>
          <t>        </t>
        </is>
      </c>
      <c r="G2175" s="23" t="n">
        <v>134</v>
      </c>
      <c r="H2175" s="23" t="n">
        <v>10</v>
      </c>
      <c r="I2175" s="23" t="n">
        <v>24</v>
      </c>
      <c r="J2175" s="23" t="inlineStr">
        <is>
          <t>5-9524-0327-1</t>
        </is>
      </c>
      <c r="K2175" s="23" t="inlineStr">
        <is>
          <t>70x90 1/32</t>
        </is>
      </c>
      <c r="L2175" s="23" t="inlineStr">
        <is>
          <t>мяг</t>
        </is>
      </c>
      <c r="M2175" s="23" t="n">
        <v>380</v>
      </c>
      <c r="N2175" s="23" t="inlineStr">
        <is>
          <t>    </t>
        </is>
      </c>
      <c r="O2175" s="23" t="n">
        <v>156</v>
      </c>
      <c r="P2175" s="23" t="n"/>
      <c r="Q2175" s="23" t="n"/>
      <c r="R2175" s="25" t="inlineStr">
        <is>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t>
        </is>
      </c>
      <c r="S2175" s="26">
        <f>HYPERLINK("http://www.cnpol.ru/covers/4579.jpg","фото на сайте")</f>
        <v/>
      </c>
    </row>
    <row r="2176" ht="50.1" customHeight="1" s="3">
      <c r="A2176" s="23" t="n"/>
      <c r="B2176" s="24" t="inlineStr">
        <is>
          <t>3853</t>
        </is>
      </c>
      <c r="C2176" s="23" t="inlineStr">
        <is>
          <t>М ЖИ</t>
        </is>
      </c>
      <c r="D2176" s="23" t="inlineStr">
        <is>
          <t>Гайворонская Е.</t>
        </is>
      </c>
      <c r="E2176" s="23" t="inlineStr">
        <is>
          <t>Игра с огнем</t>
        </is>
      </c>
      <c r="F2176" s="23" t="inlineStr">
        <is>
          <t>        </t>
        </is>
      </c>
      <c r="G2176" s="23" t="n">
        <v>105</v>
      </c>
      <c r="H2176" s="23" t="n">
        <v>10</v>
      </c>
      <c r="I2176" s="23" t="n">
        <v>24</v>
      </c>
      <c r="J2176" s="23" t="inlineStr">
        <is>
          <t>5-9524-0327-1</t>
        </is>
      </c>
      <c r="K2176" s="23" t="inlineStr">
        <is>
          <t>70x90 1/32</t>
        </is>
      </c>
      <c r="L2176" s="23" t="inlineStr">
        <is>
          <t>мяг</t>
        </is>
      </c>
      <c r="M2176" s="23" t="n">
        <v>380</v>
      </c>
      <c r="N2176" s="23" t="inlineStr">
        <is>
          <t>    </t>
        </is>
      </c>
      <c r="O2176" s="23" t="inlineStr">
        <is>
          <t>     </t>
        </is>
      </c>
      <c r="P2176" s="23" t="n"/>
      <c r="Q2176" s="23" t="n"/>
      <c r="R2176" s="25" t="inlineStr">
        <is>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t>
        </is>
      </c>
      <c r="S2176" s="26">
        <f>HYPERLINK("http://www.cnpol.ru/covers/3853.jpg","фото на сайте")</f>
        <v/>
      </c>
    </row>
    <row r="2177" ht="50.1" customHeight="1" s="3">
      <c r="A2177" s="23" t="n"/>
      <c r="B2177" s="24" t="inlineStr">
        <is>
          <t>5541</t>
        </is>
      </c>
      <c r="C2177" s="23" t="inlineStr">
        <is>
          <t>М ЖИ</t>
        </is>
      </c>
      <c r="D2177" s="23" t="inlineStr">
        <is>
          <t>Гайворонская Е.</t>
        </is>
      </c>
      <c r="E2177" s="23" t="inlineStr">
        <is>
          <t>Игра с огнем</t>
        </is>
      </c>
      <c r="F2177" s="23" t="inlineStr">
        <is>
          <t>        </t>
        </is>
      </c>
      <c r="G2177" s="23" t="n">
        <v>168</v>
      </c>
      <c r="H2177" s="23" t="n">
        <v>10</v>
      </c>
      <c r="I2177" s="23" t="n">
        <v>24</v>
      </c>
      <c r="J2177" s="23" t="inlineStr">
        <is>
          <t>5-9524-0327-1</t>
        </is>
      </c>
      <c r="K2177" s="23" t="inlineStr">
        <is>
          <t>70x90 1/32</t>
        </is>
      </c>
      <c r="L2177" s="23" t="inlineStr">
        <is>
          <t>мяг</t>
        </is>
      </c>
      <c r="M2177" s="23" t="n">
        <v>380</v>
      </c>
      <c r="N2177" s="23" t="n">
        <v>2005</v>
      </c>
      <c r="O2177" s="23" t="n">
        <v>156</v>
      </c>
      <c r="P2177" s="23" t="n"/>
      <c r="Q2177" s="23" t="n"/>
      <c r="R2177" s="25" t="inlineStr">
        <is>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 девушка решила любой ценой отомстить Марку... Проходят годы. Сможет ли могущественная леди Александра выполнить задуманное, если чувство до сих пор живо, а на пути стоит самый дорогой ей человек?..</t>
        </is>
      </c>
      <c r="S2177" s="26">
        <f>HYPERLINK("http://www.cnpol.ru/covers/5541.jpg","фото на сайте")</f>
        <v/>
      </c>
    </row>
    <row r="2178" ht="50.1" customHeight="1" s="3">
      <c r="A2178" s="23" t="n"/>
      <c r="B2178" s="24" t="inlineStr">
        <is>
          <t>7627</t>
        </is>
      </c>
      <c r="C2178" s="23" t="inlineStr">
        <is>
          <t>М ЖИ</t>
        </is>
      </c>
      <c r="D2178" s="23" t="inlineStr">
        <is>
          <t>Колочкова В. А.</t>
        </is>
      </c>
      <c r="E2178" s="23" t="inlineStr">
        <is>
          <t>Из жизни Ксюши Белкиной</t>
        </is>
      </c>
      <c r="F2178" s="23" t="inlineStr">
        <is>
          <t>        </t>
        </is>
      </c>
      <c r="G2178" s="23" t="n">
        <v>123</v>
      </c>
      <c r="H2178" s="23" t="n">
        <v>10</v>
      </c>
      <c r="I2178" s="23" t="n">
        <v>20</v>
      </c>
      <c r="J2178" s="23" t="inlineStr">
        <is>
          <t>5-9524-2589-5</t>
        </is>
      </c>
      <c r="K2178" s="23" t="inlineStr">
        <is>
          <t>70x90 1/32</t>
        </is>
      </c>
      <c r="L2178" s="23" t="inlineStr">
        <is>
          <t>мяг</t>
        </is>
      </c>
      <c r="M2178" s="23" t="n">
        <v>317</v>
      </c>
      <c r="N2178" s="23" t="n">
        <v>2008</v>
      </c>
      <c r="O2178" s="23" t="n">
        <v>134</v>
      </c>
      <c r="P2178" s="23" t="n"/>
      <c r="Q2178" s="23" t="n"/>
      <c r="R2178" s="25" t="inlineStr">
        <is>
          <t>Ксения Белкина, возможно, так и прожила бы до глубокой старости забитым, робким существом, вечно перед всеми в долгу, вечно чувствуя себя виноватой и всем обязанной. Но?одна встреча, один взгляд, одно прикосновение изменили ее жизнь. Ксюша с удивлением и страхом обнаруживает в себе другую женщину, не серую пугливую мышку, а привлекательную...</t>
        </is>
      </c>
      <c r="S2178" s="26">
        <f>HYPERLINK("http://www.cnpol.ru/covers/7627.jpg","фото на сайте")</f>
        <v/>
      </c>
    </row>
    <row r="2179" ht="50.1" customHeight="1" s="3">
      <c r="A2179" s="23" t="n"/>
      <c r="B2179" s="24" t="inlineStr">
        <is>
          <t>10709</t>
        </is>
      </c>
      <c r="C2179" s="23" t="inlineStr">
        <is>
          <t>М ЖИ</t>
        </is>
      </c>
      <c r="D2179" s="23" t="inlineStr">
        <is>
          <t>Ярилина Е.</t>
        </is>
      </c>
      <c r="E2179" s="23" t="inlineStr">
        <is>
          <t>Колдовская любовь</t>
        </is>
      </c>
      <c r="F2179" s="23" t="inlineStr">
        <is>
          <t>        </t>
        </is>
      </c>
      <c r="G2179" s="23" t="n">
        <v>168</v>
      </c>
      <c r="H2179" s="23" t="n">
        <v>10</v>
      </c>
      <c r="I2179" s="23" t="n">
        <v>24</v>
      </c>
      <c r="J2179" s="23" t="inlineStr">
        <is>
          <t>978-5-9524-3852-1</t>
        </is>
      </c>
      <c r="K2179" s="23" t="inlineStr">
        <is>
          <t>70x90 1/32</t>
        </is>
      </c>
      <c r="L2179" s="23" t="inlineStr">
        <is>
          <t>мяг</t>
        </is>
      </c>
      <c r="M2179" s="23" t="n">
        <v>319</v>
      </c>
      <c r="N2179" s="23" t="n">
        <v>2008</v>
      </c>
      <c r="O2179" s="23" t="n">
        <v>138</v>
      </c>
      <c r="P2179" s="23" t="n"/>
      <c r="Q2179" s="23" t="n"/>
      <c r="R2179" s="25" t="inlineStr">
        <is>
          <t>Тоня Кострикова девушка, каких много. Работа библиотекарши и ежедневная рутина нагоняют на нее тоску, и только друзья - ветреная Симка и молчаливый Тимоха - наполняют жизнь Тони радостью и надеждой. Из-за безудержной Симиной тяги к приключениям девушки попадают в комичные, а порой и опасные ситуации. Им на помощь всегда приходит преданный Тимоха. Но никто из них даже не задумывается о том, что юность коротка, каждого ждет непредсказуемая взрослая жизнь, в которой придется балансировать на грани между ненавистью и любовью..</t>
        </is>
      </c>
      <c r="S2179" s="26">
        <f>HYPERLINK("http://www.cnpol.ru/covers/10709.jpg","фото на сайте")</f>
        <v/>
      </c>
    </row>
    <row r="2180" ht="50.1" customHeight="1" s="3">
      <c r="A2180" s="23" t="n"/>
      <c r="B2180" s="24" t="inlineStr">
        <is>
          <t>14900</t>
        </is>
      </c>
      <c r="C2180" s="23" t="inlineStr">
        <is>
          <t>М ЖИ</t>
        </is>
      </c>
      <c r="D2180" s="23" t="inlineStr">
        <is>
          <t>Краснова Т. А.</t>
        </is>
      </c>
      <c r="E2180" s="23" t="inlineStr">
        <is>
          <t>Конкурс песочных фигур</t>
        </is>
      </c>
      <c r="F2180" s="23" t="inlineStr">
        <is>
          <t>        </t>
        </is>
      </c>
      <c r="G2180" s="23" t="n">
        <v>168</v>
      </c>
      <c r="H2180" s="23" t="n">
        <v>10</v>
      </c>
      <c r="I2180" s="23" t="n">
        <v>24</v>
      </c>
      <c r="J2180" s="23" t="inlineStr">
        <is>
          <t>978-5-227-04745-8</t>
        </is>
      </c>
      <c r="K2180" s="23" t="inlineStr">
        <is>
          <t>70x90 1/32</t>
        </is>
      </c>
      <c r="L2180" s="23" t="inlineStr">
        <is>
          <t>мяг</t>
        </is>
      </c>
      <c r="M2180" s="23" t="n">
        <v>253</v>
      </c>
      <c r="N2180" s="23" t="n">
        <v>2014</v>
      </c>
      <c r="O2180" s="23" t="n">
        <v>108</v>
      </c>
      <c r="P2180" s="23" t="n"/>
      <c r="Q2180" s="23" t="n"/>
      <c r="R2180" s="25" t="n"/>
      <c r="S2180" s="26">
        <f>HYPERLINK("http://www.cnpol.ru/covers/14900.jpg","фото на сайте")</f>
        <v/>
      </c>
    </row>
    <row r="2181" ht="50.1" customHeight="1" s="3">
      <c r="A2181" s="23" t="n"/>
      <c r="B2181" s="24" t="inlineStr">
        <is>
          <t>74</t>
        </is>
      </c>
      <c r="C2181" s="23" t="inlineStr">
        <is>
          <t>М ЖИ</t>
        </is>
      </c>
      <c r="D2181" s="23" t="inlineStr">
        <is>
          <t>Ярилина Е.</t>
        </is>
      </c>
      <c r="E2181" s="23" t="inlineStr">
        <is>
          <t>Кошка по имени Ксения</t>
        </is>
      </c>
      <c r="F2181" s="23" t="inlineStr">
        <is>
          <t>        </t>
        </is>
      </c>
      <c r="G2181" s="23" t="n">
        <v>168</v>
      </c>
      <c r="H2181" s="23" t="n">
        <v>10</v>
      </c>
      <c r="I2181" s="23" t="n">
        <v>24</v>
      </c>
      <c r="J2181" s="23" t="inlineStr">
        <is>
          <t>978-5-9524-3082-2</t>
        </is>
      </c>
      <c r="K2181" s="23" t="inlineStr">
        <is>
          <t>60х90 1/32</t>
        </is>
      </c>
      <c r="L2181" s="23" t="inlineStr">
        <is>
          <t>мяг</t>
        </is>
      </c>
      <c r="M2181" s="23" t="n">
        <v>381</v>
      </c>
      <c r="N2181" s="23" t="n">
        <v>2008</v>
      </c>
      <c r="O2181" s="23" t="inlineStr">
        <is>
          <t>     </t>
        </is>
      </c>
      <c r="P2181" s="23" t="n"/>
      <c r="Q2181" s="23" t="n"/>
      <c r="R2181" s="25" t="inlineStr">
        <is>
          <t>Пренебрежительные слова любовника о том, что все неприятности Ксении пустяки, поскольку женщины, как кошки, всегда приземляются на четыре лапы, совсем не утешили ее. Хотя в какой-то степени стали пророческими. Увольнение действительно было пустячком в сравнении с гибелью близкого человека и ненужной беременностью. Раз за разом молодая женщина находила в себе силы выстоять, не упасть… Секрет "кошачьей везучести" Ксении в добром характере и веселом бесстрашии, с которым она принимала все испытания.</t>
        </is>
      </c>
      <c r="S2181" s="26">
        <f>HYPERLINK("http://www.cnpol.ru/covers/74.jpg","фото на сайте")</f>
        <v/>
      </c>
    </row>
    <row r="2182" ht="50.1" customHeight="1" s="3">
      <c r="A2182" s="23" t="n"/>
      <c r="B2182" s="24" t="inlineStr">
        <is>
          <t>11228</t>
        </is>
      </c>
      <c r="C2182" s="23" t="inlineStr">
        <is>
          <t>М ЖИ</t>
        </is>
      </c>
      <c r="D2182" s="23" t="inlineStr">
        <is>
          <t>Гайворонская Е.</t>
        </is>
      </c>
      <c r="E2182" s="23" t="inlineStr">
        <is>
          <t>Круговой перекресток</t>
        </is>
      </c>
      <c r="F2182" s="23" t="inlineStr">
        <is>
          <t>        </t>
        </is>
      </c>
      <c r="G2182" s="23" t="n">
        <v>168</v>
      </c>
      <c r="H2182" s="23" t="n">
        <v>10</v>
      </c>
      <c r="I2182" s="23" t="n">
        <v>28</v>
      </c>
      <c r="J2182" s="23" t="inlineStr">
        <is>
          <t>978-5-9524-4324-2</t>
        </is>
      </c>
      <c r="K2182" s="23" t="inlineStr">
        <is>
          <t>70x90 1/32</t>
        </is>
      </c>
      <c r="L2182" s="23" t="inlineStr">
        <is>
          <t>мяг</t>
        </is>
      </c>
      <c r="M2182" s="23" t="n">
        <v>318</v>
      </c>
      <c r="N2182" s="23" t="n">
        <v>2009</v>
      </c>
      <c r="O2182" s="23" t="n">
        <v>142</v>
      </c>
      <c r="P2182" s="23" t="n"/>
      <c r="Q2182" s="23" t="n"/>
      <c r="R2182" s="25" t="inlineStr">
        <is>
          <t>Санька Соколова с детства мечтала стать писателем. Но пришлось довольствоваться филфаком пединститута. Другой Санькиной мечте, о счастливой взаимной любви, по-видимому, тоже не суждено было сбыться. Она ловила восхищенные взгляды мужчин, но никто из них не вызывал в ней трепетных чувств. Лишь ухаживания состоятельного Артема льстили женскому самолюбию, манила красивая жизнь. Дело шло к свадьбе, и Александра в тоске стала терять вечную веру в чудеса. Только вот на перекрестке судьбы ее ждала новая встреча...</t>
        </is>
      </c>
      <c r="S2182" s="26">
        <f>HYPERLINK("http://www.cnpol.ru/covers/11228.jpg","фото на сайте")</f>
        <v/>
      </c>
    </row>
    <row r="2183" ht="50.1" customHeight="1" s="3">
      <c r="A2183" s="23" t="n"/>
      <c r="B2183" s="24" t="inlineStr">
        <is>
          <t>11057</t>
        </is>
      </c>
      <c r="C2183" s="23" t="inlineStr">
        <is>
          <t>М ЖИ</t>
        </is>
      </c>
      <c r="D2183" s="23" t="inlineStr">
        <is>
          <t>Добровольская Ю.</t>
        </is>
      </c>
      <c r="E2183" s="23" t="inlineStr">
        <is>
          <t>Люби себя, как я тебя</t>
        </is>
      </c>
      <c r="F2183" s="23" t="inlineStr">
        <is>
          <t>        </t>
        </is>
      </c>
      <c r="G2183" s="23" t="n">
        <v>168</v>
      </c>
      <c r="H2183" s="23" t="n">
        <v>10</v>
      </c>
      <c r="I2183" s="23" t="n">
        <v>24</v>
      </c>
      <c r="J2183" s="23" t="inlineStr">
        <is>
          <t>978-5-9524-4172-9</t>
        </is>
      </c>
      <c r="K2183" s="23" t="inlineStr">
        <is>
          <t>70x90 1/32</t>
        </is>
      </c>
      <c r="L2183" s="23" t="inlineStr">
        <is>
          <t>мяг</t>
        </is>
      </c>
      <c r="M2183" s="23" t="n">
        <v>284</v>
      </c>
      <c r="N2183" s="23" t="n">
        <v>2009</v>
      </c>
      <c r="O2183" s="23" t="n">
        <v>118</v>
      </c>
      <c r="P2183" s="23" t="n"/>
      <c r="Q2183" s="23" t="n"/>
      <c r="R2183" s="25" t="inlineStr">
        <is>
          <t>Решив, что дочь сестры засиделась в невестах, и желая расширить круг знакомых двадцатипятилетней затворницы, Тамара приглашает Лизу на вернисаж. Представляя ее своему молчаливому возлюбленному, она не подозревала, что из этого может получиться. Да и сам Кирилл не мог предположить, что случайное знакомство с племянницей очередной подруги не только изменит его жизнь, но и камня на камне не оставит от принципов, так надежно оберегавших внутренний мир с его тайнами и трагедиями…</t>
        </is>
      </c>
      <c r="S2183" s="26">
        <f>HYPERLINK("http://www.cnpol.ru/covers/11057.jpg","фото на сайте")</f>
        <v/>
      </c>
    </row>
    <row r="2184" ht="50.1" customHeight="1" s="3">
      <c r="A2184" s="23" t="n"/>
      <c r="B2184" s="24" t="inlineStr">
        <is>
          <t>10790</t>
        </is>
      </c>
      <c r="C2184" s="23" t="inlineStr">
        <is>
          <t>М ЖИ</t>
        </is>
      </c>
      <c r="D2184" s="23" t="inlineStr">
        <is>
          <t>Соловьева А.</t>
        </is>
      </c>
      <c r="E2184" s="23" t="inlineStr">
        <is>
          <t>Любовь по правилам и без</t>
        </is>
      </c>
      <c r="F2184" s="23" t="inlineStr">
        <is>
          <t>        </t>
        </is>
      </c>
      <c r="G2184" s="23" t="n">
        <v>168</v>
      </c>
      <c r="H2184" s="23" t="n">
        <v>10</v>
      </c>
      <c r="I2184" s="23" t="n">
        <v>24</v>
      </c>
      <c r="J2184" s="23" t="inlineStr">
        <is>
          <t>978-5-9524-3897-2</t>
        </is>
      </c>
      <c r="K2184" s="23" t="inlineStr">
        <is>
          <t>70x90 1/32</t>
        </is>
      </c>
      <c r="L2184" s="23" t="inlineStr">
        <is>
          <t>мяг</t>
        </is>
      </c>
      <c r="M2184" s="23" t="n">
        <v>254</v>
      </c>
      <c r="N2184" s="23" t="n">
        <v>2008</v>
      </c>
      <c r="O2184" s="23" t="n">
        <v>102</v>
      </c>
      <c r="P2184" s="23" t="n"/>
      <c r="Q2184" s="23" t="n"/>
      <c r="R2184" s="25" t="inlineStr">
        <is>
          <t>Радости Аллы не было границ. Ее возлюбленный Степан Давликанов выразил желание грандиозно отпраздновать годовщину их свадьбы. Семейная жизнь складывалась чудесно. В ней нашлось место и для осиротевших племянниц Аллы: Женя заправляла ветеринарной клиникой матери, а взрослеющая Танюшка радовала приемных родителей своими талантами. Но любой праздник когда-то переходит в серые будни. Причиной для беспокойства стала Анастасия, дочь Стива от первого брака. Ее возвращение из Риги в компании эффектного архитектора Арвида не сулило семье Степана ничего хорошего.</t>
        </is>
      </c>
      <c r="S2184" s="26">
        <f>HYPERLINK("http://www.cnpol.ru/covers/10790.jpg","фото на сайте")</f>
        <v/>
      </c>
    </row>
    <row r="2185" ht="50.1" customHeight="1" s="3">
      <c r="A2185" s="23" t="n"/>
      <c r="B2185" s="24" t="inlineStr">
        <is>
          <t>5072</t>
        </is>
      </c>
      <c r="C2185" s="23" t="inlineStr">
        <is>
          <t>М ЖИ</t>
        </is>
      </c>
      <c r="D2185" s="23" t="inlineStr">
        <is>
          <t>Ветковская В.</t>
        </is>
      </c>
      <c r="E2185" s="23" t="inlineStr">
        <is>
          <t>Любовь под облаками</t>
        </is>
      </c>
      <c r="F2185" s="23" t="inlineStr">
        <is>
          <t>        </t>
        </is>
      </c>
      <c r="G2185" s="23" t="n">
        <v>168</v>
      </c>
      <c r="H2185" s="23" t="n">
        <v>10</v>
      </c>
      <c r="I2185" s="23" t="n">
        <v>24</v>
      </c>
      <c r="J2185" s="23" t="inlineStr">
        <is>
          <t>5-9524-1130-4</t>
        </is>
      </c>
      <c r="K2185" s="23" t="inlineStr">
        <is>
          <t>70x90 1/32</t>
        </is>
      </c>
      <c r="L2185" s="23" t="inlineStr">
        <is>
          <t>мяг</t>
        </is>
      </c>
      <c r="M2185" s="23" t="n">
        <v>384</v>
      </c>
      <c r="N2185" s="23" t="n">
        <v>2004</v>
      </c>
      <c r="O2185" s="23" t="n">
        <v>164</v>
      </c>
      <c r="P2185" s="23" t="n"/>
      <c r="Q2185" s="23" t="n"/>
      <c r="R2185" s="25" t="inlineStr">
        <is>
          <t>Стюардессе Галке Тихомировой, с ее умом, ослепительной красотой и волей к жизни, — даже небо по колено! Но если все так хорошо у этой красавицы с электрическим взглядом, почему ее так задел сочувственный взгляд и слова подруги, что сердце Галино — еще спит?..</t>
        </is>
      </c>
      <c r="S2185" s="26">
        <f>HYPERLINK("http://www.cnpol.ru/covers/5072.jpg","фото на сайте")</f>
        <v/>
      </c>
    </row>
    <row r="2186" ht="50.1" customHeight="1" s="3">
      <c r="A2186" s="23" t="n"/>
      <c r="B2186" s="24" t="inlineStr">
        <is>
          <t>7501</t>
        </is>
      </c>
      <c r="C2186" s="23" t="inlineStr">
        <is>
          <t>М ЖИ</t>
        </is>
      </c>
      <c r="D2186" s="23" t="inlineStr">
        <is>
          <t>Белякова Л.</t>
        </is>
      </c>
      <c r="E2186" s="23" t="inlineStr">
        <is>
          <t>Любовь. Офисная версия</t>
        </is>
      </c>
      <c r="F2186" s="23" t="inlineStr">
        <is>
          <t>        </t>
        </is>
      </c>
      <c r="G2186" s="23" t="n">
        <v>168</v>
      </c>
      <c r="H2186" s="23" t="n">
        <v>10</v>
      </c>
      <c r="I2186" s="23" t="n">
        <v>20</v>
      </c>
      <c r="J2186" s="23" t="inlineStr">
        <is>
          <t>5-9524-2486-4</t>
        </is>
      </c>
      <c r="K2186" s="23" t="inlineStr">
        <is>
          <t>70x90 1/32</t>
        </is>
      </c>
      <c r="L2186" s="23" t="inlineStr">
        <is>
          <t>мяг</t>
        </is>
      </c>
      <c r="M2186" s="23" t="n">
        <v>317</v>
      </c>
      <c r="N2186" s="23" t="n">
        <v>2008</v>
      </c>
      <c r="O2186" s="23" t="n">
        <v>134</v>
      </c>
      <c r="P2186" s="23" t="n"/>
      <c r="Q2186" s="23" t="n"/>
      <c r="R2186" s="25" t="inlineStr">
        <is>
          <t>Двое свободных молодых людей—переводчица Жанна Андреева и руководитель службы безопасности фирмы Михаил Дареев, знаменитый спортсмен, мужественный красавец,—остались одни в загородном доме. Эту ночь они провели вместе, и Жанне, хладнокровной интеллектуалке, умеющей держать мужчин на расстоянии, надолго запомнились их страстные и неистовые ласки.</t>
        </is>
      </c>
      <c r="S2186" s="26">
        <f>HYPERLINK("http://www.cnpol.ru/covers/7501.jpg","фото на сайте")</f>
        <v/>
      </c>
    </row>
    <row r="2187" ht="50.1" customHeight="1" s="3">
      <c r="A2187" s="23" t="n"/>
      <c r="B2187" s="24" t="inlineStr">
        <is>
          <t>10026</t>
        </is>
      </c>
      <c r="C2187" s="23" t="inlineStr">
        <is>
          <t>М ЖИ</t>
        </is>
      </c>
      <c r="D2187" s="23" t="inlineStr">
        <is>
          <t>Белякова Л.</t>
        </is>
      </c>
      <c r="E2187" s="23" t="inlineStr">
        <is>
          <t>Любовь. Офисная версия</t>
        </is>
      </c>
      <c r="F2187" s="23" t="inlineStr">
        <is>
          <t>        </t>
        </is>
      </c>
      <c r="G2187" s="23" t="n">
        <v>168</v>
      </c>
      <c r="H2187" s="23" t="n">
        <v>10</v>
      </c>
      <c r="I2187" s="23" t="n">
        <v>20</v>
      </c>
      <c r="J2187" s="23" t="inlineStr">
        <is>
          <t>978-5-9524-3216-1</t>
        </is>
      </c>
      <c r="K2187" s="23" t="inlineStr">
        <is>
          <t>70x90 1/32</t>
        </is>
      </c>
      <c r="L2187" s="23" t="inlineStr">
        <is>
          <t>мяг</t>
        </is>
      </c>
      <c r="M2187" s="23" t="n">
        <v>317</v>
      </c>
      <c r="N2187" s="23" t="n">
        <v>2008</v>
      </c>
      <c r="O2187" s="23" t="n">
        <v>132</v>
      </c>
      <c r="P2187" s="23" t="n"/>
      <c r="Q2187" s="23" t="n"/>
      <c r="R2187" s="25" t="inlineStr">
        <is>
          <t>Двое свободных молодых людей—переводчица Жанна Андреева и руководитель службы безопасности фирмы Михаил Дареев, знаменитый спортсмен, мужественный красавец,—остались одни в загородном доме. Эту ночь они провели вместе, и Жанне, хладнокровной интеллектуалке, умеющей держать мужчин на расстоянии, надолго запомнились их страстные и неистовые ласки.</t>
        </is>
      </c>
      <c r="S2187" s="26">
        <f>HYPERLINK("http://www.cnpol.ru/covers/10026.jpg","фото на сайте")</f>
        <v/>
      </c>
    </row>
    <row r="2188" ht="50.1" customHeight="1" s="3">
      <c r="A2188" s="23" t="n"/>
      <c r="B2188" s="24" t="inlineStr">
        <is>
          <t>7506</t>
        </is>
      </c>
      <c r="C2188" s="23" t="inlineStr">
        <is>
          <t>М ЖИ</t>
        </is>
      </c>
      <c r="D2188" s="23" t="inlineStr">
        <is>
          <t>Соловьева А.</t>
        </is>
      </c>
      <c r="E2188" s="23" t="inlineStr">
        <is>
          <t>Московская история</t>
        </is>
      </c>
      <c r="F2188" s="23" t="inlineStr">
        <is>
          <t>        </t>
        </is>
      </c>
      <c r="G2188" s="23" t="n">
        <v>168</v>
      </c>
      <c r="H2188" s="23" t="n">
        <v>10</v>
      </c>
      <c r="I2188" s="23" t="n">
        <v>20</v>
      </c>
      <c r="J2188" s="23" t="inlineStr">
        <is>
          <t>5-9524-1934-8</t>
        </is>
      </c>
      <c r="K2188" s="23" t="inlineStr">
        <is>
          <t>70x90 1/32</t>
        </is>
      </c>
      <c r="L2188" s="23" t="inlineStr">
        <is>
          <t>мяг</t>
        </is>
      </c>
      <c r="M2188" s="23" t="n">
        <v>333</v>
      </c>
      <c r="N2188" s="23" t="n">
        <v>2008</v>
      </c>
      <c r="O2188" s="23" t="n">
        <v>138</v>
      </c>
      <c r="P2188" s="23" t="n"/>
      <c r="Q2188" s="23" t="n"/>
      <c r="R2188" s="25" t="n"/>
      <c r="S2188" s="26">
        <f>HYPERLINK("http://www.cnpol.ru/covers/7506.jpg","фото на сайте")</f>
        <v/>
      </c>
    </row>
    <row r="2189" ht="50.1" customHeight="1" s="3">
      <c r="A2189" s="23" t="n"/>
      <c r="B2189" s="24" t="inlineStr">
        <is>
          <t>5810</t>
        </is>
      </c>
      <c r="C2189" s="23" t="inlineStr">
        <is>
          <t>М ЖИ</t>
        </is>
      </c>
      <c r="D2189" s="23" t="inlineStr">
        <is>
          <t>Лобановская И.</t>
        </is>
      </c>
      <c r="E2189" s="23" t="inlineStr">
        <is>
          <t>Мужской стриптиз</t>
        </is>
      </c>
      <c r="F2189" s="23" t="inlineStr">
        <is>
          <t>        </t>
        </is>
      </c>
      <c r="G2189" s="23" t="n">
        <v>168</v>
      </c>
      <c r="H2189" s="23" t="n">
        <v>10</v>
      </c>
      <c r="I2189" s="23" t="n">
        <v>28</v>
      </c>
      <c r="J2189" s="23" t="inlineStr">
        <is>
          <t>5-9524-1157-6</t>
        </is>
      </c>
      <c r="K2189" s="23" t="inlineStr">
        <is>
          <t>70x90 1/32</t>
        </is>
      </c>
      <c r="L2189" s="23" t="inlineStr">
        <is>
          <t>мяг</t>
        </is>
      </c>
      <c r="M2189" s="23" t="n">
        <v>254</v>
      </c>
      <c r="N2189" s="23" t="n">
        <v>2005</v>
      </c>
      <c r="O2189" s="23" t="n">
        <v>112</v>
      </c>
      <c r="P2189" s="23" t="n"/>
      <c r="Q2189" s="23" t="n"/>
      <c r="R2189" s="25" t="n"/>
      <c r="S2189" s="26">
        <f>HYPERLINK("http://www.cnpol.ru/covers/5810.jpg","фото на сайте")</f>
        <v/>
      </c>
    </row>
    <row r="2190" ht="50.1" customHeight="1" s="3">
      <c r="A2190" s="23" t="n"/>
      <c r="B2190" s="24" t="inlineStr">
        <is>
          <t>14487</t>
        </is>
      </c>
      <c r="C2190" s="23" t="inlineStr">
        <is>
          <t>М ЖИ</t>
        </is>
      </c>
      <c r="D2190" s="23" t="inlineStr">
        <is>
          <t>Наумова Э.</t>
        </is>
      </c>
      <c r="E2190" s="23" t="inlineStr">
        <is>
          <t>Мужчины из женских романов</t>
        </is>
      </c>
      <c r="F2190" s="23" t="inlineStr">
        <is>
          <t>        </t>
        </is>
      </c>
      <c r="G2190" s="23" t="n">
        <v>168</v>
      </c>
      <c r="H2190" s="23" t="n">
        <v>10</v>
      </c>
      <c r="I2190" s="23" t="n">
        <v>20</v>
      </c>
      <c r="J2190" s="23" t="inlineStr">
        <is>
          <t>978-5-227-04500-3</t>
        </is>
      </c>
      <c r="K2190" s="23" t="inlineStr">
        <is>
          <t>70x90 1/32</t>
        </is>
      </c>
      <c r="L2190" s="23" t="inlineStr">
        <is>
          <t>мяг</t>
        </is>
      </c>
      <c r="M2190" s="23" t="n">
        <v>253</v>
      </c>
      <c r="N2190" s="23" t="n">
        <v>2013</v>
      </c>
      <c r="O2190" s="23" t="n">
        <v>98</v>
      </c>
      <c r="P2190" s="23" t="n"/>
      <c r="Q2190" s="23" t="n"/>
      <c r="R2190" s="25" t="n"/>
      <c r="S2190" s="26">
        <f>HYPERLINK("http://www.cnpol.ru/covers/14487.jpg","фото на сайте")</f>
        <v/>
      </c>
    </row>
    <row r="2191" ht="50.1" customHeight="1" s="3">
      <c r="A2191" s="23" t="n"/>
      <c r="B2191" s="24" t="inlineStr">
        <is>
          <t>11536</t>
        </is>
      </c>
      <c r="C2191" s="23" t="inlineStr">
        <is>
          <t>М ЖИ</t>
        </is>
      </c>
      <c r="D2191" s="23" t="inlineStr">
        <is>
          <t>Алюшина Т.</t>
        </is>
      </c>
      <c r="E2191" s="23" t="inlineStr">
        <is>
          <t>Одна кровь на двоих</t>
        </is>
      </c>
      <c r="F2191" s="23" t="inlineStr">
        <is>
          <t>        </t>
        </is>
      </c>
      <c r="G2191" s="23" t="n">
        <v>123</v>
      </c>
      <c r="H2191" s="23" t="n">
        <v>10</v>
      </c>
      <c r="I2191" s="23" t="n">
        <v>20</v>
      </c>
      <c r="J2191" s="23" t="inlineStr">
        <is>
          <t>978-5-9524-4641-0</t>
        </is>
      </c>
      <c r="K2191" s="23" t="inlineStr">
        <is>
          <t>70x90 1/32</t>
        </is>
      </c>
      <c r="L2191" s="23" t="inlineStr">
        <is>
          <t>мяг</t>
        </is>
      </c>
      <c r="M2191" s="23" t="n">
        <v>317</v>
      </c>
      <c r="N2191" s="23" t="n">
        <v>2009</v>
      </c>
      <c r="O2191" s="23" t="n">
        <v>130</v>
      </c>
      <c r="P2191" s="23" t="n"/>
      <c r="Q2191" s="23" t="n"/>
      <c r="R2191" s="25" t="n"/>
      <c r="S2191" s="26">
        <f>HYPERLINK("http://www.cnpol.ru/covers/11536.jpg","фото на сайте")</f>
        <v/>
      </c>
    </row>
    <row r="2192" ht="50.1" customHeight="1" s="3">
      <c r="A2192" s="23" t="n"/>
      <c r="B2192" s="24" t="inlineStr">
        <is>
          <t>14134</t>
        </is>
      </c>
      <c r="C2192" s="23" t="inlineStr">
        <is>
          <t>М ЖИ</t>
        </is>
      </c>
      <c r="D2192" s="23" t="inlineStr">
        <is>
          <t>Алюшина Т.</t>
        </is>
      </c>
      <c r="E2192" s="23" t="inlineStr">
        <is>
          <t>Просто о любви</t>
        </is>
      </c>
      <c r="F2192" s="23" t="inlineStr">
        <is>
          <t>        </t>
        </is>
      </c>
      <c r="G2192" s="23" t="n">
        <v>168</v>
      </c>
      <c r="H2192" s="23" t="n">
        <v>10</v>
      </c>
      <c r="I2192" s="23" t="n">
        <v>28</v>
      </c>
      <c r="J2192" s="23" t="inlineStr">
        <is>
          <t>978-5-227-04138-8</t>
        </is>
      </c>
      <c r="K2192" s="23" t="inlineStr">
        <is>
          <t>70x90 1/32</t>
        </is>
      </c>
      <c r="L2192" s="23" t="inlineStr">
        <is>
          <t>мяг</t>
        </is>
      </c>
      <c r="M2192" s="23" t="n">
        <v>319</v>
      </c>
      <c r="N2192" s="23" t="n">
        <v>2013</v>
      </c>
      <c r="O2192" s="23" t="n">
        <v>134</v>
      </c>
      <c r="P2192" s="23" t="n"/>
      <c r="Q2192" s="23" t="n"/>
      <c r="R2192" s="25" t="n"/>
      <c r="S2192" s="26">
        <f>HYPERLINK("http://www.cnpol.ru/covers/14134.jpg","фото на сайте")</f>
        <v/>
      </c>
    </row>
    <row r="2193" ht="50.1" customHeight="1" s="3">
      <c r="A2193" s="23" t="n"/>
      <c r="B2193" s="24" t="inlineStr">
        <is>
          <t>5494</t>
        </is>
      </c>
      <c r="C2193" s="23" t="inlineStr">
        <is>
          <t>М ЖИ</t>
        </is>
      </c>
      <c r="D2193" s="23" t="inlineStr">
        <is>
          <t>Кайдалова Е.</t>
        </is>
      </c>
      <c r="E2193" s="23" t="inlineStr">
        <is>
          <t>Ребенок</t>
        </is>
      </c>
      <c r="F2193" s="23" t="inlineStr">
        <is>
          <t>        </t>
        </is>
      </c>
      <c r="G2193" s="23" t="n">
        <v>134</v>
      </c>
      <c r="H2193" s="23" t="n">
        <v>10</v>
      </c>
      <c r="I2193" s="23" t="n">
        <v>20</v>
      </c>
      <c r="J2193" s="23" t="inlineStr">
        <is>
          <t>5-9524-1491-5</t>
        </is>
      </c>
      <c r="K2193" s="23" t="inlineStr">
        <is>
          <t>70x90 1/32</t>
        </is>
      </c>
      <c r="L2193" s="23" t="inlineStr">
        <is>
          <t>мяг</t>
        </is>
      </c>
      <c r="M2193" s="23" t="n">
        <v>431</v>
      </c>
      <c r="N2193" s="23" t="n">
        <v>2005</v>
      </c>
      <c r="O2193" s="23" t="n">
        <v>172</v>
      </c>
      <c r="P2193" s="23" t="n"/>
      <c r="Q2193" s="23" t="n"/>
      <c r="R2193" s="25" t="n"/>
      <c r="S2193" s="26">
        <f>HYPERLINK("http://www.cnpol.ru/covers/5494.jpg","фото на сайте")</f>
        <v/>
      </c>
    </row>
    <row r="2194" ht="50.1" customHeight="1" s="3">
      <c r="A2194" s="23" t="n"/>
      <c r="B2194" s="24" t="inlineStr">
        <is>
          <t>6112</t>
        </is>
      </c>
      <c r="C2194" s="23" t="inlineStr">
        <is>
          <t>М ЖИ</t>
        </is>
      </c>
      <c r="D2194" s="23" t="inlineStr">
        <is>
          <t>Кайдалова Е.</t>
        </is>
      </c>
      <c r="E2194" s="23" t="inlineStr">
        <is>
          <t>Ребенок</t>
        </is>
      </c>
      <c r="F2194" s="23" t="inlineStr">
        <is>
          <t>        </t>
        </is>
      </c>
      <c r="G2194" s="23" t="n">
        <v>168</v>
      </c>
      <c r="H2194" s="23" t="n">
        <v>10</v>
      </c>
      <c r="I2194" s="23" t="n">
        <v>16</v>
      </c>
      <c r="J2194" s="23" t="inlineStr">
        <is>
          <t>5-9524-1491-5</t>
        </is>
      </c>
      <c r="K2194" s="23" t="inlineStr">
        <is>
          <t>70x90 1/32</t>
        </is>
      </c>
      <c r="L2194" s="23" t="inlineStr">
        <is>
          <t>мяг</t>
        </is>
      </c>
      <c r="M2194" s="23" t="n">
        <v>431</v>
      </c>
      <c r="N2194" s="23" t="n">
        <v>2008</v>
      </c>
      <c r="O2194" s="23" t="n">
        <v>180</v>
      </c>
      <c r="P2194" s="23" t="n"/>
      <c r="Q2194" s="23" t="n"/>
      <c r="R2194" s="25" t="n"/>
      <c r="S2194" s="26">
        <f>HYPERLINK("http://www.cnpol.ru/covers/6112.jpg","фото на сайте")</f>
        <v/>
      </c>
    </row>
    <row r="2195" ht="50.1" customHeight="1" s="3">
      <c r="A2195" s="23" t="n"/>
      <c r="B2195" s="24" t="inlineStr">
        <is>
          <t>12292</t>
        </is>
      </c>
      <c r="C2195" s="23" t="inlineStr">
        <is>
          <t>М ЖИ</t>
        </is>
      </c>
      <c r="D2195" s="23" t="inlineStr">
        <is>
          <t>Белякова Л.</t>
        </is>
      </c>
      <c r="E2195" s="23" t="inlineStr">
        <is>
          <t>Свадьба навсегда!</t>
        </is>
      </c>
      <c r="F2195" s="23" t="inlineStr">
        <is>
          <t>        </t>
        </is>
      </c>
      <c r="G2195" s="23" t="n">
        <v>168</v>
      </c>
      <c r="H2195" s="23" t="n">
        <v>10</v>
      </c>
      <c r="I2195" s="23" t="n">
        <v>32</v>
      </c>
      <c r="J2195" s="23" t="inlineStr">
        <is>
          <t>978-5-227-02444-2</t>
        </is>
      </c>
      <c r="K2195" s="23" t="inlineStr">
        <is>
          <t>70x90 1/32</t>
        </is>
      </c>
      <c r="L2195" s="23" t="inlineStr">
        <is>
          <t>мяг</t>
        </is>
      </c>
      <c r="M2195" s="23" t="n">
        <v>287</v>
      </c>
      <c r="N2195" s="23" t="n">
        <v>2010</v>
      </c>
      <c r="O2195" s="23" t="n">
        <v>122</v>
      </c>
      <c r="P2195" s="23" t="n"/>
      <c r="Q2195" s="23" t="n"/>
      <c r="R2195" s="25" t="n"/>
      <c r="S2195" s="26">
        <f>HYPERLINK("http://www.cnpol.ru/covers/12292.jpg","фото на сайте")</f>
        <v/>
      </c>
    </row>
    <row r="2196" ht="50.1" customHeight="1" s="3">
      <c r="A2196" s="23" t="n"/>
      <c r="B2196" s="24" t="inlineStr">
        <is>
          <t>5899</t>
        </is>
      </c>
      <c r="C2196" s="23" t="inlineStr">
        <is>
          <t>М ЖИ</t>
        </is>
      </c>
      <c r="D2196" s="23" t="inlineStr">
        <is>
          <t>Ярилина Е.</t>
        </is>
      </c>
      <c r="E2196" s="23" t="inlineStr">
        <is>
          <t>Светлый берег радости</t>
        </is>
      </c>
      <c r="F2196" s="23" t="inlineStr">
        <is>
          <t>        </t>
        </is>
      </c>
      <c r="G2196" s="23" t="n">
        <v>168</v>
      </c>
      <c r="H2196" s="23" t="n">
        <v>10</v>
      </c>
      <c r="I2196" s="23" t="n">
        <v>16</v>
      </c>
      <c r="J2196" s="23" t="inlineStr">
        <is>
          <t>5-9524-1804-X</t>
        </is>
      </c>
      <c r="K2196" s="23" t="inlineStr">
        <is>
          <t>70x90 1/32</t>
        </is>
      </c>
      <c r="L2196" s="23" t="inlineStr">
        <is>
          <t>мяг</t>
        </is>
      </c>
      <c r="M2196" s="23" t="n">
        <v>447</v>
      </c>
      <c r="N2196" s="23" t="n">
        <v>2005</v>
      </c>
      <c r="O2196" s="23" t="n">
        <v>184</v>
      </c>
      <c r="P2196" s="23" t="n"/>
      <c r="Q2196" s="23" t="n"/>
      <c r="R2196" s="25" t="n"/>
      <c r="S2196" s="26">
        <f>HYPERLINK("http://www.cnpol.ru/covers/5899.jpg","фото на сайте")</f>
        <v/>
      </c>
    </row>
    <row r="2197" ht="50.1" customHeight="1" s="3">
      <c r="A2197" s="23" t="n"/>
      <c r="B2197" s="24" t="inlineStr">
        <is>
          <t>14350</t>
        </is>
      </c>
      <c r="C2197" s="23" t="inlineStr">
        <is>
          <t>М ЖИ</t>
        </is>
      </c>
      <c r="D2197" s="23" t="inlineStr">
        <is>
          <t>Алюшина Т.</t>
        </is>
      </c>
      <c r="E2197" s="23" t="inlineStr">
        <is>
          <t>Счастье среднего возраста</t>
        </is>
      </c>
      <c r="F2197" s="23" t="inlineStr">
        <is>
          <t>        </t>
        </is>
      </c>
      <c r="G2197" s="23" t="n">
        <v>168</v>
      </c>
      <c r="H2197" s="23" t="n">
        <v>10</v>
      </c>
      <c r="I2197" s="23" t="n">
        <v>20</v>
      </c>
      <c r="J2197" s="23" t="inlineStr">
        <is>
          <t>978-5-227-04366-5</t>
        </is>
      </c>
      <c r="K2197" s="23" t="inlineStr">
        <is>
          <t>70x90 1/32</t>
        </is>
      </c>
      <c r="L2197" s="23" t="inlineStr">
        <is>
          <t>мяг</t>
        </is>
      </c>
      <c r="M2197" s="23" t="n">
        <v>348</v>
      </c>
      <c r="N2197" s="23" t="n">
        <v>2013</v>
      </c>
      <c r="O2197" s="23" t="n">
        <v>146</v>
      </c>
      <c r="P2197" s="23" t="n"/>
      <c r="Q2197" s="23" t="n"/>
      <c r="R2197" s="25" t="n"/>
      <c r="S2197" s="26">
        <f>HYPERLINK("http://www.cnpol.ru/covers/14350.jpg","фото на сайте")</f>
        <v/>
      </c>
    </row>
    <row r="2198" ht="50.1" customHeight="1" s="3">
      <c r="A2198" s="23" t="n"/>
      <c r="B2198" s="24" t="inlineStr">
        <is>
          <t>14727</t>
        </is>
      </c>
      <c r="C2198" s="23" t="inlineStr">
        <is>
          <t>М ЖИ</t>
        </is>
      </c>
      <c r="D2198" s="23" t="inlineStr">
        <is>
          <t>Яковлева А.Я</t>
        </is>
      </c>
      <c r="E2198" s="23" t="inlineStr">
        <is>
          <t>Тоннель желаний</t>
        </is>
      </c>
      <c r="F2198" s="23" t="inlineStr">
        <is>
          <t>        </t>
        </is>
      </c>
      <c r="G2198" s="23" t="n">
        <v>168</v>
      </c>
      <c r="H2198" s="23" t="n">
        <v>10</v>
      </c>
      <c r="I2198" s="23" t="n">
        <v>40</v>
      </c>
      <c r="J2198" s="23" t="inlineStr">
        <is>
          <t>978-5-227-04613-0</t>
        </is>
      </c>
      <c r="K2198" s="23" t="inlineStr">
        <is>
          <t>70x90 1/32</t>
        </is>
      </c>
      <c r="L2198" s="23" t="inlineStr">
        <is>
          <t>мяг</t>
        </is>
      </c>
      <c r="M2198" s="23" t="n">
        <v>285</v>
      </c>
      <c r="N2198" s="23" t="n">
        <v>2014</v>
      </c>
      <c r="O2198" s="23" t="n">
        <v>120</v>
      </c>
      <c r="P2198" s="23" t="n"/>
      <c r="Q2198" s="23" t="n"/>
      <c r="R2198" s="25" t="n"/>
      <c r="S2198" s="26">
        <f>HYPERLINK("http://www.cnpol.ru/covers/14727.jpg","фото на сайте")</f>
        <v/>
      </c>
    </row>
    <row r="2199" ht="50.1" customHeight="1" s="3">
      <c r="A2199" s="23" t="n"/>
      <c r="B2199" s="24" t="inlineStr">
        <is>
          <t>7735</t>
        </is>
      </c>
      <c r="C2199" s="23" t="inlineStr">
        <is>
          <t>М ЖИ</t>
        </is>
      </c>
      <c r="D2199" s="23" t="inlineStr">
        <is>
          <t>Федорова М.</t>
        </is>
      </c>
      <c r="E2199" s="23" t="inlineStr">
        <is>
          <t>Третья попытка</t>
        </is>
      </c>
      <c r="F2199" s="23" t="inlineStr">
        <is>
          <t>        </t>
        </is>
      </c>
      <c r="G2199" s="23" t="n">
        <v>168</v>
      </c>
      <c r="H2199" s="23" t="n">
        <v>10</v>
      </c>
      <c r="I2199" s="23" t="n">
        <v>28</v>
      </c>
      <c r="J2199" s="23" t="inlineStr">
        <is>
          <t>978-5-9524-2627-6</t>
        </is>
      </c>
      <c r="K2199" s="23" t="inlineStr">
        <is>
          <t>70x90 1/32</t>
        </is>
      </c>
      <c r="L2199" s="23" t="inlineStr">
        <is>
          <t>мяг</t>
        </is>
      </c>
      <c r="M2199" s="23" t="n">
        <v>270</v>
      </c>
      <c r="N2199" s="23" t="n">
        <v>2008</v>
      </c>
      <c r="O2199" s="23" t="n">
        <v>116</v>
      </c>
      <c r="P2199" s="23" t="n"/>
      <c r="Q2199" s="23" t="n"/>
      <c r="R2199" s="25" t="n"/>
      <c r="S2199" s="26">
        <f>HYPERLINK("http://www.cnpol.ru/covers/7735.jpg","фото на сайте")</f>
        <v/>
      </c>
    </row>
    <row r="2200" ht="50.1" customHeight="1" s="3">
      <c r="A2200" s="23" t="n"/>
      <c r="B2200" s="24" t="inlineStr">
        <is>
          <t>18839</t>
        </is>
      </c>
      <c r="C2200" s="23" t="inlineStr">
        <is>
          <t>М ЖИ НОВ</t>
        </is>
      </c>
      <c r="D2200" s="23" t="inlineStr">
        <is>
          <t>Наумова Э.</t>
        </is>
      </c>
      <c r="E2200" s="23" t="inlineStr">
        <is>
          <t>Будь моим отцом</t>
        </is>
      </c>
      <c r="F2200" s="23" t="inlineStr">
        <is>
          <t>        </t>
        </is>
      </c>
      <c r="G2200" s="23" t="n">
        <v>186</v>
      </c>
      <c r="H2200" s="23" t="n">
        <v>10</v>
      </c>
      <c r="I2200" s="23" t="n">
        <v>40</v>
      </c>
      <c r="J2200" s="23" t="inlineStr">
        <is>
          <t>978-5-227-08763-8</t>
        </is>
      </c>
      <c r="K2200" s="23" t="inlineStr">
        <is>
          <t>70x90 1/32</t>
        </is>
      </c>
      <c r="L2200" s="23" t="inlineStr">
        <is>
          <t>мяг</t>
        </is>
      </c>
      <c r="M2200" s="23" t="n">
        <v>256</v>
      </c>
      <c r="N2200" s="23" t="n">
        <v>2019</v>
      </c>
      <c r="O2200" s="23" t="n">
        <v>110</v>
      </c>
      <c r="P2200" s="23" t="n"/>
      <c r="Q2200" s="23" t="n"/>
      <c r="R2200" s="25" t="inlineStr">
        <is>
          <t>Лера Тимофеева рано осиротела: мать умерла от тяжелой болезни, а отца девушка вовсе не знала. Лера выросла и стала вполне благополучной молодой женщиной с хорошей профессией, квартирой в Москве, соответствующим образом жизни и кругом общения. Но тайна рождения стала все чаще тревожить ее, и Лера захотела выяснить — кто ее отец. Найденная ею однокурсница матери навела на след: предполагаемый отец девушки живет в Нью­Йорке. И Лера решила полететь в Америку и узнать, хочет ли ее отец стать ей отцом?..</t>
        </is>
      </c>
      <c r="S2200" s="26">
        <f>HYPERLINK("http://www.cnpol.ru/covers/18839.jpg","фото на сайте")</f>
        <v/>
      </c>
    </row>
    <row r="2201" ht="50.1" customHeight="1" s="3">
      <c r="A2201" s="23" t="n"/>
      <c r="B2201" s="24" t="inlineStr">
        <is>
          <t>20251</t>
        </is>
      </c>
      <c r="C2201" s="23" t="inlineStr">
        <is>
          <t>М ЖИ НОВ</t>
        </is>
      </c>
      <c r="D2201" s="23" t="inlineStr">
        <is>
          <t>Яковлева А.Я</t>
        </is>
      </c>
      <c r="E2201" s="23" t="inlineStr">
        <is>
          <t>Варенье с косточкой</t>
        </is>
      </c>
      <c r="F2201" s="23" t="inlineStr">
        <is>
          <t>        </t>
        </is>
      </c>
      <c r="G2201" s="23" t="n">
        <v>186</v>
      </c>
      <c r="H2201" s="23" t="n">
        <v>10</v>
      </c>
      <c r="I2201" s="23" t="n">
        <v>11</v>
      </c>
      <c r="J2201" s="23" t="inlineStr">
        <is>
          <t>978-5-227-09513-8</t>
        </is>
      </c>
      <c r="K2201" s="23" t="inlineStr">
        <is>
          <t>70x90 1/32</t>
        </is>
      </c>
      <c r="L2201" s="23" t="inlineStr">
        <is>
          <t>мяг</t>
        </is>
      </c>
      <c r="M2201" s="23" t="n">
        <v>315</v>
      </c>
      <c r="N2201" s="23" t="n">
        <v>2022</v>
      </c>
      <c r="O2201" s="23" t="n">
        <v>163</v>
      </c>
      <c r="P2201" s="23" t="n"/>
      <c r="Q2201" s="23" t="n"/>
      <c r="R2201" s="25" t="inlineStr">
        <is>
          <t>Цепь неудач преследует Андрея Гожа. Сначала ушла жена, потом он лишился квартиры, запил и закономерно лишился и работы… В состоянии сильного опьянения бывший креативный директор рекламного агентства был доставлен полицией в наркологическое отделение местной больницы. А очнулся уже в загородном доме в качестве сезонного рабочего. Со смущением Олимпиада Разгуляева узнает в работнике того самого мужика, который столкнулся с ней пару дней назад, оборвал ей кусок любимой юбки и ушиб ногу, из-за чего и понадобился на даче помощник — убрать созревшую вишню. Андрей даже рад недоразумению: все равно ему негде и не на что жить. Да и забавно подшучивать над обитателями дачи, принимающими его за другого. Но ни Андрей, ни еще меньше Липа не были готовы к возникшему между ними притяжению…</t>
        </is>
      </c>
      <c r="S2201" s="26">
        <f>HYPERLINK("http://www.cnpol.ru/covers/20251.jpg","фото на сайте")</f>
        <v/>
      </c>
    </row>
    <row r="2202" ht="50.1" customHeight="1" s="3">
      <c r="A2202" s="23" t="n"/>
      <c r="B2202" s="24" t="inlineStr">
        <is>
          <t>18654</t>
        </is>
      </c>
      <c r="C2202" s="23" t="inlineStr">
        <is>
          <t>М ЖИ НОВ</t>
        </is>
      </c>
      <c r="D2202" s="23" t="inlineStr">
        <is>
          <t>Наумова Э.</t>
        </is>
      </c>
      <c r="E2202" s="23" t="inlineStr">
        <is>
          <t>Давай знакомиться, благоверный…</t>
        </is>
      </c>
      <c r="F2202" s="23" t="inlineStr">
        <is>
          <t>        </t>
        </is>
      </c>
      <c r="G2202" s="23" t="n">
        <v>186</v>
      </c>
      <c r="H2202" s="23" t="n">
        <v>10</v>
      </c>
      <c r="I2202" s="23" t="n">
        <v>40</v>
      </c>
      <c r="J2202" s="23" t="inlineStr">
        <is>
          <t>978-5-227-08592-4</t>
        </is>
      </c>
      <c r="K2202" s="23" t="inlineStr">
        <is>
          <t>70x90 1/32</t>
        </is>
      </c>
      <c r="L2202" s="23" t="inlineStr">
        <is>
          <t>мяг</t>
        </is>
      </c>
      <c r="M2202" s="23" t="n">
        <v>256</v>
      </c>
      <c r="N2202" s="23" t="n">
        <v>2019</v>
      </c>
      <c r="O2202" s="23" t="n">
        <v>110</v>
      </c>
      <c r="P2202" s="23" t="n"/>
      <c r="Q2202" s="23" t="n"/>
      <c r="R2202" s="25" t="inlineStr">
        <is>
          <t>Что делать, если муж охладел к жене, которая младше его на пятнадцать лет! Если не общается с ее родственниками, не дает денег сыну, почти не бывает дома в коттеджном поселке? Выследить его и узнать, чем он занимается в Москве? Выследила, увидела с другой женщиной. Что дальше? Разобраться с ним? Но Анджела Литиванова решает для начала разобраться в себе. И обнаруживает, что с мужем впору знакомиться заново.</t>
        </is>
      </c>
      <c r="S2202" s="26">
        <f>HYPERLINK("http://www.cnpol.ru/covers/18654.jpg","фото на сайте")</f>
        <v/>
      </c>
    </row>
    <row r="2203" ht="50.1" customHeight="1" s="3">
      <c r="A2203" s="23" t="n"/>
      <c r="B2203" s="24" t="inlineStr">
        <is>
          <t>19185</t>
        </is>
      </c>
      <c r="C2203" s="23" t="inlineStr">
        <is>
          <t>М ЖИ НОВ</t>
        </is>
      </c>
      <c r="D2203" s="23" t="inlineStr">
        <is>
          <t>Симонова Д.В</t>
        </is>
      </c>
      <c r="E2203" s="23" t="inlineStr">
        <is>
          <t>Дни, когда все было…</t>
        </is>
      </c>
      <c r="F2203" s="23" t="inlineStr">
        <is>
          <t>        </t>
        </is>
      </c>
      <c r="G2203" s="23" t="n">
        <v>186</v>
      </c>
      <c r="H2203" s="23" t="n">
        <v>10</v>
      </c>
      <c r="I2203" s="23" t="n">
        <v>40</v>
      </c>
      <c r="J2203" s="23" t="inlineStr">
        <is>
          <t>978-5-227-09100-0</t>
        </is>
      </c>
      <c r="K2203" s="23" t="inlineStr">
        <is>
          <t>70x90 1/32</t>
        </is>
      </c>
      <c r="L2203" s="23" t="inlineStr">
        <is>
          <t>мяг</t>
        </is>
      </c>
      <c r="M2203" s="23" t="n">
        <v>288</v>
      </c>
      <c r="N2203" s="23" t="n">
        <v>2020</v>
      </c>
      <c r="O2203" s="23" t="n">
        <v>122</v>
      </c>
      <c r="P2203" s="23" t="n"/>
      <c r="Q2203" s="23" t="n"/>
      <c r="R2203" s="25" t="inlineStr">
        <is>
          <t>С юности Анна мечтала попасть в столицы: именно в Питере или Москве в атмосфере художественной свободы она намеревалась развить творческие способности и найти свое место в литературе… Спустя несколько лет Анна освоилась в писательской среде обеих столиц, стала публиковаться, отстаивая право на собственное художественное видение, не пытаясь завоевать расположение тех, кто полагает себя вершителями современного литературного процесса. Одновременно ей приходится решать и личную, чисто женскую проблему выбора между двумя непохожими, но одинаково не подходящими ей мужчинами. С одной стороны — буйный алкоголик, поддерживающий ее авторство, с другой — респектабельный мужчина, ни в грош не ставящий ее творчество…</t>
        </is>
      </c>
      <c r="S2203" s="26">
        <f>HYPERLINK("http://www.cnpol.ru/covers/19185.jpg","фото на сайте")</f>
        <v/>
      </c>
    </row>
    <row r="2204" ht="50.1" customHeight="1" s="3">
      <c r="A2204" s="23" t="n"/>
      <c r="B2204" s="24" t="inlineStr">
        <is>
          <t>19535</t>
        </is>
      </c>
      <c r="C2204" s="23" t="inlineStr">
        <is>
          <t>М ЖИ НОВ</t>
        </is>
      </c>
      <c r="D2204" s="23" t="inlineStr">
        <is>
          <t>Липатова Н.П</t>
        </is>
      </c>
      <c r="E2204" s="23" t="inlineStr">
        <is>
          <t>Дом над облаками</t>
        </is>
      </c>
      <c r="F2204" s="23" t="inlineStr">
        <is>
          <t>        </t>
        </is>
      </c>
      <c r="G2204" s="23" t="n">
        <v>186</v>
      </c>
      <c r="H2204" s="23" t="n">
        <v>10</v>
      </c>
      <c r="I2204" s="23" t="n">
        <v>32</v>
      </c>
      <c r="J2204" s="23" t="inlineStr">
        <is>
          <t>978-5-227-09232-8</t>
        </is>
      </c>
      <c r="K2204" s="23" t="inlineStr">
        <is>
          <t>70x90 1/32</t>
        </is>
      </c>
      <c r="L2204" s="23" t="inlineStr">
        <is>
          <t>мяг</t>
        </is>
      </c>
      <c r="M2204" s="23" t="n">
        <v>288</v>
      </c>
      <c r="N2204" s="23" t="n">
        <v>2021</v>
      </c>
      <c r="O2204" s="23" t="n">
        <v>122</v>
      </c>
      <c r="P2204" s="23" t="n"/>
      <c r="Q2204" s="23" t="n"/>
      <c r="R2204" s="25" t="inlineStr">
        <is>
          <t>В попытке объехать пробку, Алина свернула на проселочную дорогу и увидела чудесный дом, обособленно стоящий на склоне холма, словно хозяин округи: леса, земли, неба. «Что нужно, чтобы жить в этом доме?» — спросила она и получила ответ: «Быть женой хозяина или любовницей». Все началось как шутка, розыгрыш, в котором каждый ждет, что первым отступит партнер, но шутка переросла в нечто серьезное. Алина влюбилась, и ей стало страшно, потому что она не знала, что чувствует к ней Максим, кто она для него?</t>
        </is>
      </c>
      <c r="S2204" s="26">
        <f>HYPERLINK("http://www.cnpol.ru/covers/19535.jpg","фото на сайте")</f>
        <v/>
      </c>
    </row>
    <row r="2205" ht="50.1" customHeight="1" s="3">
      <c r="A2205" s="23" t="n"/>
      <c r="B2205" s="24" t="inlineStr">
        <is>
          <t>19680</t>
        </is>
      </c>
      <c r="C2205" s="23" t="inlineStr">
        <is>
          <t>М ЖИ НОВ</t>
        </is>
      </c>
      <c r="D2205" s="23" t="inlineStr">
        <is>
          <t>Бузина А.А</t>
        </is>
      </c>
      <c r="E2205" s="23" t="inlineStr">
        <is>
          <t>Искусство честной любви</t>
        </is>
      </c>
      <c r="F2205" s="23" t="inlineStr">
        <is>
          <t>        </t>
        </is>
      </c>
      <c r="G2205" s="23" t="n">
        <v>186</v>
      </c>
      <c r="H2205" s="23" t="n">
        <v>10</v>
      </c>
      <c r="I2205" s="23" t="n">
        <v>10</v>
      </c>
      <c r="J2205" s="23" t="inlineStr">
        <is>
          <t>978-5-227-09437-7</t>
        </is>
      </c>
      <c r="K2205" s="23" t="inlineStr">
        <is>
          <t>70x90 1/32</t>
        </is>
      </c>
      <c r="L2205" s="23" t="inlineStr">
        <is>
          <t>мяг</t>
        </is>
      </c>
      <c r="M2205" s="23" t="n">
        <v>288</v>
      </c>
      <c r="N2205" s="23" t="n">
        <v>2021</v>
      </c>
      <c r="O2205" s="23" t="n">
        <v>122</v>
      </c>
      <c r="P2205" s="23" t="n"/>
      <c r="Q2205" s="23" t="n"/>
      <c r="R2205" s="25" t="inlineStr">
        <is>
          <t>Случайно попав на презентацию книги «Продай с потрохами» роскошного во всех отношениях Вадима Шумского, Люся Новикова неожиданно для себя самой вступила с ним в перепалку. Специалист в области маркетинга разозлил обычно робкую Люсю. А Вадим дерзость невзрачной незнакомки воспринял как вызов. И тут же предложил девушке стать ее персональным тренером, чтобы через короткое время превратить в качественный, раскрученный «продукт», востребованный и на рынке труда, и в сфере личных отношений. Ни дать ни взять новоявленный Пигмалион! По легенде, Пигмалион страстно влюбился в созданную им девушку. Люся не думала, что ей стоит опасаться притязаний Шумского. Скорее беспокоилась о том, как уберечь от разочарований свое сердце…</t>
        </is>
      </c>
      <c r="S2205" s="26">
        <f>HYPERLINK("http://www.cnpol.ru/covers/19680.jpg","фото на сайте")</f>
        <v/>
      </c>
    </row>
    <row r="2206" ht="50.1" customHeight="1" s="3">
      <c r="A2206" s="23" t="n"/>
      <c r="B2206" s="24" t="inlineStr">
        <is>
          <t>18726</t>
        </is>
      </c>
      <c r="C2206" s="23" t="inlineStr">
        <is>
          <t>М ЖИ НОВ</t>
        </is>
      </c>
      <c r="D2206" s="23" t="inlineStr">
        <is>
          <t>Краснова Т. А.</t>
        </is>
      </c>
      <c r="E2206" s="23" t="inlineStr">
        <is>
          <t>Лесная сказка</t>
        </is>
      </c>
      <c r="F2206" s="23" t="inlineStr">
        <is>
          <t>        </t>
        </is>
      </c>
      <c r="G2206" s="23" t="n">
        <v>186</v>
      </c>
      <c r="H2206" s="23" t="n">
        <v>10</v>
      </c>
      <c r="I2206" s="23" t="n">
        <v>40</v>
      </c>
      <c r="J2206" s="23" t="inlineStr">
        <is>
          <t>978-5-227-08687-7</t>
        </is>
      </c>
      <c r="K2206" s="23" t="inlineStr">
        <is>
          <t>70x90 1/32</t>
        </is>
      </c>
      <c r="L2206" s="23" t="inlineStr">
        <is>
          <t>мяг</t>
        </is>
      </c>
      <c r="M2206" s="23" t="n">
        <v>352</v>
      </c>
      <c r="N2206" s="23" t="n">
        <v>2019</v>
      </c>
      <c r="O2206" s="23" t="n">
        <v>146</v>
      </c>
      <c r="P2206" s="23" t="n"/>
      <c r="Q2206" s="23" t="n"/>
      <c r="R2206" s="25" t="inlineStr">
        <is>
          <t>Разношерстное общество, собравшееся под Новый год в доме отдыха «Лесная сказка», в недоумении — кто  эта одинокая девица с внешностью модели и почему уклоняется от общения? Родные тоже пытаются понять, что происходит с их Лизой. Почему то молчит, то раздражается без повода? Переживает разрыв со своим молодым человеком? Несправедливое увольнение со службы? Лиза действительно сосредоточена на своих невзгодах, и ей мало дела до окружающих. Пока не появляется Дмитрий Сергеевич — человек непростой судьбы, глубокий и честный, — а с ним и надежда на обновление жизни…</t>
        </is>
      </c>
      <c r="S2206" s="26">
        <f>HYPERLINK("http://www.cnpol.ru/covers/18726.jpg","фото на сайте")</f>
        <v/>
      </c>
    </row>
    <row r="2207" ht="50.1" customHeight="1" s="3">
      <c r="A2207" s="23" t="n"/>
      <c r="B2207" s="24" t="inlineStr">
        <is>
          <t>18778</t>
        </is>
      </c>
      <c r="C2207" s="23" t="inlineStr">
        <is>
          <t>М ЖИ НОВ</t>
        </is>
      </c>
      <c r="D2207" s="23" t="inlineStr">
        <is>
          <t>Краснова Т. А.</t>
        </is>
      </c>
      <c r="E2207" s="23" t="inlineStr">
        <is>
          <t>Любовь без страховки</t>
        </is>
      </c>
      <c r="F2207" s="23" t="inlineStr">
        <is>
          <t>        </t>
        </is>
      </c>
      <c r="G2207" s="23" t="n">
        <v>186</v>
      </c>
      <c r="H2207" s="23" t="n">
        <v>10</v>
      </c>
      <c r="I2207" s="23" t="n">
        <v>40</v>
      </c>
      <c r="J2207" s="23" t="inlineStr">
        <is>
          <t>978-5-227-08720-1</t>
        </is>
      </c>
      <c r="K2207" s="23" t="inlineStr">
        <is>
          <t>70x90 1/32</t>
        </is>
      </c>
      <c r="L2207" s="23" t="inlineStr">
        <is>
          <t>мяг</t>
        </is>
      </c>
      <c r="M2207" s="23" t="n">
        <v>288</v>
      </c>
      <c r="N2207" s="23" t="n">
        <v>2019</v>
      </c>
      <c r="O2207" s="23" t="n">
        <v>122</v>
      </c>
      <c r="P2207" s="23" t="n"/>
      <c r="Q2207" s="23" t="n"/>
      <c r="R2207" s="25" t="inlineStr">
        <is>
          <t>Внешне у Ирины и Романа все благополучно, а какие­то мелкие размолвки и ссоры по пустякам — в чьей семье их не бывает? Но Ирина чувствует, что все эти мелочи не случайны и что­то важное уходит из их с Романом счастливой жизни. Совместное короткое романтическое путешествие по красотам Золотого кольца должно, по мысли Ирины, дать возможность супругам сосредоточиться друг на друге, оживить чувства, отогнать ощущение тревоги за их брак. Но с самого начала все в этом путешествии идет не так, как задумано. Чужие люди, чужие мысли и эмоции вторгаются в замкнутый семейный мирок, и непонятно, к худу это или к добру.</t>
        </is>
      </c>
      <c r="S2207" s="26">
        <f>HYPERLINK("http://www.cnpol.ru/covers/18778.jpg","фото на сайте")</f>
        <v/>
      </c>
    </row>
    <row r="2208" ht="50.1" customHeight="1" s="3">
      <c r="A2208" s="23" t="n"/>
      <c r="B2208" s="24" t="inlineStr">
        <is>
          <t>19021</t>
        </is>
      </c>
      <c r="C2208" s="23" t="inlineStr">
        <is>
          <t>М ЖИ НОВ</t>
        </is>
      </c>
      <c r="D2208" s="23" t="inlineStr">
        <is>
          <t>Краснова Т. А.</t>
        </is>
      </c>
      <c r="E2208" s="23" t="inlineStr">
        <is>
          <t>Месяц в деревне</t>
        </is>
      </c>
      <c r="F2208" s="23" t="inlineStr">
        <is>
          <t>        </t>
        </is>
      </c>
      <c r="G2208" s="23" t="n">
        <v>186</v>
      </c>
      <c r="H2208" s="23" t="n">
        <v>10</v>
      </c>
      <c r="I2208" s="23" t="n">
        <v>40</v>
      </c>
      <c r="J2208" s="23" t="inlineStr">
        <is>
          <t>978-5-227-08958-8</t>
        </is>
      </c>
      <c r="K2208" s="23" t="inlineStr">
        <is>
          <t>70x90 1/32</t>
        </is>
      </c>
      <c r="L2208" s="23" t="inlineStr">
        <is>
          <t>мяг</t>
        </is>
      </c>
      <c r="M2208" s="23" t="n">
        <v>256</v>
      </c>
      <c r="N2208" s="23" t="n">
        <v>2020</v>
      </c>
      <c r="O2208" s="23" t="n">
        <v>108</v>
      </c>
      <c r="P2208" s="23" t="n"/>
      <c r="Q2208" s="23" t="n"/>
      <c r="R2208" s="25" t="n"/>
      <c r="S2208" s="26">
        <f>HYPERLINK("http://www.cnpol.ru/covers/19021.jpg","фото на сайте")</f>
        <v/>
      </c>
    </row>
    <row r="2209" ht="50.1" customHeight="1" s="3">
      <c r="A2209" s="23" t="n"/>
      <c r="B2209" s="24" t="inlineStr">
        <is>
          <t>18913</t>
        </is>
      </c>
      <c r="C2209" s="23" t="inlineStr">
        <is>
          <t>М ЖИ НОВ</t>
        </is>
      </c>
      <c r="D2209" s="23" t="inlineStr">
        <is>
          <t>Краснова Т. А.</t>
        </is>
      </c>
      <c r="E2209" s="23" t="inlineStr">
        <is>
          <t>Миражи счастья в маленьком городе</t>
        </is>
      </c>
      <c r="F2209" s="23" t="inlineStr">
        <is>
          <t>        </t>
        </is>
      </c>
      <c r="G2209" s="23" t="n">
        <v>186</v>
      </c>
      <c r="H2209" s="23" t="n">
        <v>10</v>
      </c>
      <c r="I2209" s="23" t="n">
        <v>20</v>
      </c>
      <c r="J2209" s="23" t="inlineStr">
        <is>
          <t>978-5-227-08836-9</t>
        </is>
      </c>
      <c r="K2209" s="23" t="inlineStr">
        <is>
          <t>70x90 1/32</t>
        </is>
      </c>
      <c r="L2209" s="23" t="inlineStr">
        <is>
          <t>мяг</t>
        </is>
      </c>
      <c r="M2209" s="23" t="n">
        <v>352</v>
      </c>
      <c r="N2209" s="23" t="n">
        <v>2019</v>
      </c>
      <c r="O2209" s="23" t="n">
        <v>146</v>
      </c>
      <c r="P2209" s="23" t="n"/>
      <c r="Q2209" s="23" t="n"/>
      <c r="R2209" s="25" t="n"/>
      <c r="S2209" s="26">
        <f>HYPERLINK("http://www.cnpol.ru/covers/18913.jpg","фото на сайте")</f>
        <v/>
      </c>
    </row>
    <row r="2210" ht="50.1" customHeight="1" s="3">
      <c r="A2210" s="23" t="n"/>
      <c r="B2210" s="24" t="inlineStr">
        <is>
          <t>19421</t>
        </is>
      </c>
      <c r="C2210" s="23" t="inlineStr">
        <is>
          <t>М ЖИ НОВ</t>
        </is>
      </c>
      <c r="D2210" s="23" t="inlineStr">
        <is>
          <t>Краснова Т. А.</t>
        </is>
      </c>
      <c r="E2210" s="23" t="inlineStr">
        <is>
          <t>Молчание любви</t>
        </is>
      </c>
      <c r="F2210" s="23" t="inlineStr">
        <is>
          <t>        </t>
        </is>
      </c>
      <c r="G2210" s="23" t="n">
        <v>186</v>
      </c>
      <c r="H2210" s="23" t="n">
        <v>10</v>
      </c>
      <c r="I2210" s="23" t="n">
        <v>20</v>
      </c>
      <c r="J2210" s="23" t="inlineStr">
        <is>
          <t>978-5-227-09231-1</t>
        </is>
      </c>
      <c r="K2210" s="23" t="inlineStr">
        <is>
          <t>70x90 1/32</t>
        </is>
      </c>
      <c r="L2210" s="23" t="inlineStr">
        <is>
          <t>мяг</t>
        </is>
      </c>
      <c r="M2210" s="23" t="n">
        <v>288</v>
      </c>
      <c r="N2210" s="23" t="n">
        <v>2020</v>
      </c>
      <c r="O2210" s="23" t="n">
        <v>122</v>
      </c>
      <c r="P2210" s="23" t="n"/>
      <c r="Q2210" s="23" t="n"/>
      <c r="R2210" s="25" t="n"/>
      <c r="S2210" s="26">
        <f>HYPERLINK("http://www.cnpol.ru/covers/19421.jpg","фото на сайте")</f>
        <v/>
      </c>
    </row>
    <row r="2211" ht="50.1" customHeight="1" s="3">
      <c r="A2211" s="23" t="n"/>
      <c r="B2211" s="24" t="inlineStr">
        <is>
          <t>19477</t>
        </is>
      </c>
      <c r="C2211" s="23" t="inlineStr">
        <is>
          <t>М ЖИ НОВ</t>
        </is>
      </c>
      <c r="D2211" s="23" t="inlineStr">
        <is>
          <t>Лаврова Д.Н</t>
        </is>
      </c>
      <c r="E2211" s="23" t="inlineStr">
        <is>
          <t>Море внутри</t>
        </is>
      </c>
      <c r="F2211" s="23" t="inlineStr">
        <is>
          <t>        </t>
        </is>
      </c>
      <c r="G2211" s="23" t="n">
        <v>186</v>
      </c>
      <c r="H2211" s="23" t="n">
        <v>10</v>
      </c>
      <c r="I2211" s="23" t="n">
        <v>8</v>
      </c>
      <c r="J2211" s="23" t="inlineStr">
        <is>
          <t>978-5-227-09283-0</t>
        </is>
      </c>
      <c r="K2211" s="23" t="inlineStr">
        <is>
          <t>70x90 1/32</t>
        </is>
      </c>
      <c r="L2211" s="23" t="inlineStr">
        <is>
          <t>мяг</t>
        </is>
      </c>
      <c r="M2211" s="23" t="n">
        <v>287</v>
      </c>
      <c r="N2211" s="23" t="n">
        <v>2021</v>
      </c>
      <c r="O2211" s="23" t="n">
        <v>122</v>
      </c>
      <c r="P2211" s="23" t="n"/>
      <c r="Q2211" s="23" t="n"/>
      <c r="R2211" s="25" t="n"/>
      <c r="S2211" s="26">
        <f>HYPERLINK("http://www.cnpol.ru/covers/19477.jpg","фото на сайте")</f>
        <v/>
      </c>
    </row>
    <row r="2212" ht="50.1" customHeight="1" s="3">
      <c r="A2212" s="23" t="n"/>
      <c r="B2212" s="24" t="inlineStr">
        <is>
          <t>18764</t>
        </is>
      </c>
      <c r="C2212" s="23" t="inlineStr">
        <is>
          <t>М ЖИ НОВ</t>
        </is>
      </c>
      <c r="D2212" s="23" t="inlineStr">
        <is>
          <t>Симонова Д.В</t>
        </is>
      </c>
      <c r="E2212" s="23" t="inlineStr">
        <is>
          <t>Нежная охота на ведьму</t>
        </is>
      </c>
      <c r="F2212" s="23" t="inlineStr">
        <is>
          <t>        </t>
        </is>
      </c>
      <c r="G2212" s="23" t="n">
        <v>186</v>
      </c>
      <c r="H2212" s="23" t="n">
        <v>10</v>
      </c>
      <c r="I2212" s="23" t="n">
        <v>40</v>
      </c>
      <c r="J2212" s="23" t="inlineStr">
        <is>
          <t>978-5-227-08722-5</t>
        </is>
      </c>
      <c r="K2212" s="23" t="inlineStr">
        <is>
          <t>70x90 1/32</t>
        </is>
      </c>
      <c r="L2212" s="23" t="inlineStr">
        <is>
          <t>мяг</t>
        </is>
      </c>
      <c r="M2212" s="23" t="n">
        <v>256</v>
      </c>
      <c r="N2212" s="23" t="n">
        <v>2019</v>
      </c>
      <c r="O2212" s="23" t="n">
        <v>110</v>
      </c>
      <c r="P2212" s="23" t="n"/>
      <c r="Q2212" s="23" t="n"/>
      <c r="R2212" s="25" t="n"/>
      <c r="S2212" s="26">
        <f>HYPERLINK("http://www.cnpol.ru/covers/18764.jpg","фото на сайте")</f>
        <v/>
      </c>
    </row>
    <row r="2213" ht="50.1" customHeight="1" s="3">
      <c r="A2213" s="23" t="n"/>
      <c r="B2213" s="24" t="inlineStr">
        <is>
          <t>20341</t>
        </is>
      </c>
      <c r="C2213" s="23" t="inlineStr">
        <is>
          <t>М ЖИ НОВ</t>
        </is>
      </c>
      <c r="D2213" s="23" t="inlineStr">
        <is>
          <t>Шрейбер Е.М.</t>
        </is>
      </c>
      <c r="E2213" s="23" t="inlineStr">
        <is>
          <t>Нет ни рая, ни ада</t>
        </is>
      </c>
      <c r="F2213" s="23" t="inlineStr">
        <is>
          <t>        </t>
        </is>
      </c>
      <c r="G2213" s="23" t="n">
        <v>186</v>
      </c>
      <c r="H2213" s="23" t="n">
        <v>10</v>
      </c>
      <c r="I2213" s="23" t="n">
        <v>10</v>
      </c>
      <c r="J2213" s="23" t="inlineStr">
        <is>
          <t>978-5-227-09748-4</t>
        </is>
      </c>
      <c r="K2213" s="23" t="inlineStr">
        <is>
          <t>70x90 1/32</t>
        </is>
      </c>
      <c r="L2213" s="23" t="inlineStr">
        <is>
          <t>мяг</t>
        </is>
      </c>
      <c r="M2213" s="23" t="n">
        <v>255</v>
      </c>
      <c r="N2213" s="23" t="n">
        <v>2022</v>
      </c>
      <c r="O2213" s="23" t="n">
        <v>110</v>
      </c>
      <c r="P2213" s="23" t="n"/>
      <c r="Q2213" s="23" t="n"/>
      <c r="R2213" s="25" t="n"/>
      <c r="S2213" s="26">
        <f>HYPERLINK("http://www.cnpol.ru/covers/20341.jpg","фото на сайте")</f>
        <v/>
      </c>
    </row>
    <row r="2214" ht="50.1" customHeight="1" s="3">
      <c r="A2214" s="23" t="n"/>
      <c r="B2214" s="24" t="inlineStr">
        <is>
          <t>18653</t>
        </is>
      </c>
      <c r="C2214" s="23" t="inlineStr">
        <is>
          <t>М ЖИ НОВ</t>
        </is>
      </c>
      <c r="D2214" s="23" t="inlineStr">
        <is>
          <t>Семенова Н.Н.</t>
        </is>
      </c>
      <c r="E2214" s="23" t="inlineStr">
        <is>
          <t>Нечаянный роман</t>
        </is>
      </c>
      <c r="F2214" s="23" t="inlineStr">
        <is>
          <t>        </t>
        </is>
      </c>
      <c r="G2214" s="23" t="n">
        <v>186</v>
      </c>
      <c r="H2214" s="23" t="n">
        <v>10</v>
      </c>
      <c r="I2214" s="23" t="n">
        <v>40</v>
      </c>
      <c r="J2214" s="23" t="inlineStr">
        <is>
          <t>978-5-227-08650-1</t>
        </is>
      </c>
      <c r="K2214" s="23" t="inlineStr">
        <is>
          <t>70x90 1/32</t>
        </is>
      </c>
      <c r="L2214" s="23" t="inlineStr">
        <is>
          <t>мяг</t>
        </is>
      </c>
      <c r="M2214" s="23" t="n">
        <v>288</v>
      </c>
      <c r="N2214" s="23" t="n">
        <v>2019</v>
      </c>
      <c r="O2214" s="23" t="n">
        <v>122</v>
      </c>
      <c r="P2214" s="23" t="n"/>
      <c r="Q2214" s="23" t="n"/>
      <c r="R2214" s="25" t="n"/>
      <c r="S2214" s="26">
        <f>HYPERLINK("http://www.cnpol.ru/covers/18653.jpg","фото на сайте")</f>
        <v/>
      </c>
    </row>
    <row r="2215" ht="50.1" customHeight="1" s="3">
      <c r="A2215" s="23" t="n"/>
      <c r="B2215" s="24" t="inlineStr">
        <is>
          <t>19551</t>
        </is>
      </c>
      <c r="C2215" s="23" t="inlineStr">
        <is>
          <t>М ЖИ НОВ</t>
        </is>
      </c>
      <c r="D2215" s="23" t="inlineStr">
        <is>
          <t>Яковлева А.Я</t>
        </is>
      </c>
      <c r="E2215" s="23" t="inlineStr">
        <is>
          <t>Одинокий мужчина с кошкой</t>
        </is>
      </c>
      <c r="F2215" s="23" t="inlineStr">
        <is>
          <t>        </t>
        </is>
      </c>
      <c r="G2215" s="23" t="n">
        <v>186</v>
      </c>
      <c r="H2215" s="23" t="n">
        <v>10</v>
      </c>
      <c r="I2215" s="23" t="n">
        <v>12</v>
      </c>
      <c r="J2215" s="23" t="inlineStr">
        <is>
          <t>978-5-227-09348-6</t>
        </is>
      </c>
      <c r="K2215" s="23" t="inlineStr">
        <is>
          <t>70x90 1/32</t>
        </is>
      </c>
      <c r="L2215" s="23" t="inlineStr">
        <is>
          <t>мяг</t>
        </is>
      </c>
      <c r="M2215" s="23" t="n">
        <v>288</v>
      </c>
      <c r="N2215" s="23" t="n">
        <v>2021</v>
      </c>
      <c r="O2215" s="23" t="n">
        <v>122</v>
      </c>
      <c r="P2215" s="23" t="n"/>
      <c r="Q2215" s="23" t="n"/>
      <c r="R2215" s="25" t="n"/>
      <c r="S2215" s="26">
        <f>HYPERLINK("http://www.cnpol.ru/covers/19551.jpg","фото на сайте")</f>
        <v/>
      </c>
    </row>
    <row r="2216" ht="50.1" customHeight="1" s="3">
      <c r="A2216" s="23" t="n"/>
      <c r="B2216" s="24" t="inlineStr">
        <is>
          <t>19718</t>
        </is>
      </c>
      <c r="C2216" s="23" t="inlineStr">
        <is>
          <t>М ЖИ НОВ</t>
        </is>
      </c>
      <c r="D2216" s="23" t="inlineStr">
        <is>
          <t>Наумова Э.</t>
        </is>
      </c>
      <c r="E2216" s="23" t="inlineStr">
        <is>
          <t>Оправдания Евы</t>
        </is>
      </c>
      <c r="F2216" s="23" t="inlineStr">
        <is>
          <t>        </t>
        </is>
      </c>
      <c r="G2216" s="23" t="n">
        <v>186</v>
      </c>
      <c r="H2216" s="23" t="n">
        <v>10</v>
      </c>
      <c r="I2216" s="23" t="n">
        <v>11</v>
      </c>
      <c r="J2216" s="23" t="inlineStr">
        <is>
          <t>978-5-227-09392-9</t>
        </is>
      </c>
      <c r="K2216" s="23" t="inlineStr">
        <is>
          <t>70x90 1/32</t>
        </is>
      </c>
      <c r="L2216" s="23" t="inlineStr">
        <is>
          <t>мяг</t>
        </is>
      </c>
      <c r="M2216" s="23" t="n">
        <v>288</v>
      </c>
      <c r="N2216" s="23" t="n">
        <v>2021</v>
      </c>
      <c r="O2216" s="23" t="n">
        <v>124</v>
      </c>
      <c r="P2216" s="23" t="n"/>
      <c r="Q2216" s="23" t="n"/>
      <c r="R2216" s="25" t="n"/>
      <c r="S2216" s="26">
        <f>HYPERLINK("http://www.cnpol.ru/covers/19718.jpg","фото на сайте")</f>
        <v/>
      </c>
    </row>
    <row r="2217" ht="50.1" customHeight="1" s="3">
      <c r="A2217" s="23" t="n"/>
      <c r="B2217" s="24" t="inlineStr">
        <is>
          <t>20166</t>
        </is>
      </c>
      <c r="C2217" s="23" t="inlineStr">
        <is>
          <t>М ЖИ НОВ</t>
        </is>
      </c>
      <c r="D2217" s="23" t="inlineStr">
        <is>
          <t>Шрейбер Е.М.</t>
        </is>
      </c>
      <c r="E2217" s="23" t="inlineStr">
        <is>
          <t>Поцелуй ведьмы</t>
        </is>
      </c>
      <c r="F2217" s="23" t="inlineStr">
        <is>
          <t>        </t>
        </is>
      </c>
      <c r="G2217" s="23" t="n">
        <v>186</v>
      </c>
      <c r="H2217" s="23" t="n">
        <v>10</v>
      </c>
      <c r="I2217" s="23" t="n">
        <v>20</v>
      </c>
      <c r="J2217" s="23" t="inlineStr">
        <is>
          <t>978-5-227-09627-2</t>
        </is>
      </c>
      <c r="K2217" s="23" t="inlineStr">
        <is>
          <t>70x90 1/32</t>
        </is>
      </c>
      <c r="L2217" s="23" t="inlineStr">
        <is>
          <t>мяг</t>
        </is>
      </c>
      <c r="M2217" s="23" t="n">
        <v>255</v>
      </c>
      <c r="N2217" s="23" t="n">
        <v>2022</v>
      </c>
      <c r="O2217" s="23" t="n">
        <v>110</v>
      </c>
      <c r="P2217" s="23" t="n"/>
      <c r="Q2217" s="23" t="n"/>
      <c r="R2217" s="25" t="n"/>
      <c r="S2217" s="26">
        <f>HYPERLINK("http://www.cnpol.ru/covers/20166.jpg","фото на сайте")</f>
        <v/>
      </c>
    </row>
    <row r="2218" ht="50.1" customHeight="1" s="3">
      <c r="A2218" s="23" t="n"/>
      <c r="B2218" s="24" t="inlineStr">
        <is>
          <t>19965</t>
        </is>
      </c>
      <c r="C2218" s="23" t="inlineStr">
        <is>
          <t>М ЖИ НОВ</t>
        </is>
      </c>
      <c r="D2218" s="23" t="inlineStr">
        <is>
          <t>Яковлева А.Я</t>
        </is>
      </c>
      <c r="E2218" s="23" t="inlineStr">
        <is>
          <t>Проделки камня желаний</t>
        </is>
      </c>
      <c r="F2218" s="23" t="inlineStr">
        <is>
          <t>        </t>
        </is>
      </c>
      <c r="G2218" s="23" t="n">
        <v>186</v>
      </c>
      <c r="H2218" s="23" t="n">
        <v>10</v>
      </c>
      <c r="I2218" s="23" t="n">
        <v>16</v>
      </c>
      <c r="J2218" s="23" t="inlineStr">
        <is>
          <t>978-5-227-09492-6</t>
        </is>
      </c>
      <c r="K2218" s="23" t="inlineStr">
        <is>
          <t>70x90 1/32</t>
        </is>
      </c>
      <c r="L2218" s="23" t="inlineStr">
        <is>
          <t>мяг</t>
        </is>
      </c>
      <c r="M2218" s="23" t="n">
        <v>285</v>
      </c>
      <c r="N2218" s="23" t="n">
        <v>2021</v>
      </c>
      <c r="O2218" s="23" t="n">
        <v>250</v>
      </c>
      <c r="P2218" s="23" t="n"/>
      <c r="Q2218" s="23" t="n"/>
      <c r="R2218" s="25" t="n"/>
      <c r="S2218" s="26">
        <f>HYPERLINK("http://www.cnpol.ru/covers/19965.jpg","фото на сайте")</f>
        <v/>
      </c>
    </row>
    <row r="2219" ht="50.1" customHeight="1" s="3">
      <c r="A2219" s="23" t="n"/>
      <c r="B2219" s="24" t="inlineStr">
        <is>
          <t>19323</t>
        </is>
      </c>
      <c r="C2219" s="23" t="inlineStr">
        <is>
          <t>М ЖИ НОВ</t>
        </is>
      </c>
      <c r="D2219" s="23" t="inlineStr">
        <is>
          <t>Наумова Э.</t>
        </is>
      </c>
      <c r="E2219" s="23" t="inlineStr">
        <is>
          <t>Слишком женская история</t>
        </is>
      </c>
      <c r="F2219" s="23" t="inlineStr">
        <is>
          <t>        </t>
        </is>
      </c>
      <c r="G2219" s="23" t="n">
        <v>186</v>
      </c>
      <c r="H2219" s="23" t="n">
        <v>10</v>
      </c>
      <c r="I2219" s="23" t="n">
        <v>40</v>
      </c>
      <c r="J2219" s="23" t="inlineStr">
        <is>
          <t>978-5-227-09091-1</t>
        </is>
      </c>
      <c r="K2219" s="23" t="inlineStr">
        <is>
          <t>70x90 1/32</t>
        </is>
      </c>
      <c r="L2219" s="23" t="inlineStr">
        <is>
          <t>мяг</t>
        </is>
      </c>
      <c r="M2219" s="23" t="n">
        <v>288</v>
      </c>
      <c r="N2219" s="23" t="n">
        <v>2020</v>
      </c>
      <c r="O2219" s="23" t="n">
        <v>124</v>
      </c>
      <c r="P2219" s="23" t="n"/>
      <c r="Q2219" s="23" t="n"/>
      <c r="R2219" s="25" t="n"/>
      <c r="S2219" s="26">
        <f>HYPERLINK("http://www.cnpol.ru/covers/19323.jpg","фото на сайте")</f>
        <v/>
      </c>
    </row>
    <row r="2220" ht="50.1" customHeight="1" s="3">
      <c r="A2220" s="23" t="n"/>
      <c r="B2220" s="24" t="inlineStr">
        <is>
          <t>18610</t>
        </is>
      </c>
      <c r="C2220" s="23" t="inlineStr">
        <is>
          <t>М ЖИ НОВ</t>
        </is>
      </c>
      <c r="D2220" s="23" t="inlineStr">
        <is>
          <t>Наумова Э.</t>
        </is>
      </c>
      <c r="E2220" s="23" t="inlineStr">
        <is>
          <t>Соседи по Москве</t>
        </is>
      </c>
      <c r="F2220" s="23" t="inlineStr">
        <is>
          <t>        </t>
        </is>
      </c>
      <c r="G2220" s="23" t="n">
        <v>186</v>
      </c>
      <c r="H2220" s="23" t="n">
        <v>10</v>
      </c>
      <c r="I2220" s="23" t="n">
        <v>40</v>
      </c>
      <c r="J2220" s="23" t="inlineStr">
        <is>
          <t>978-5-227-08529-0</t>
        </is>
      </c>
      <c r="K2220" s="23" t="inlineStr">
        <is>
          <t>70x90 1/32</t>
        </is>
      </c>
      <c r="L2220" s="23" t="inlineStr">
        <is>
          <t>мяг</t>
        </is>
      </c>
      <c r="M2220" s="23" t="n">
        <v>256</v>
      </c>
      <c r="N2220" s="23" t="n">
        <v>2019</v>
      </c>
      <c r="O2220" s="23" t="n">
        <v>110</v>
      </c>
      <c r="P2220" s="23" t="n"/>
      <c r="Q2220" s="23" t="n"/>
      <c r="R2220" s="25" t="n"/>
      <c r="S2220" s="26">
        <f>HYPERLINK("http://www.cnpol.ru/covers/18610.jpg","фото на сайте")</f>
        <v/>
      </c>
    </row>
    <row r="2221" ht="50.1" customHeight="1" s="3">
      <c r="A2221" s="23" t="n"/>
      <c r="B2221" s="24" t="inlineStr">
        <is>
          <t>20418</t>
        </is>
      </c>
      <c r="C2221" s="23" t="inlineStr">
        <is>
          <t>М ЖИ НОВ</t>
        </is>
      </c>
      <c r="D2221" s="23" t="inlineStr">
        <is>
          <t>Доманчук Н.А.</t>
        </is>
      </c>
      <c r="E2221" s="23" t="inlineStr">
        <is>
          <t>Тариф на счастье</t>
        </is>
      </c>
      <c r="F2221" s="23" t="inlineStr">
        <is>
          <t>        </t>
        </is>
      </c>
      <c r="G2221" s="23" t="n">
        <v>186</v>
      </c>
      <c r="H2221" s="23" t="n">
        <v>10</v>
      </c>
      <c r="I2221" s="23" t="n">
        <v>8</v>
      </c>
      <c r="J2221" s="23" t="inlineStr">
        <is>
          <t>978-5-227-09640-1</t>
        </is>
      </c>
      <c r="K2221" s="23" t="inlineStr">
        <is>
          <t>70x90 1/32</t>
        </is>
      </c>
      <c r="L2221" s="23" t="inlineStr">
        <is>
          <t>мяг</t>
        </is>
      </c>
      <c r="M2221" s="23" t="n">
        <v>319</v>
      </c>
      <c r="N2221" s="23" t="n">
        <v>2022</v>
      </c>
      <c r="O2221" s="23" t="n">
        <v>163</v>
      </c>
      <c r="P2221" s="23" t="n"/>
      <c r="Q2221" s="23" t="n"/>
      <c r="R2221" s="25" t="inlineStr">
        <is>
          <t>Алена была в семье нелюбимым ребенком, все детство на нее сыпались побои и проклятия. Окончив школу, она сбежала из дома и начала новую жизнь. Но у невзрачной, неуверенной в себе девушки было мало шансов на счастье. К яркому, красивому Диме Алена потянулась всей душой, словно почувствовала в молодом, уверенном в себе мужчине — любимце женщин — глубокую, затаенную боль. Но он, успешный бизнесмен, всего добившийся сам, и в мыслях не допускал ответить на чувство девушки, презирая ее покорную бесхребетность. Но любовь все терпит, все превозмогает, все прощает и, порой, находит неожиданные пути к израненному сердцу любимого человека…</t>
        </is>
      </c>
      <c r="S2221" s="26">
        <f>HYPERLINK("http://www.cnpol.ru/covers/20418.jpg","фото на сайте")</f>
        <v/>
      </c>
    </row>
    <row r="2222" ht="50.1" customHeight="1" s="3">
      <c r="A2222" s="23" t="n"/>
      <c r="B2222" s="24" t="inlineStr">
        <is>
          <t>18609</t>
        </is>
      </c>
      <c r="C2222" s="23" t="inlineStr">
        <is>
          <t>М ЖИ НОВ</t>
        </is>
      </c>
      <c r="D2222" s="23" t="inlineStr">
        <is>
          <t>Краснова Т. А.</t>
        </is>
      </c>
      <c r="E2222" s="23" t="inlineStr">
        <is>
          <t>Территория юности</t>
        </is>
      </c>
      <c r="F2222" s="23" t="inlineStr">
        <is>
          <t>        </t>
        </is>
      </c>
      <c r="G2222" s="23" t="n">
        <v>186</v>
      </c>
      <c r="H2222" s="23" t="n">
        <v>10</v>
      </c>
      <c r="I2222" s="23" t="n">
        <v>40</v>
      </c>
      <c r="J2222" s="23" t="inlineStr">
        <is>
          <t>978-5-227-08569-6</t>
        </is>
      </c>
      <c r="K2222" s="23" t="inlineStr">
        <is>
          <t>70x90 1/32</t>
        </is>
      </c>
      <c r="L2222" s="23" t="inlineStr">
        <is>
          <t>мяг</t>
        </is>
      </c>
      <c r="M2222" s="23" t="n">
        <v>256</v>
      </c>
      <c r="N2222" s="23" t="n">
        <v>2019</v>
      </c>
      <c r="O2222" s="23" t="n">
        <v>110</v>
      </c>
      <c r="P2222" s="23" t="n"/>
      <c r="Q2222" s="23" t="n"/>
      <c r="R2222" s="25" t="n"/>
      <c r="S2222" s="26">
        <f>HYPERLINK("http://www.cnpol.ru/covers/18609.jpg","фото на сайте")</f>
        <v/>
      </c>
    </row>
    <row r="2223" ht="50.1" customHeight="1" s="3">
      <c r="A2223" s="23" t="n"/>
      <c r="B2223" s="24" t="inlineStr">
        <is>
          <t>19138</t>
        </is>
      </c>
      <c r="C2223" s="23" t="inlineStr">
        <is>
          <t>М ЖИ НОВ</t>
        </is>
      </c>
      <c r="D2223" s="23" t="inlineStr">
        <is>
          <t>Симонова Д.В</t>
        </is>
      </c>
      <c r="E2223" s="23" t="inlineStr">
        <is>
          <t>Тетя Пеларгония и тайна рода</t>
        </is>
      </c>
      <c r="F2223" s="23" t="inlineStr">
        <is>
          <t>        </t>
        </is>
      </c>
      <c r="G2223" s="23" t="n">
        <v>186</v>
      </c>
      <c r="H2223" s="23" t="n">
        <v>10</v>
      </c>
      <c r="I2223" s="23" t="n">
        <v>40</v>
      </c>
      <c r="J2223" s="23" t="inlineStr">
        <is>
          <t>978-5-227-08980-9</t>
        </is>
      </c>
      <c r="K2223" s="23" t="inlineStr">
        <is>
          <t>70x90 1/32</t>
        </is>
      </c>
      <c r="L2223" s="23" t="inlineStr">
        <is>
          <t>мяг</t>
        </is>
      </c>
      <c r="M2223" s="23" t="n">
        <v>256</v>
      </c>
      <c r="N2223" s="23" t="n">
        <v>2020</v>
      </c>
      <c r="O2223" s="23" t="n">
        <v>110</v>
      </c>
      <c r="P2223" s="23" t="n"/>
      <c r="Q2223" s="23" t="n"/>
      <c r="R2223" s="25" t="n"/>
      <c r="S2223" s="26">
        <f>HYPERLINK("http://www.cnpol.ru/covers/19138.jpg","фото на сайте")</f>
        <v/>
      </c>
    </row>
    <row r="2224" ht="50.1" customHeight="1" s="3">
      <c r="A2224" s="23" t="n"/>
      <c r="B2224" s="24" t="inlineStr">
        <is>
          <t>20006</t>
        </is>
      </c>
      <c r="C2224" s="23" t="inlineStr">
        <is>
          <t>М ЖИ НОВ</t>
        </is>
      </c>
      <c r="D2224" s="23" t="inlineStr">
        <is>
          <t>Лаврова Д.Н</t>
        </is>
      </c>
      <c r="E2224" s="23" t="inlineStr">
        <is>
          <t>Тридцать на двоих</t>
        </is>
      </c>
      <c r="F2224" s="23" t="inlineStr">
        <is>
          <t>        </t>
        </is>
      </c>
      <c r="G2224" s="23" t="n">
        <v>186</v>
      </c>
      <c r="H2224" s="23" t="n">
        <v>10</v>
      </c>
      <c r="I2224" s="23" t="n">
        <v>16</v>
      </c>
      <c r="J2224" s="23" t="inlineStr">
        <is>
          <t>978-5-227-09626-5</t>
        </is>
      </c>
      <c r="K2224" s="23" t="inlineStr">
        <is>
          <t>70x90 1/32</t>
        </is>
      </c>
      <c r="L2224" s="23" t="inlineStr">
        <is>
          <t>мяг</t>
        </is>
      </c>
      <c r="M2224" s="23" t="n">
        <v>288</v>
      </c>
      <c r="N2224" s="23" t="n">
        <v>2021</v>
      </c>
      <c r="O2224" s="23" t="n">
        <v>122</v>
      </c>
      <c r="P2224" s="23" t="n"/>
      <c r="Q2224" s="23" t="n"/>
      <c r="R2224" s="25" t="n"/>
      <c r="S2224" s="26">
        <f>HYPERLINK("http://www.cnpol.ru/covers/20006.jpg","фото на сайте")</f>
        <v/>
      </c>
    </row>
    <row r="2225" ht="50.1" customHeight="1" s="3">
      <c r="A2225" s="23" t="n"/>
      <c r="B2225" s="24" t="inlineStr">
        <is>
          <t>19813</t>
        </is>
      </c>
      <c r="C2225" s="23" t="inlineStr">
        <is>
          <t>М ЖИ НОВ</t>
        </is>
      </c>
      <c r="D2225" s="23" t="inlineStr">
        <is>
          <t>Семенова Н.Н.</t>
        </is>
      </c>
      <c r="E2225" s="23" t="inlineStr">
        <is>
          <t>У старых грехов тени длинные</t>
        </is>
      </c>
      <c r="F2225" s="23" t="inlineStr">
        <is>
          <t>        </t>
        </is>
      </c>
      <c r="G2225" s="23" t="n">
        <v>186</v>
      </c>
      <c r="H2225" s="23" t="n">
        <v>10</v>
      </c>
      <c r="I2225" s="23" t="n">
        <v>11</v>
      </c>
      <c r="J2225" s="23" t="inlineStr">
        <is>
          <t>978-5-227-09582-4</t>
        </is>
      </c>
      <c r="K2225" s="23" t="inlineStr">
        <is>
          <t>70x90 1/32</t>
        </is>
      </c>
      <c r="L2225" s="23" t="inlineStr">
        <is>
          <t>мяг</t>
        </is>
      </c>
      <c r="M2225" s="23" t="n">
        <v>288</v>
      </c>
      <c r="N2225" s="23" t="n">
        <v>2021</v>
      </c>
      <c r="O2225" s="23" t="n">
        <v>122</v>
      </c>
      <c r="P2225" s="23" t="n"/>
      <c r="Q2225" s="23" t="n"/>
      <c r="R2225" s="25" t="n"/>
      <c r="S2225" s="26">
        <f>HYPERLINK("http://www.cnpol.ru/covers/19813.jpg","фото на сайте")</f>
        <v/>
      </c>
    </row>
    <row r="2226" ht="50.1" customHeight="1" s="3">
      <c r="A2226" s="23" t="n"/>
      <c r="B2226" s="24" t="inlineStr">
        <is>
          <t>20755</t>
        </is>
      </c>
      <c r="C2226" s="23" t="inlineStr">
        <is>
          <t>М ЖИ НОВ</t>
        </is>
      </c>
      <c r="D2226" s="23" t="inlineStr">
        <is>
          <t>Яковлева А.Я</t>
        </is>
      </c>
      <c r="E2226" s="23" t="inlineStr">
        <is>
          <t>Урок для бизнесвумен</t>
        </is>
      </c>
      <c r="F2226" s="23" t="inlineStr">
        <is>
          <t>        </t>
        </is>
      </c>
      <c r="G2226" s="23" t="n">
        <v>186</v>
      </c>
      <c r="H2226" s="23" t="n">
        <v>10</v>
      </c>
      <c r="I2226" s="23" t="n">
        <v>10</v>
      </c>
      <c r="J2226" s="23" t="inlineStr">
        <is>
          <t>978-5-227-10454-0</t>
        </is>
      </c>
      <c r="K2226" s="23" t="inlineStr">
        <is>
          <t>70x90 1/32</t>
        </is>
      </c>
      <c r="L2226" s="23" t="inlineStr">
        <is>
          <t>мяг</t>
        </is>
      </c>
      <c r="M2226" s="23" t="n">
        <v>317</v>
      </c>
      <c r="N2226" s="23" t="n">
        <v>2023</v>
      </c>
      <c r="O2226" s="23" t="n">
        <v>162</v>
      </c>
      <c r="P2226" s="23" t="n"/>
      <c r="Q2226" s="23" t="n"/>
      <c r="R2226" s="25" t="inlineStr">
        <is>
          <t>Арсений Ратников был страшно недоволен появлением Елены Векшиной в его отделе. Надеясь избавиться от нее, он стал выискивать недостатки в работе молодой сотрудницы. Но, присмотревшись к несносной выскочке внимательнее, Ратников обнаружил, что молодая женщина профессиональна и умна, а кроме того, в ее личности обнаружились загадочные глубины. Иногда Арсений замечал в ее глазах печаль, а то вдруг скромница и отличница показывала зубы и демонстрировала стальную волю. Ратников уговаривал себя, что у него к Векшиной чисто исследовательский интерес, но хитрая Елена умудрилась проникнуть в душу и в мысли Арсения, и не стало ему от нее покоя ни днем  ни ночью…</t>
        </is>
      </c>
      <c r="S2226" s="26">
        <f>HYPERLINK("http://www.cnpol.ru/covers/20755.jpg","фото на сайте")</f>
        <v/>
      </c>
    </row>
    <row r="2227" ht="50.1" customHeight="1" s="3">
      <c r="A2227" s="23" t="n"/>
      <c r="B2227" s="24" t="inlineStr">
        <is>
          <t>7239</t>
        </is>
      </c>
      <c r="C2227" s="23" t="inlineStr">
        <is>
          <t>М ЗР+</t>
        </is>
      </c>
      <c r="D2227" s="23" t="inlineStr">
        <is>
          <t>Петров М.</t>
        </is>
      </c>
      <c r="E2227" s="23" t="inlineStr">
        <is>
          <t>Гончаров попадает в притон</t>
        </is>
      </c>
      <c r="F2227" s="23" t="inlineStr">
        <is>
          <t>        </t>
        </is>
      </c>
      <c r="G2227" s="23" t="n">
        <v>168</v>
      </c>
      <c r="H2227" s="23" t="n">
        <v>10</v>
      </c>
      <c r="I2227" s="23" t="n">
        <v>20</v>
      </c>
      <c r="J2227" s="23" t="inlineStr">
        <is>
          <t>5-9524-2285-3</t>
        </is>
      </c>
      <c r="K2227" s="23" t="inlineStr">
        <is>
          <t>70x90 1/32</t>
        </is>
      </c>
      <c r="L2227" s="23" t="inlineStr">
        <is>
          <t>мяг</t>
        </is>
      </c>
      <c r="M2227" s="23" t="n">
        <v>287</v>
      </c>
      <c r="N2227" s="23" t="n">
        <v>2008</v>
      </c>
      <c r="O2227" s="23" t="n">
        <v>120</v>
      </c>
      <c r="P2227" s="23" t="n"/>
      <c r="Q2227" s="23" t="n"/>
      <c r="R2227" s="25" t="inlineStr">
        <is>
          <t>Непредвиденные обстоятельства подкарауливают частного сыщика Константина Гончарова на каждом шагу. Но богатый опыт бывшего следователя, интуиция и юмор всегда выручают Костю, где бы он ни находился. В повести "Гончаров попадает в притон" даже переодевается в женское платье, чтобы проникнуть в логово наркодельцов.</t>
        </is>
      </c>
      <c r="S2227" s="26">
        <f>HYPERLINK("http://www.cnpol.ru/covers/7239.jpg","фото на сайте")</f>
        <v/>
      </c>
    </row>
    <row r="2228" ht="50.1" customHeight="1" s="3">
      <c r="A2228" s="23" t="n"/>
      <c r="B2228" s="24" t="inlineStr">
        <is>
          <t>7401</t>
        </is>
      </c>
      <c r="C2228" s="23" t="inlineStr">
        <is>
          <t>М ЗР+</t>
        </is>
      </c>
      <c r="D2228" s="23" t="inlineStr">
        <is>
          <t>Петров М.</t>
        </is>
      </c>
      <c r="E2228" s="23" t="inlineStr">
        <is>
          <t>Гончаров распутывает узел</t>
        </is>
      </c>
      <c r="F2228" s="23" t="inlineStr">
        <is>
          <t>        </t>
        </is>
      </c>
      <c r="G2228" s="23" t="n">
        <v>168</v>
      </c>
      <c r="H2228" s="23" t="n">
        <v>10</v>
      </c>
      <c r="I2228" s="23" t="n">
        <v>24</v>
      </c>
      <c r="J2228" s="23" t="inlineStr">
        <is>
          <t>5-9524-2442-2</t>
        </is>
      </c>
      <c r="K2228" s="23" t="inlineStr">
        <is>
          <t>70x90 1/32</t>
        </is>
      </c>
      <c r="L2228" s="23" t="inlineStr">
        <is>
          <t>мяг</t>
        </is>
      </c>
      <c r="M2228" s="23" t="n">
        <v>316</v>
      </c>
      <c r="N2228" s="23" t="n">
        <v>2007</v>
      </c>
      <c r="O2228" s="23" t="n">
        <v>138</v>
      </c>
      <c r="P2228" s="23" t="n"/>
      <c r="Q2228" s="23" t="n"/>
      <c r="R2228" s="25" t="inlineStr">
        <is>
          <t>Частному сыщику Константину Гончарову, похоже, на роду написано попадать в серьезные житейские передряги. В повести "Гончаров распутывает узел" он берется узнать причину неожиданного самоубийства преуспевающего бизнесмена и счастливого семьянина и разоблачает кровавую аферу...</t>
        </is>
      </c>
      <c r="S2228" s="26">
        <f>HYPERLINK("http://www.cnpol.ru/covers/7401.jpg","фото на сайте")</f>
        <v/>
      </c>
    </row>
    <row r="2229" ht="50.1" customHeight="1" s="3">
      <c r="A2229" s="23" t="n"/>
      <c r="B2229" s="24" t="inlineStr">
        <is>
          <t>10205</t>
        </is>
      </c>
      <c r="C2229" s="23" t="inlineStr">
        <is>
          <t>М ЗР+</t>
        </is>
      </c>
      <c r="D2229" s="23" t="inlineStr">
        <is>
          <t>Млечин Л.М.</t>
        </is>
      </c>
      <c r="E2229" s="23" t="inlineStr">
        <is>
          <t>Медовая ловушка</t>
        </is>
      </c>
      <c r="F2229" s="23" t="inlineStr">
        <is>
          <t>        </t>
        </is>
      </c>
      <c r="G2229" s="23" t="n">
        <v>168</v>
      </c>
      <c r="H2229" s="23" t="n">
        <v>10</v>
      </c>
      <c r="I2229" s="23" t="n">
        <v>20</v>
      </c>
      <c r="J2229" s="23" t="inlineStr">
        <is>
          <t>978-5-9524-3409-7</t>
        </is>
      </c>
      <c r="K2229" s="23" t="inlineStr">
        <is>
          <t>70x90 1/32</t>
        </is>
      </c>
      <c r="L2229" s="23" t="inlineStr">
        <is>
          <t>мяг</t>
        </is>
      </c>
      <c r="M2229" s="23" t="n">
        <v>287</v>
      </c>
      <c r="N2229" s="23" t="n">
        <v>2008</v>
      </c>
      <c r="O2229" s="23" t="n">
        <v>118</v>
      </c>
      <c r="P2229" s="23" t="n"/>
      <c r="Q2229" s="23" t="n"/>
      <c r="R2229" s="25" t="n"/>
      <c r="S2229" s="26">
        <f>HYPERLINK("http://www.cnpol.ru/covers/10205.jpg","фото на сайте")</f>
        <v/>
      </c>
    </row>
    <row r="2230" ht="50.1" customHeight="1" s="3">
      <c r="A2230" s="23" t="n"/>
      <c r="B2230" s="24" t="inlineStr">
        <is>
          <t>10217</t>
        </is>
      </c>
      <c r="C2230" s="23" t="inlineStr">
        <is>
          <t>М ЗР+</t>
        </is>
      </c>
      <c r="D2230" s="23" t="inlineStr">
        <is>
          <t>Млечин Л.М.</t>
        </is>
      </c>
      <c r="E2230" s="23" t="inlineStr">
        <is>
          <t>Место где убивают хороших мальчиков</t>
        </is>
      </c>
      <c r="F2230" s="23" t="inlineStr">
        <is>
          <t>        </t>
        </is>
      </c>
      <c r="G2230" s="23" t="n">
        <v>168</v>
      </c>
      <c r="H2230" s="23" t="n">
        <v>10</v>
      </c>
      <c r="I2230" s="23" t="n">
        <v>20</v>
      </c>
      <c r="J2230" s="23" t="inlineStr">
        <is>
          <t>978-5-9524-3428-8</t>
        </is>
      </c>
      <c r="K2230" s="23" t="inlineStr">
        <is>
          <t>70x90 1/32</t>
        </is>
      </c>
      <c r="L2230" s="23" t="inlineStr">
        <is>
          <t>мяг</t>
        </is>
      </c>
      <c r="M2230" s="23" t="n">
        <v>287</v>
      </c>
      <c r="N2230" s="23" t="n">
        <v>2008</v>
      </c>
      <c r="O2230" s="23" t="n">
        <v>122</v>
      </c>
      <c r="P2230" s="23" t="n"/>
      <c r="Q2230" s="23" t="n"/>
      <c r="R2230" s="25" t="n"/>
      <c r="S2230" s="26">
        <f>HYPERLINK("http://www.cnpol.ru/covers/10217.jpg","фото на сайте")</f>
        <v/>
      </c>
    </row>
    <row r="2231" ht="50.1" customHeight="1" s="3">
      <c r="A2231" s="23" t="n"/>
      <c r="B2231" s="24" t="inlineStr">
        <is>
          <t>7844</t>
        </is>
      </c>
      <c r="C2231" s="23" t="inlineStr">
        <is>
          <t>М ЗР+</t>
        </is>
      </c>
      <c r="D2231" s="23" t="inlineStr">
        <is>
          <t>Гладкий В.</t>
        </is>
      </c>
      <c r="E2231" s="23" t="inlineStr">
        <is>
          <t>Наперегонки со смертью</t>
        </is>
      </c>
      <c r="F2231" s="23" t="inlineStr">
        <is>
          <t>        </t>
        </is>
      </c>
      <c r="G2231" s="23" t="n">
        <v>123</v>
      </c>
      <c r="H2231" s="23" t="n">
        <v>10</v>
      </c>
      <c r="I2231" s="23" t="n">
        <v>20</v>
      </c>
      <c r="J2231" s="23" t="inlineStr">
        <is>
          <t>978-5-9524-2742-6</t>
        </is>
      </c>
      <c r="K2231" s="23" t="inlineStr">
        <is>
          <t>70x90 1/32</t>
        </is>
      </c>
      <c r="L2231" s="23" t="inlineStr">
        <is>
          <t>мяг</t>
        </is>
      </c>
      <c r="M2231" s="23" t="n">
        <v>381</v>
      </c>
      <c r="N2231" s="23" t="n">
        <v>2008</v>
      </c>
      <c r="O2231" s="23" t="n">
        <v>158</v>
      </c>
      <c r="P2231" s="23" t="n"/>
      <c r="Q2231" s="23" t="n"/>
      <c r="R2231" s="25" t="n"/>
      <c r="S2231" s="26">
        <f>HYPERLINK("http://www.cnpol.ru/covers/7844.jpg","фото на сайте")</f>
        <v/>
      </c>
    </row>
    <row r="2232" ht="50.1" customHeight="1" s="3">
      <c r="A2232" s="23" t="n"/>
      <c r="B2232" s="24" t="inlineStr">
        <is>
          <t>10811</t>
        </is>
      </c>
      <c r="C2232" s="23" t="inlineStr">
        <is>
          <t>М ЗР+</t>
        </is>
      </c>
      <c r="D2232" s="23" t="inlineStr">
        <is>
          <t>Гладкий В.</t>
        </is>
      </c>
      <c r="E2232" s="23" t="inlineStr">
        <is>
          <t>Невеста из USA</t>
        </is>
      </c>
      <c r="F2232" s="23" t="inlineStr">
        <is>
          <t>        </t>
        </is>
      </c>
      <c r="G2232" s="23" t="n">
        <v>168</v>
      </c>
      <c r="H2232" s="23" t="n">
        <v>10</v>
      </c>
      <c r="I2232" s="23" t="n">
        <v>20</v>
      </c>
      <c r="J2232" s="23" t="inlineStr">
        <is>
          <t>978-5-9524-3886-6</t>
        </is>
      </c>
      <c r="K2232" s="23" t="inlineStr">
        <is>
          <t>70x90 1/32</t>
        </is>
      </c>
      <c r="L2232" s="23" t="inlineStr">
        <is>
          <t>мяг</t>
        </is>
      </c>
      <c r="M2232" s="23" t="n">
        <v>348</v>
      </c>
      <c r="N2232" s="23" t="n">
        <v>2008</v>
      </c>
      <c r="O2232" s="23" t="n">
        <v>144</v>
      </c>
      <c r="P2232" s="23" t="n"/>
      <c r="Q2232" s="23" t="n"/>
      <c r="R2232" s="25" t="n"/>
      <c r="S2232" s="26">
        <f>HYPERLINK("http://www.cnpol.ru/covers/10811.jpg","фото на сайте")</f>
        <v/>
      </c>
    </row>
    <row r="2233" ht="50.1" customHeight="1" s="3">
      <c r="A2233" s="23" t="n"/>
      <c r="B2233" s="24" t="inlineStr">
        <is>
          <t>10301</t>
        </is>
      </c>
      <c r="C2233" s="23" t="inlineStr">
        <is>
          <t>М ЗР+</t>
        </is>
      </c>
      <c r="D2233" s="23" t="inlineStr">
        <is>
          <t>Млечин Л.М.</t>
        </is>
      </c>
      <c r="E2233" s="23" t="inlineStr">
        <is>
          <t>Ниндзя, специальное назначение</t>
        </is>
      </c>
      <c r="F2233" s="23" t="inlineStr">
        <is>
          <t>        </t>
        </is>
      </c>
      <c r="G2233" s="23" t="n">
        <v>168</v>
      </c>
      <c r="H2233" s="23" t="n">
        <v>10</v>
      </c>
      <c r="I2233" s="23" t="n">
        <v>20</v>
      </c>
      <c r="J2233" s="23" t="inlineStr">
        <is>
          <t>978-5-9524-3460-8</t>
        </is>
      </c>
      <c r="K2233" s="23" t="inlineStr">
        <is>
          <t>70x90 1/32</t>
        </is>
      </c>
      <c r="L2233" s="23" t="inlineStr">
        <is>
          <t>мяг</t>
        </is>
      </c>
      <c r="M2233" s="23" t="n">
        <v>319</v>
      </c>
      <c r="N2233" s="23" t="n">
        <v>2008</v>
      </c>
      <c r="O2233" s="23" t="n">
        <v>130</v>
      </c>
      <c r="P2233" s="23" t="n"/>
      <c r="Q2233" s="23" t="n"/>
      <c r="R2233" s="25" t="n"/>
      <c r="S2233" s="26">
        <f>HYPERLINK("http://www.cnpol.ru/covers/10301.jpg","фото на сайте")</f>
        <v/>
      </c>
    </row>
    <row r="2234" ht="50.1" customHeight="1" s="3">
      <c r="A2234" s="23" t="n"/>
      <c r="B2234" s="24" t="inlineStr">
        <is>
          <t>7559</t>
        </is>
      </c>
      <c r="C2234" s="23" t="inlineStr">
        <is>
          <t>М ЗР+</t>
        </is>
      </c>
      <c r="D2234" s="23" t="inlineStr">
        <is>
          <t>Гладкий В.</t>
        </is>
      </c>
      <c r="E2234" s="23" t="inlineStr">
        <is>
          <t>Обреченный убивать</t>
        </is>
      </c>
      <c r="F2234" s="23" t="inlineStr">
        <is>
          <t>        </t>
        </is>
      </c>
      <c r="G2234" s="23" t="n">
        <v>168</v>
      </c>
      <c r="H2234" s="23" t="n">
        <v>10</v>
      </c>
      <c r="I2234" s="23" t="n">
        <v>20</v>
      </c>
      <c r="J2234" s="23" t="inlineStr">
        <is>
          <t>5-9524-2551-8</t>
        </is>
      </c>
      <c r="K2234" s="23" t="inlineStr">
        <is>
          <t>70x90 1/32</t>
        </is>
      </c>
      <c r="L2234" s="23" t="inlineStr">
        <is>
          <t>мяг</t>
        </is>
      </c>
      <c r="M2234" s="23" t="n">
        <v>445</v>
      </c>
      <c r="N2234" s="23" t="n">
        <v>2008</v>
      </c>
      <c r="O2234" s="23" t="n">
        <v>190</v>
      </c>
      <c r="P2234" s="23" t="n"/>
      <c r="Q2234" s="23" t="n"/>
      <c r="R2234" s="25" t="n"/>
      <c r="S2234" s="26">
        <f>HYPERLINK("http://www.cnpol.ru/covers/7559.jpg","фото на сайте")</f>
        <v/>
      </c>
    </row>
    <row r="2235" ht="50.1" customHeight="1" s="3">
      <c r="A2235" s="23" t="n"/>
      <c r="B2235" s="24" t="inlineStr">
        <is>
          <t>10839</t>
        </is>
      </c>
      <c r="C2235" s="23" t="inlineStr">
        <is>
          <t>М ЗР+</t>
        </is>
      </c>
      <c r="D2235" s="23" t="inlineStr">
        <is>
          <t>Гладкий В.</t>
        </is>
      </c>
      <c r="E2235" s="23" t="inlineStr">
        <is>
          <t>Окаянный талант</t>
        </is>
      </c>
      <c r="F2235" s="23" t="inlineStr">
        <is>
          <t>        </t>
        </is>
      </c>
      <c r="G2235" s="23" t="n">
        <v>168</v>
      </c>
      <c r="H2235" s="23" t="n">
        <v>10</v>
      </c>
      <c r="I2235" s="23" t="n">
        <v>24</v>
      </c>
      <c r="J2235" s="23" t="inlineStr">
        <is>
          <t>978-5-9524-3972-6</t>
        </is>
      </c>
      <c r="K2235" s="23" t="inlineStr">
        <is>
          <t>70x90 1/32</t>
        </is>
      </c>
      <c r="L2235" s="23" t="inlineStr">
        <is>
          <t>мяг</t>
        </is>
      </c>
      <c r="M2235" s="23" t="n">
        <v>351</v>
      </c>
      <c r="N2235" s="23" t="n">
        <v>2008</v>
      </c>
      <c r="O2235" s="23" t="n">
        <v>144</v>
      </c>
      <c r="P2235" s="23" t="n"/>
      <c r="Q2235" s="23" t="n"/>
      <c r="R2235" s="25" t="n"/>
      <c r="S2235" s="26">
        <f>HYPERLINK("http://www.cnpol.ru/covers/10839.jpg","фото на сайте")</f>
        <v/>
      </c>
    </row>
    <row r="2236" ht="50.1" customHeight="1" s="3">
      <c r="A2236" s="23" t="n"/>
      <c r="B2236" s="24" t="inlineStr">
        <is>
          <t>10082</t>
        </is>
      </c>
      <c r="C2236" s="23" t="inlineStr">
        <is>
          <t>М ЗР+</t>
        </is>
      </c>
      <c r="D2236" s="23" t="inlineStr">
        <is>
          <t>Катериничев П.В.</t>
        </is>
      </c>
      <c r="E2236" s="23" t="inlineStr">
        <is>
          <t>Повелитель снов</t>
        </is>
      </c>
      <c r="F2236" s="23" t="inlineStr">
        <is>
          <t>        </t>
        </is>
      </c>
      <c r="G2236" s="23" t="n">
        <v>168</v>
      </c>
      <c r="H2236" s="23" t="n">
        <v>10</v>
      </c>
      <c r="I2236" s="23" t="n">
        <v>20</v>
      </c>
      <c r="J2236" s="23" t="inlineStr">
        <is>
          <t>978-5-9524-3244-4</t>
        </is>
      </c>
      <c r="K2236" s="23" t="inlineStr">
        <is>
          <t>70x90 1/32</t>
        </is>
      </c>
      <c r="L2236" s="23" t="inlineStr">
        <is>
          <t>мяг</t>
        </is>
      </c>
      <c r="M2236" s="23" t="n">
        <v>413</v>
      </c>
      <c r="N2236" s="23" t="n">
        <v>2008</v>
      </c>
      <c r="O2236" s="23" t="n">
        <v>164</v>
      </c>
      <c r="P2236" s="23" t="n"/>
      <c r="Q2236" s="23" t="n"/>
      <c r="R2236" s="25" t="n"/>
      <c r="S2236" s="26">
        <f>HYPERLINK("http://www.cnpol.ru/covers/10082.jpg","фото на сайте")</f>
        <v/>
      </c>
    </row>
    <row r="2237" ht="50.1" customHeight="1" s="3">
      <c r="A2237" s="23" t="n"/>
      <c r="B2237" s="24" t="inlineStr">
        <is>
          <t>11289</t>
        </is>
      </c>
      <c r="C2237" s="23" t="inlineStr">
        <is>
          <t>М ЗР+</t>
        </is>
      </c>
      <c r="D2237" s="23" t="inlineStr">
        <is>
          <t>Гладкий В.</t>
        </is>
      </c>
      <c r="E2237" s="23" t="inlineStr">
        <is>
          <t>Сокровище рыцарей храма</t>
        </is>
      </c>
      <c r="F2237" s="23" t="inlineStr">
        <is>
          <t>        </t>
        </is>
      </c>
      <c r="G2237" s="23" t="n">
        <v>168</v>
      </c>
      <c r="H2237" s="23" t="n">
        <v>10</v>
      </c>
      <c r="I2237" s="23" t="n">
        <v>24</v>
      </c>
      <c r="J2237" s="23" t="inlineStr">
        <is>
          <t>978-5-9524-4325-9</t>
        </is>
      </c>
      <c r="K2237" s="23" t="inlineStr">
        <is>
          <t>70x90 1/32</t>
        </is>
      </c>
      <c r="L2237" s="23" t="inlineStr">
        <is>
          <t>мяг</t>
        </is>
      </c>
      <c r="M2237" s="23" t="n">
        <v>318</v>
      </c>
      <c r="N2237" s="23" t="n">
        <v>2009</v>
      </c>
      <c r="O2237" s="23" t="inlineStr">
        <is>
          <t>     </t>
        </is>
      </c>
      <c r="P2237" s="23" t="n"/>
      <c r="Q2237" s="23" t="n"/>
      <c r="R2237" s="25" t="n"/>
      <c r="S2237" s="26">
        <f>HYPERLINK("http://www.cnpol.ru/covers/11289.jpg","фото на сайте")</f>
        <v/>
      </c>
    </row>
    <row r="2238" ht="50.1" customHeight="1" s="3">
      <c r="A2238" s="23" t="n"/>
      <c r="B2238" s="24" t="inlineStr">
        <is>
          <t>10756</t>
        </is>
      </c>
      <c r="C2238" s="23" t="inlineStr">
        <is>
          <t>М ЗР+</t>
        </is>
      </c>
      <c r="D2238" s="23" t="inlineStr">
        <is>
          <t>Гладкий В.</t>
        </is>
      </c>
      <c r="E2238" s="23" t="inlineStr">
        <is>
          <t>Талер чернокнижника</t>
        </is>
      </c>
      <c r="F2238" s="23" t="inlineStr">
        <is>
          <t>        </t>
        </is>
      </c>
      <c r="G2238" s="23" t="n">
        <v>123</v>
      </c>
      <c r="H2238" s="23" t="n">
        <v>10</v>
      </c>
      <c r="I2238" s="23" t="n">
        <v>20</v>
      </c>
      <c r="J2238" s="23" t="inlineStr">
        <is>
          <t>978-5-9524-3853-8</t>
        </is>
      </c>
      <c r="K2238" s="23" t="inlineStr">
        <is>
          <t>70x90 1/32</t>
        </is>
      </c>
      <c r="L2238" s="23" t="inlineStr">
        <is>
          <t>мяг</t>
        </is>
      </c>
      <c r="M2238" s="23" t="n">
        <v>350</v>
      </c>
      <c r="N2238" s="23" t="n">
        <v>2008</v>
      </c>
      <c r="O2238" s="23" t="n">
        <v>144</v>
      </c>
      <c r="P2238" s="23" t="n"/>
      <c r="Q2238" s="23" t="n"/>
      <c r="R2238" s="25" t="n"/>
      <c r="S2238" s="26">
        <f>HYPERLINK("http://www.cnpol.ru/covers/10756.jpg","фото на сайте")</f>
        <v/>
      </c>
    </row>
    <row r="2239" ht="50.1" customHeight="1" s="3">
      <c r="A2239" s="23" t="n"/>
      <c r="B2239" s="24" t="inlineStr">
        <is>
          <t>10267</t>
        </is>
      </c>
      <c r="C2239" s="23" t="inlineStr">
        <is>
          <t>М ИД</t>
        </is>
      </c>
      <c r="D2239" s="23" t="inlineStr">
        <is>
          <t>Мусина М.</t>
        </is>
      </c>
      <c r="E2239" s="23" t="inlineStr">
        <is>
          <t>Афина дочь олигарха</t>
        </is>
      </c>
      <c r="F2239" s="23" t="inlineStr">
        <is>
          <t>        </t>
        </is>
      </c>
      <c r="G2239" s="23" t="n">
        <v>168</v>
      </c>
      <c r="H2239" s="23" t="n">
        <v>10</v>
      </c>
      <c r="I2239" s="23" t="n">
        <v>20</v>
      </c>
      <c r="J2239" s="23" t="inlineStr">
        <is>
          <t>978-5-9524-3390-8</t>
        </is>
      </c>
      <c r="K2239" s="23" t="inlineStr">
        <is>
          <t>70x90 1/32</t>
        </is>
      </c>
      <c r="L2239" s="23" t="inlineStr">
        <is>
          <t>мяг</t>
        </is>
      </c>
      <c r="M2239" s="23" t="n">
        <v>286</v>
      </c>
      <c r="N2239" s="23" t="n">
        <v>2008</v>
      </c>
      <c r="O2239" s="23" t="n">
        <v>120</v>
      </c>
      <c r="P2239" s="23" t="n"/>
      <c r="Q2239" s="23" t="n"/>
      <c r="R2239" s="25" t="inlineStr">
        <is>
          <t>Чтобы выбраться из финансовых трудностей, Муся Мусина устраивается репетитором к Афине - избалованной дочке столичного олигарха._x000D_
У папаши новая молодая жена и нефтяной бизнес, но нет взаимопонимания с бывшей женой - матерью девочки. Ребенок живет на две семьи, но по сути очень одинок._x000D_
И вот жизнь Афины входит Муся, входит для того, чтобы помочь ребенку оттаять душой, но… во время очередного визита к отцу девочки Муся находит олигарха убитым…_x000D_
Подозрение падает на его бывшую жену. Неужели ребенок лишится еще и матери?! Такого Муся допустить не может! Она начинает свое расследование.</t>
        </is>
      </c>
      <c r="S2239" s="26">
        <f>HYPERLINK("http://www.cnpol.ru/covers/10267.jpg","фото на сайте")</f>
        <v/>
      </c>
    </row>
    <row r="2240" ht="50.1" customHeight="1" s="3">
      <c r="A2240" s="23" t="n"/>
      <c r="B2240" s="24" t="inlineStr">
        <is>
          <t>8711</t>
        </is>
      </c>
      <c r="C2240" s="23" t="inlineStr">
        <is>
          <t>М ИД</t>
        </is>
      </c>
      <c r="D2240" s="23" t="inlineStr">
        <is>
          <t>Лютикова Л.</t>
        </is>
      </c>
      <c r="E2240" s="23" t="inlineStr">
        <is>
          <t>Есть ли жизнь после свадьбы</t>
        </is>
      </c>
      <c r="F2240" s="23" t="inlineStr">
        <is>
          <t>        </t>
        </is>
      </c>
      <c r="G2240" s="23" t="n">
        <v>168</v>
      </c>
      <c r="H2240" s="23" t="n">
        <v>10</v>
      </c>
      <c r="I2240" s="23" t="n">
        <v>24</v>
      </c>
      <c r="J2240" s="23" t="inlineStr">
        <is>
          <t>978-5-9524-2985-7</t>
        </is>
      </c>
      <c r="K2240" s="23" t="inlineStr">
        <is>
          <t>70x90 1/32</t>
        </is>
      </c>
      <c r="L2240" s="23" t="inlineStr">
        <is>
          <t>мяг</t>
        </is>
      </c>
      <c r="M2240" s="23" t="n">
        <v>318</v>
      </c>
      <c r="N2240" s="23" t="n">
        <v>2008</v>
      </c>
      <c r="O2240" s="23" t="n">
        <v>136</v>
      </c>
      <c r="P2240" s="23" t="n"/>
      <c r="Q2240" s="23" t="n"/>
      <c r="R2240" s="25" t="inlineStr">
        <is>
          <t>Подругу журналистки Люси Лютиковой разыскивает милиция: Елизавету подозревают в убийстве бывшего мужа. К ужасу аккуратистки Люси, беглянка решила залечь на дно именно в ее уютной квартирке. Выход один — как можно быстрее найти настоящего убийцу.</t>
        </is>
      </c>
      <c r="S2240" s="26">
        <f>HYPERLINK("http://www.cnpol.ru/covers/8711.jpg","фото на сайте")</f>
        <v/>
      </c>
    </row>
    <row r="2241" ht="50.1" customHeight="1" s="3">
      <c r="A2241" s="23" t="n"/>
      <c r="B2241" s="24" t="inlineStr">
        <is>
          <t>7607</t>
        </is>
      </c>
      <c r="C2241" s="23" t="inlineStr">
        <is>
          <t>М ИД</t>
        </is>
      </c>
      <c r="D2241" s="23" t="inlineStr">
        <is>
          <t>Мусина М.</t>
        </is>
      </c>
      <c r="E2241" s="23" t="inlineStr">
        <is>
          <t>Кошмар на улице Вятской</t>
        </is>
      </c>
      <c r="F2241" s="23" t="inlineStr">
        <is>
          <t>        </t>
        </is>
      </c>
      <c r="G2241" s="23" t="n">
        <v>168</v>
      </c>
      <c r="H2241" s="23" t="n">
        <v>10</v>
      </c>
      <c r="I2241" s="23" t="n">
        <v>28</v>
      </c>
      <c r="J2241" s="23" t="inlineStr">
        <is>
          <t>5-9524-2376-0</t>
        </is>
      </c>
      <c r="K2241" s="23" t="inlineStr">
        <is>
          <t>70x90 1/32</t>
        </is>
      </c>
      <c r="L2241" s="23" t="inlineStr">
        <is>
          <t>мяг</t>
        </is>
      </c>
      <c r="M2241" s="23" t="n">
        <v>270</v>
      </c>
      <c r="N2241" s="23" t="n">
        <v>2008</v>
      </c>
      <c r="O2241" s="23" t="n">
        <v>104</v>
      </c>
      <c r="P2241" s="23" t="n"/>
      <c r="Q2241" s="23" t="n"/>
      <c r="R2241" s="25" t="inlineStr">
        <is>
          <t>Но не может же Муся не помочь двоюродной тетушке?! Тетя в отчаянии: сына арестовали по обвинению в зверском убийстве любовницы, муж тут же с инсультом попал в больницу... Всякому понятно, что никого Мусин родственник не убивал и убить не мог, всякому, только не милиции. Милиция как раз рада-радешенька: поймали голубчика на месте преступления...</t>
        </is>
      </c>
      <c r="S2241" s="26">
        <f>HYPERLINK("http://www.cnpol.ru/covers/7607.jpg","фото на сайте")</f>
        <v/>
      </c>
    </row>
    <row r="2242" ht="50.1" customHeight="1" s="3">
      <c r="A2242" s="23" t="n"/>
      <c r="B2242" s="24" t="inlineStr">
        <is>
          <t>7957</t>
        </is>
      </c>
      <c r="C2242" s="23" t="inlineStr">
        <is>
          <t>М ИД</t>
        </is>
      </c>
      <c r="D2242" s="23" t="inlineStr">
        <is>
          <t>Лютикова Л.</t>
        </is>
      </c>
      <c r="E2242" s="23" t="inlineStr">
        <is>
          <t>Мы все худели понемногу</t>
        </is>
      </c>
      <c r="F2242" s="23" t="inlineStr">
        <is>
          <t>        </t>
        </is>
      </c>
      <c r="G2242" s="23" t="n">
        <v>123</v>
      </c>
      <c r="H2242" s="23" t="n">
        <v>10</v>
      </c>
      <c r="I2242" s="23" t="n">
        <v>24</v>
      </c>
      <c r="J2242" s="23" t="inlineStr">
        <is>
          <t>978-5-9524-2912-3</t>
        </is>
      </c>
      <c r="K2242" s="23" t="inlineStr">
        <is>
          <t>70x90 1/32</t>
        </is>
      </c>
      <c r="L2242" s="23" t="inlineStr">
        <is>
          <t>мяг</t>
        </is>
      </c>
      <c r="M2242" s="23" t="n">
        <v>366</v>
      </c>
      <c r="N2242" s="23" t="n">
        <v>2008</v>
      </c>
      <c r="O2242" s="23" t="n">
        <v>146</v>
      </c>
      <c r="P2242" s="23" t="n"/>
      <c r="Q2242" s="23" t="n"/>
      <c r="R2242" s="25" t="n"/>
      <c r="S2242" s="26">
        <f>HYPERLINK("http://www.cnpol.ru/covers/7957.jpg","фото на сайте")</f>
        <v/>
      </c>
    </row>
    <row r="2243" ht="50.1" customHeight="1" s="3">
      <c r="A2243" s="23" t="n"/>
      <c r="B2243" s="24" t="inlineStr">
        <is>
          <t>5762</t>
        </is>
      </c>
      <c r="C2243" s="23" t="inlineStr">
        <is>
          <t>М ИД</t>
        </is>
      </c>
      <c r="D2243" s="23" t="inlineStr">
        <is>
          <t>Панфилова А.</t>
        </is>
      </c>
      <c r="E2243" s="23" t="inlineStr">
        <is>
          <t>Реквием для жены моего шефа</t>
        </is>
      </c>
      <c r="F2243" s="23" t="inlineStr">
        <is>
          <t>        </t>
        </is>
      </c>
      <c r="G2243" s="23" t="n">
        <v>168</v>
      </c>
      <c r="H2243" s="23" t="n">
        <v>10</v>
      </c>
      <c r="I2243" s="23" t="n">
        <v>24</v>
      </c>
      <c r="J2243" s="23" t="inlineStr">
        <is>
          <t>5-9524-1712-4</t>
        </is>
      </c>
      <c r="K2243" s="23" t="inlineStr">
        <is>
          <t>70x90 1/32</t>
        </is>
      </c>
      <c r="L2243" s="23" t="inlineStr">
        <is>
          <t>мяг</t>
        </is>
      </c>
      <c r="M2243" s="23" t="n">
        <v>319</v>
      </c>
      <c r="N2243" s="23" t="n">
        <v>2005</v>
      </c>
      <c r="O2243" s="23" t="n">
        <v>136</v>
      </c>
      <c r="P2243" s="23" t="n"/>
      <c r="Q2243" s="23" t="n"/>
      <c r="R2243" s="25" t="n"/>
      <c r="S2243" s="26">
        <f>HYPERLINK("http://www.cnpol.ru/covers/5762.jpg","фото на сайте")</f>
        <v/>
      </c>
    </row>
    <row r="2244" ht="50.1" customHeight="1" s="3">
      <c r="A2244" s="23" t="n"/>
      <c r="B2244" s="24" t="inlineStr">
        <is>
          <t>7241</t>
        </is>
      </c>
      <c r="C2244" s="23" t="inlineStr">
        <is>
          <t>М ИД</t>
        </is>
      </c>
      <c r="D2244" s="23" t="inlineStr">
        <is>
          <t>Монастырская А.</t>
        </is>
      </c>
      <c r="E2244" s="23" t="inlineStr">
        <is>
          <t>Смерть навылет</t>
        </is>
      </c>
      <c r="F2244" s="23" t="inlineStr">
        <is>
          <t>        </t>
        </is>
      </c>
      <c r="G2244" s="23" t="n">
        <v>168</v>
      </c>
      <c r="H2244" s="23" t="n">
        <v>10</v>
      </c>
      <c r="I2244" s="23" t="n">
        <v>20</v>
      </c>
      <c r="J2244" s="23" t="inlineStr">
        <is>
          <t>5-9524-2290-X</t>
        </is>
      </c>
      <c r="K2244" s="23" t="inlineStr">
        <is>
          <t>70x90 1/32</t>
        </is>
      </c>
      <c r="L2244" s="23" t="inlineStr">
        <is>
          <t>мяг</t>
        </is>
      </c>
      <c r="M2244" s="23" t="n">
        <v>317</v>
      </c>
      <c r="N2244" s="23" t="n">
        <v>2008</v>
      </c>
      <c r="O2244" s="23" t="n">
        <v>134</v>
      </c>
      <c r="P2244" s="23" t="n"/>
      <c r="Q2244" s="23" t="n"/>
      <c r="R2244" s="25" t="n"/>
      <c r="S2244" s="26">
        <f>HYPERLINK("http://www.cnpol.ru/covers/7241.jpg","фото на сайте")</f>
        <v/>
      </c>
    </row>
    <row r="2245" ht="50.1" customHeight="1" s="3">
      <c r="A2245" s="23" t="n"/>
      <c r="B2245" s="24" t="inlineStr">
        <is>
          <t>18065</t>
        </is>
      </c>
      <c r="C2245" s="23" t="inlineStr">
        <is>
          <t>М ИР</t>
        </is>
      </c>
      <c r="D2245" s="23" t="inlineStr">
        <is>
          <t>Бикон Э.</t>
        </is>
      </c>
      <c r="E2245" s="23" t="inlineStr">
        <is>
          <t>Авантюра леди Олстон</t>
        </is>
      </c>
      <c r="F2245" s="23" t="n">
        <v>86</v>
      </c>
      <c r="G2245" s="23" t="n">
        <v>167</v>
      </c>
      <c r="H2245" s="23" t="n">
        <v>10</v>
      </c>
      <c r="I2245" s="23" t="n">
        <v>24</v>
      </c>
      <c r="J2245" s="23" t="inlineStr">
        <is>
          <t>978-5-227-08109-4</t>
        </is>
      </c>
      <c r="K2245" s="23" t="inlineStr">
        <is>
          <t>70x100 1/32</t>
        </is>
      </c>
      <c r="L2245" s="23" t="inlineStr">
        <is>
          <t>мяг</t>
        </is>
      </c>
      <c r="M2245" s="23" t="n">
        <v>256</v>
      </c>
      <c r="N2245" s="23" t="n">
        <v>2018</v>
      </c>
      <c r="O2245" s="23" t="n">
        <v>117</v>
      </c>
      <c r="P2245" s="23" t="n"/>
      <c r="Q2245" s="23" t="n"/>
      <c r="R2245" s="25" t="inlineStr">
        <is>
          <t>Луиза Олстон из тех девушек, кто привык решать свои проблемы без чужой помощи. Выросшая в бедности, она вовсе не считает себя благовоспитанной леди. Луиза совершает дерзкий побег через окно от похитившего ее негодяя. В доме брата, где она рассчитывает укрыться, девушка встречает загадочного и обаятельного капитана Хью Дарка. Но, разочарованная в мужчинах, Луиза отказывается опереться на крепкое мужское плечо. На­оборот, она сама помогает Хью одержать победу над врагом. К тому же Луизу неудержимо тянет к красавцу­капитану.</t>
        </is>
      </c>
      <c r="S2245" s="26">
        <f>HYPERLINK("http://www.cnpol.ru/covers/18065.jpg","фото на сайте")</f>
        <v/>
      </c>
    </row>
    <row r="2246" ht="50.1" customHeight="1" s="3">
      <c r="A2246" s="23" t="n"/>
      <c r="B2246" s="24" t="inlineStr">
        <is>
          <t>18849</t>
        </is>
      </c>
      <c r="C2246" s="23" t="inlineStr">
        <is>
          <t>М ИР</t>
        </is>
      </c>
      <c r="D2246" s="23" t="inlineStr">
        <is>
          <t>Херрис Э.</t>
        </is>
      </c>
      <c r="E2246" s="23" t="inlineStr">
        <is>
          <t>Аристократка перед выбором</t>
        </is>
      </c>
      <c r="F2246" s="23" t="n">
        <v>102</v>
      </c>
      <c r="G2246" s="23" t="n">
        <v>167</v>
      </c>
      <c r="H2246" s="23" t="n">
        <v>10</v>
      </c>
      <c r="I2246" s="23" t="n">
        <v>24</v>
      </c>
      <c r="J2246" s="23" t="inlineStr">
        <is>
          <t>978-5-227-08738-6</t>
        </is>
      </c>
      <c r="K2246" s="23" t="inlineStr">
        <is>
          <t>70x100 1/32</t>
        </is>
      </c>
      <c r="L2246" s="23" t="inlineStr">
        <is>
          <t>мяг</t>
        </is>
      </c>
      <c r="M2246" s="23" t="n">
        <v>256</v>
      </c>
      <c r="N2246" s="23" t="n">
        <v>2019</v>
      </c>
      <c r="O2246" s="23" t="n">
        <v>116</v>
      </c>
      <c r="P2246" s="23" t="n"/>
      <c r="Q2246" s="23" t="n"/>
      <c r="R2246" s="25" t="inlineStr">
        <is>
          <t>После гибели мужа, блистательного офицера, молодая красавица­аристократка Джейн Марч ставит на себе крест, решив, что никогда больше не сможет полюбить и обрести семью. Отныне, полагает она, ее удел — выводить в свет молоденьких дебютанток в качестве компаньонки. Таковой и становится юная особа Мелия Беллингем, на которой собирается жениться брат Джейн. Однако у девушки обнаруживается опекун Пол Франт, лорд и состоятельный бизнесмен, несколько лет проживший в Индии. Он статный, мужественный, обходительный, к тому же не может устоять перед красотой Джейн, в чьей душе забрезжила надежда на новое счастье… Неизвестный враг Франка несколько раз пытается лишить его жизни, а затем наносит удар в  самое уязвимое место — похищает Джейн. Полу предстоит понять, кто же так сильно его ненавидит; и действовать нужно быстро, ведь на кону жизнь любимой женщины.</t>
        </is>
      </c>
      <c r="S2246" s="26">
        <f>HYPERLINK("http://www.cnpol.ru/covers/18849.jpg","фото на сайте")</f>
        <v/>
      </c>
    </row>
    <row r="2247" ht="50.1" customHeight="1" s="3">
      <c r="A2247" s="23" t="n"/>
      <c r="B2247" s="24" t="inlineStr">
        <is>
          <t>13002</t>
        </is>
      </c>
      <c r="C2247" s="23" t="inlineStr">
        <is>
          <t>М ИР</t>
        </is>
      </c>
      <c r="D2247" s="23" t="inlineStr">
        <is>
          <t>Роллз Э.</t>
        </is>
      </c>
      <c r="E2247" s="23" t="inlineStr">
        <is>
          <t>Бесприданница для лорда</t>
        </is>
      </c>
      <c r="F2247" s="23" t="n">
        <v>1</v>
      </c>
      <c r="G2247" s="23" t="n">
        <v>167</v>
      </c>
      <c r="H2247" s="23" t="n">
        <v>10</v>
      </c>
      <c r="I2247" s="23" t="n">
        <v>28</v>
      </c>
      <c r="J2247" s="23" t="inlineStr">
        <is>
          <t>978-5-227-03144-0</t>
        </is>
      </c>
      <c r="K2247" s="23" t="inlineStr">
        <is>
          <t>70x100 1/32</t>
        </is>
      </c>
      <c r="L2247" s="23" t="inlineStr">
        <is>
          <t>мяг</t>
        </is>
      </c>
      <c r="M2247" s="23" t="n">
        <v>317</v>
      </c>
      <c r="N2247" s="23" t="n">
        <v>2011</v>
      </c>
      <c r="O2247" s="23" t="n">
        <v>150</v>
      </c>
      <c r="P2247" s="23" t="n"/>
      <c r="Q2247" s="23" t="n"/>
      <c r="R2247" s="25" t="inlineStr">
        <is>
          <t>Кристиана Дэвентри была гувернанткой его сестер и компаньонкой мачехи. Одним словом, запретным плодом. Однако Джулиан Трентам терял рассудок, когда видел ее удивительные глаза. Понимая, что они люди разного круга, к тому же на нем лежит ответственность за имение и семью, и связать судьбу он должен с женщиной состоятельной и родовитой, лорд предлагает Кристиане стать его любовницей. Она категорически отказывается, и Джулиан, уважая ее решение, делает все, чтобы обуздать чувства и не погубить репутацию девушки. Но недоброжелатели подстроили все так, что молодые люди оказались в весьма щекотливой ситуации...</t>
        </is>
      </c>
      <c r="S2247" s="26">
        <f>HYPERLINK("http://www.cnpol.ru/covers/13002.jpg","фото на сайте")</f>
        <v/>
      </c>
    </row>
    <row r="2248" ht="50.1" customHeight="1" s="3">
      <c r="A2248" s="23" t="n"/>
      <c r="B2248" s="24" t="inlineStr">
        <is>
          <t>14961</t>
        </is>
      </c>
      <c r="C2248" s="23" t="inlineStr">
        <is>
          <t>М ИР</t>
        </is>
      </c>
      <c r="D2248" s="23" t="inlineStr">
        <is>
          <t>Джастис Дж.</t>
        </is>
      </c>
      <c r="E2248" s="23" t="inlineStr">
        <is>
          <t>Благородный повеса</t>
        </is>
      </c>
      <c r="F2248" s="23" t="n">
        <v>41</v>
      </c>
      <c r="G2248" s="23" t="n">
        <v>167</v>
      </c>
      <c r="H2248" s="23" t="n">
        <v>10</v>
      </c>
      <c r="I2248" s="23" t="n">
        <v>30</v>
      </c>
      <c r="J2248" s="23" t="inlineStr">
        <is>
          <t>978-5-227-04957-5</t>
        </is>
      </c>
      <c r="K2248" s="23" t="inlineStr">
        <is>
          <t>70x100 1/32</t>
        </is>
      </c>
      <c r="L2248" s="23" t="inlineStr">
        <is>
          <t>мяг</t>
        </is>
      </c>
      <c r="M2248" s="23" t="n">
        <v>286</v>
      </c>
      <c r="N2248" s="23" t="n">
        <v>2014</v>
      </c>
      <c r="O2248" s="23" t="n">
        <v>132</v>
      </c>
      <c r="P2248" s="23" t="n"/>
      <c r="Q2248" s="23" t="n"/>
      <c r="R2248" s="25" t="inlineStr">
        <is>
          <t>Макс Рэнсли, красавец-аристократ, неожиданно становится жертвой политической интриги, из-за которой летит под откос вся его жизнь. Блестящая дипломатическая карьера рушится, родной отец готов отречься от него. А тут еще Кэролайн Дэнби, девушка на выданье, обращается к нему с необычной просьбой — чтобы Макс… погубил ее репутацию. Как помочь леди в беде, при этом оставаясь джентльменом? Любовь способна преодолеть все, но смогут ли влюбленные преодолеть родовое проклятие, нависшее над семьей Кэролайн?</t>
        </is>
      </c>
      <c r="S2248" s="26">
        <f>HYPERLINK("http://www.cnpol.ru/covers/14961.jpg","фото на сайте")</f>
        <v/>
      </c>
    </row>
    <row r="2249" ht="50.1" customHeight="1" s="3">
      <c r="A2249" s="23" t="n"/>
      <c r="B2249" s="24" t="inlineStr">
        <is>
          <t>15998</t>
        </is>
      </c>
      <c r="C2249" s="23" t="inlineStr">
        <is>
          <t>М ИР</t>
        </is>
      </c>
      <c r="D2249" s="23" t="inlineStr">
        <is>
          <t>Макфи М.</t>
        </is>
      </c>
      <c r="E2249" s="23" t="inlineStr">
        <is>
          <t>Благородный разбойник</t>
        </is>
      </c>
      <c r="F2249" s="23" t="n">
        <v>66</v>
      </c>
      <c r="G2249" s="23" t="n">
        <v>167</v>
      </c>
      <c r="H2249" s="23" t="n">
        <v>10</v>
      </c>
      <c r="I2249" s="23" t="n">
        <v>32</v>
      </c>
      <c r="J2249" s="23" t="inlineStr">
        <is>
          <t>978-5-227-05933-8</t>
        </is>
      </c>
      <c r="K2249" s="23" t="inlineStr">
        <is>
          <t>70x100 1/32</t>
        </is>
      </c>
      <c r="L2249" s="23" t="inlineStr">
        <is>
          <t>мяг</t>
        </is>
      </c>
      <c r="M2249" s="23" t="n">
        <v>254</v>
      </c>
      <c r="N2249" s="23" t="n">
        <v>2015</v>
      </c>
      <c r="O2249" s="23" t="n">
        <v>132</v>
      </c>
      <c r="P2249" s="23" t="n"/>
      <c r="Q2249" s="23" t="n"/>
      <c r="R2249" s="25" t="inlineStr">
        <is>
          <t>Семья Эммы Норткот в одно мгновение потеряла все. И красивая юная аристократка вынуждена была стать подавальщицей в дешевой харчевне в бедном и опасном районе Лондона. Однажды голубоглазый докер по имени Нед спас Эмму от посягательств пьяного матроса. Между молодыми людьми вспыхнула любовь. Но жаркие поцелуи и объятия не помешали Эмме и Неду скрывать свои тайны друг от друга. Нед уехал, попросив Эмму ждать его. Она обещала, но не сдержала слово: богатая дама пожелала видеть ее своей компаньонкой. Так девушка вернулась в светское об­щество. Каково же было ее удивление, когда в ложе театра она увидела своего Неда в дорогой одежде аристократа в обществе молодой наследницы большого состояния…</t>
        </is>
      </c>
      <c r="S2249" s="26">
        <f>HYPERLINK("http://www.cnpol.ru/covers/15998.jpg","фото на сайте")</f>
        <v/>
      </c>
    </row>
    <row r="2250" ht="50.1" customHeight="1" s="3">
      <c r="A2250" s="23" t="n"/>
      <c r="B2250" s="24" t="inlineStr">
        <is>
          <t>15279</t>
        </is>
      </c>
      <c r="C2250" s="23" t="inlineStr">
        <is>
          <t>М ИР</t>
        </is>
      </c>
      <c r="D2250" s="23" t="inlineStr">
        <is>
          <t>Мортимер К.</t>
        </is>
      </c>
      <c r="E2250" s="23" t="inlineStr">
        <is>
          <t>Больше, чем гувернантка</t>
        </is>
      </c>
      <c r="F2250" s="23" t="n">
        <v>50</v>
      </c>
      <c r="G2250" s="23" t="n">
        <v>167</v>
      </c>
      <c r="H2250" s="23" t="n">
        <v>10</v>
      </c>
      <c r="I2250" s="23" t="n">
        <v>30</v>
      </c>
      <c r="J2250" s="23" t="inlineStr">
        <is>
          <t>978-5-227-05281-0</t>
        </is>
      </c>
      <c r="K2250" s="23" t="inlineStr">
        <is>
          <t>70x100 1/32</t>
        </is>
      </c>
      <c r="L2250" s="23" t="inlineStr">
        <is>
          <t>мяг</t>
        </is>
      </c>
      <c r="M2250" s="23" t="n">
        <v>224</v>
      </c>
      <c r="N2250" s="23" t="n">
        <v>2014</v>
      </c>
      <c r="O2250" s="23" t="n">
        <v>104</v>
      </c>
      <c r="P2250" s="23" t="n"/>
      <c r="Q2250" s="23" t="n"/>
      <c r="R2250" s="25" t="inlineStr">
        <is>
          <t>После скоропостижной смерти деда, герцога Шеффилда, Магдалена Мэттьюз, была вынуждена бежать из дома. Причиной послужил кузен Невилл — насильник и лжец, объявивший Магдалену убийцей и воровкой. Вынужденная скрываться, она под именем Елены нанялась в гувернантки к маленькой дочери рано овдовевшего лорда Готорна. Неудивительно, что два одиноких молодых человека потянулись друг к другу, между ними вспыхнула любовь, в которой они сами еще себе не признавались. Но, узнав, кто такая на самом деле Елена, Адам отшатнулся. Несчастная Магдалена не знала, как ей доказать, что она невиновна? Но помощь пришла, и с неожиданной стороны…</t>
        </is>
      </c>
      <c r="S2250" s="26">
        <f>HYPERLINK("http://www.cnpol.ru/covers/15279.jpg","фото на сайте")</f>
        <v/>
      </c>
    </row>
    <row r="2251" ht="50.1" customHeight="1" s="3">
      <c r="A2251" s="23" t="n"/>
      <c r="B2251" s="24" t="inlineStr">
        <is>
          <t>19959</t>
        </is>
      </c>
      <c r="C2251" s="23" t="inlineStr">
        <is>
          <t>М ИР</t>
        </is>
      </c>
      <c r="D2251" s="23" t="inlineStr">
        <is>
          <t>Аренс К.</t>
        </is>
      </c>
      <c r="E2251" s="23" t="inlineStr">
        <is>
          <t>Брачные планы барона Хейверсмира</t>
        </is>
      </c>
      <c r="F2251" s="23" t="n">
        <v>117</v>
      </c>
      <c r="G2251" s="23" t="n">
        <v>167</v>
      </c>
      <c r="H2251" s="23" t="n">
        <v>10</v>
      </c>
      <c r="I2251" s="23" t="n">
        <v>18</v>
      </c>
      <c r="J2251" s="23" t="inlineStr">
        <is>
          <t>978-5-227-09575-6</t>
        </is>
      </c>
      <c r="K2251" s="23" t="inlineStr">
        <is>
          <t>70x100 1/32</t>
        </is>
      </c>
      <c r="L2251" s="23" t="inlineStr">
        <is>
          <t>мяг</t>
        </is>
      </c>
      <c r="M2251" s="23" t="n">
        <v>255</v>
      </c>
      <c r="N2251" s="23" t="n">
        <v>2021</v>
      </c>
      <c r="O2251" s="23" t="n">
        <v>122</v>
      </c>
      <c r="P2251" s="23" t="n"/>
      <c r="Q2251" s="23" t="n"/>
      <c r="R2251" s="25" t="inlineStr">
        <is>
          <t>Тринити Фостер знала принца Фахида с детства, ведь он был приятелем ее брата. А когда подросла, то влюбилась в него. Но законы восточной страны диктовали следующие правила: он должен заключить равный брак с принцессой соседней страны, и Тринити ему не пара…</t>
        </is>
      </c>
      <c r="S2251" s="26">
        <f>HYPERLINK("http://www.cnpol.ru/covers/19959.jpg","фото на сайте")</f>
        <v/>
      </c>
    </row>
    <row r="2252" ht="50.1" customHeight="1" s="3">
      <c r="A2252" s="23" t="n"/>
      <c r="B2252" s="24" t="inlineStr">
        <is>
          <t>20865</t>
        </is>
      </c>
      <c r="C2252" s="23" t="inlineStr">
        <is>
          <t>М ИР</t>
        </is>
      </c>
      <c r="D2252" s="23" t="inlineStr">
        <is>
          <t>Адамс М.</t>
        </is>
      </c>
      <c r="E2252" s="23" t="inlineStr">
        <is>
          <t>Брачный договор с герцогом</t>
        </is>
      </c>
      <c r="F2252" s="23" t="n">
        <v>125</v>
      </c>
      <c r="G2252" s="23" t="n">
        <v>167</v>
      </c>
      <c r="H2252" s="23" t="n">
        <v>10</v>
      </c>
      <c r="I2252" s="23" t="n">
        <v>18</v>
      </c>
      <c r="J2252" s="23" t="inlineStr">
        <is>
          <t>978-5-227-10251-5</t>
        </is>
      </c>
      <c r="K2252" s="23" t="inlineStr">
        <is>
          <t>70x100 1/32</t>
        </is>
      </c>
      <c r="L2252" s="23" t="inlineStr">
        <is>
          <t>мяг</t>
        </is>
      </c>
      <c r="M2252" s="23" t="n">
        <v>255</v>
      </c>
      <c r="N2252" s="23" t="n">
        <v>2023</v>
      </c>
      <c r="O2252" s="23" t="n">
        <v>76</v>
      </c>
      <c r="P2252" s="23" t="n"/>
      <c r="Q2252" s="23" t="n"/>
      <c r="R2252" s="25" t="inlineStr">
        <is>
          <t>В детстве Беатрис была болезненным ребенком, теперь она взрослая, но брат, герцог Кендальский, по-прежнему оберегает ее от дуновения ветра, балов и выездов в свет, под запретом и замужество – доктор считает, что деторождение убьет слабый организм. Беатрис уверена, что давно выздоровела, и решает, лучше умереть, чем до конца дней жить взаперти. Девушка подстраивает сцену, после которой родные вынуждены выдать ее замуж. Правда, в темноте она обняла не того мужчину, но, пожалуй, и к лучшему: герцог Бригамский – отличная партия. Вопрос только в том, будет ли этот брак счастливым…</t>
        </is>
      </c>
      <c r="S2252" s="26">
        <f>HYPERLINK("http://www.cnpol.ru/covers/20865.jpg","фото на сайте")</f>
        <v/>
      </c>
    </row>
    <row r="2253" ht="50.1" customHeight="1" s="3">
      <c r="A2253" s="23" t="n"/>
      <c r="B2253" s="24" t="inlineStr">
        <is>
          <t>15089</t>
        </is>
      </c>
      <c r="C2253" s="23" t="inlineStr">
        <is>
          <t>М ИР</t>
        </is>
      </c>
      <c r="D2253" s="23" t="inlineStr">
        <is>
          <t>Летбридж Э.</t>
        </is>
      </c>
      <c r="E2253" s="23" t="inlineStr">
        <is>
          <t>В крепких руках графа</t>
        </is>
      </c>
      <c r="F2253" s="23" t="n">
        <v>45</v>
      </c>
      <c r="G2253" s="23" t="n">
        <v>167</v>
      </c>
      <c r="H2253" s="23" t="n">
        <v>10</v>
      </c>
      <c r="I2253" s="23" t="n">
        <v>24</v>
      </c>
      <c r="J2253" s="23" t="inlineStr">
        <is>
          <t>978-5-227-05035-9</t>
        </is>
      </c>
      <c r="K2253" s="23" t="inlineStr">
        <is>
          <t>70x100 1/32</t>
        </is>
      </c>
      <c r="L2253" s="23" t="inlineStr">
        <is>
          <t>мяг</t>
        </is>
      </c>
      <c r="M2253" s="23" t="n">
        <v>286</v>
      </c>
      <c r="N2253" s="23" t="n">
        <v>2014</v>
      </c>
      <c r="O2253" s="23" t="n">
        <v>132</v>
      </c>
      <c r="P2253" s="23" t="n"/>
      <c r="Q2253" s="23" t="n"/>
      <c r="R2253" s="25" t="inlineStr">
        <is>
          <t>В числе наследников умершего графа должны были выступить его ненавистный внук Бейн Бересфорд и двое кузенов Бейна, Джеральд и Джеффри. Но по завещанию все должно было отойти подопечной старого графа Мэри Уилдинг с условием, что она в течение года выйдет замуж и ее кандидатуру одобрит Бейн. Прикосновение этого загадочного молодого графа пробудило в девушке горячее и запретное желание. Но надежды на создание счастливой семьи рушатся — у нее возникли сомнения насчет добропорядочности Бейна, который со своим предложением брака, явно по расчету, от нее так же далек, как и призраки, якобы обитающие в старинном доме Бересфордов и страшными историями о которых не устают пугать Мэри кузены. А после череды загадочных покушений она вообще заподозрила, что он хочет ее убить… Но кто же причина всех ее злоключений?</t>
        </is>
      </c>
      <c r="S2253" s="26">
        <f>HYPERLINK("http://www.cnpol.ru/covers/15089.jpg","фото на сайте")</f>
        <v/>
      </c>
    </row>
    <row r="2254" ht="50.1" customHeight="1" s="3">
      <c r="A2254" s="23" t="n"/>
      <c r="B2254" s="24" t="inlineStr">
        <is>
          <t>15300</t>
        </is>
      </c>
      <c r="C2254" s="23" t="inlineStr">
        <is>
          <t>М ИР</t>
        </is>
      </c>
      <c r="D2254" s="23" t="inlineStr">
        <is>
          <t>Кэй М.</t>
        </is>
      </c>
      <c r="E2254" s="23" t="inlineStr">
        <is>
          <t>Внутренняя красота</t>
        </is>
      </c>
      <c r="F2254" s="23" t="n">
        <v>51</v>
      </c>
      <c r="G2254" s="23" t="n">
        <v>167</v>
      </c>
      <c r="H2254" s="23" t="n">
        <v>10</v>
      </c>
      <c r="I2254" s="23" t="n">
        <v>30</v>
      </c>
      <c r="J2254" s="23" t="inlineStr">
        <is>
          <t>978-5-227-05283-4</t>
        </is>
      </c>
      <c r="K2254" s="23" t="inlineStr">
        <is>
          <t>70x100 1/32</t>
        </is>
      </c>
      <c r="L2254" s="23" t="inlineStr">
        <is>
          <t>мяг</t>
        </is>
      </c>
      <c r="M2254" s="23" t="n">
        <v>256</v>
      </c>
      <c r="N2254" s="23" t="n">
        <v>2014</v>
      </c>
      <c r="O2254" s="23" t="n">
        <v>120</v>
      </c>
      <c r="P2254" s="23" t="n"/>
      <c r="Q2254" s="23" t="n"/>
      <c r="R2254" s="25" t="inlineStr">
        <is>
          <t>Отец леди Кресси Армстронг уже смирился с тем, что его интеллектуалка дочь никогда не выйдет замуж. Да и нужен ли ей муж, если наука — то единственное, что интересует Кресси. Когда­то мастерски выполненные портреты рокового красавца Джованни ди Маттео были настолько вдохновляющи, что вошли в моду, но потом работы разочаровавшегося художника стали всего лишь техничны. Правда, до тех пор, пока он не встретил Кресси... Манящая, умная и все же неуверенная, Кресси именно та, чье лицо и тело он мечтает запечатлеть на холсте. В закрытом, интимном мире его студии в Джованни вновь пробуждается вдохновение, заражающее страстью Крессиду. Но смогут ли сосуществовать и обрести себя две личности столь противоречивых миров, когда сталкиваются наука с искусством, логика с инстинктом, правда с красотой, долг со свободой…</t>
        </is>
      </c>
      <c r="S2254" s="26">
        <f>HYPERLINK("http://www.cnpol.ru/covers/15300.jpg","фото на сайте")</f>
        <v/>
      </c>
    </row>
    <row r="2255" ht="50.1" customHeight="1" s="3">
      <c r="A2255" s="23" t="n"/>
      <c r="B2255" s="24" t="inlineStr">
        <is>
          <t>15088</t>
        </is>
      </c>
      <c r="C2255" s="23" t="inlineStr">
        <is>
          <t>М ИР</t>
        </is>
      </c>
      <c r="D2255" s="23" t="inlineStr">
        <is>
          <t>Аллен Л.</t>
        </is>
      </c>
      <c r="E2255" s="23" t="inlineStr">
        <is>
          <t>Возлюбленная виконта</t>
        </is>
      </c>
      <c r="F2255" s="23" t="n">
        <v>44</v>
      </c>
      <c r="G2255" s="23" t="n">
        <v>167</v>
      </c>
      <c r="H2255" s="23" t="n">
        <v>10</v>
      </c>
      <c r="I2255" s="23" t="n">
        <v>24</v>
      </c>
      <c r="J2255" s="23" t="inlineStr">
        <is>
          <t>978-5-227-05036-6</t>
        </is>
      </c>
      <c r="K2255" s="23" t="inlineStr">
        <is>
          <t>70x100 1/32</t>
        </is>
      </c>
      <c r="L2255" s="23" t="inlineStr">
        <is>
          <t>мяг</t>
        </is>
      </c>
      <c r="M2255" s="23" t="n">
        <v>254</v>
      </c>
      <c r="N2255" s="23" t="n">
        <v>2014</v>
      </c>
      <c r="O2255" s="23" t="n">
        <v>118</v>
      </c>
      <c r="P2255" s="23" t="n"/>
      <c r="Q2255" s="23" t="n"/>
      <c r="R2255" s="25" t="inlineStr">
        <is>
          <t>После бегства сестер Арабелла осталась наедине с отцом. В доме викария, холодного, бесчувственного тирана, любовь, веселье, музыка – все, что наполняет жизнь радостью, — запрещены. А виконт Хэдли был так нежен и внимателен, предложил ей руку и сердце, но потребовал доказать свою любовь. И Арабелла доказала, а виконт исчез. Вскоре девушка с ужасом поняла, что беременна. В отчаянии решив потребовать защиты и помощи для себя и будущего ребенка у виновника своего положения, она отправилась в поместье Хэдли…</t>
        </is>
      </c>
      <c r="S2255" s="26">
        <f>HYPERLINK("http://www.cnpol.ru/covers/15088.jpg","фото на сайте")</f>
        <v/>
      </c>
    </row>
    <row r="2256" ht="50.1" customHeight="1" s="3">
      <c r="A2256" s="23" t="n"/>
      <c r="B2256" s="24" t="inlineStr">
        <is>
          <t>18289</t>
        </is>
      </c>
      <c r="C2256" s="23" t="inlineStr">
        <is>
          <t>М ИР</t>
        </is>
      </c>
      <c r="D2256" s="23" t="inlineStr">
        <is>
          <t>Бикон Э.</t>
        </is>
      </c>
      <c r="E2256" s="23" t="inlineStr">
        <is>
          <t>Возраст чувственности</t>
        </is>
      </c>
      <c r="F2256" s="23" t="n">
        <v>91</v>
      </c>
      <c r="G2256" s="23" t="n">
        <v>167</v>
      </c>
      <c r="H2256" s="23" t="n">
        <v>10</v>
      </c>
      <c r="I2256" s="23" t="n">
        <v>24</v>
      </c>
      <c r="J2256" s="23" t="inlineStr">
        <is>
          <t>978-5-227-08255-8</t>
        </is>
      </c>
      <c r="K2256" s="23" t="inlineStr">
        <is>
          <t>70x100 1/32</t>
        </is>
      </c>
      <c r="L2256" s="23" t="inlineStr">
        <is>
          <t>мяг</t>
        </is>
      </c>
      <c r="M2256" s="23" t="n">
        <v>256</v>
      </c>
      <c r="N2256" s="23" t="n">
        <v>2018</v>
      </c>
      <c r="O2256" s="23" t="n">
        <v>118</v>
      </c>
      <c r="P2256" s="23" t="n"/>
      <c r="Q2256" s="23" t="n"/>
      <c r="R2256" s="25" t="inlineStr">
        <is>
          <t>Ровена Уэстхоуп, вдова двадцати четырех лет, вернувшись в родной дом после гибели мужа на войне, вела тихую, скучную жизнь, как и должно в ее положении. Выручая непоседливую младшую сестру из очередной переделки, женщина знакомится с Джеймсом Уинтерли — представителем аристократического рода. Первое отталкивающее впечатление, которое мужчина производит на нее, несмотря на красоту и видимые достоинства, при ближайшем знакомстве сменяется сначала интересом, а потом и влюбленностью. Происходит это после того, как, нарушив приличия, Ровена подслушивает под окном его откровенный разговор с братом. Она понимает, что Джеймс совсем не такой человек, каким кажется. В его жизни немало тайн, боли и потерь. Несмотря на то, что они из разных миров, у Джеймса и Ровены много общего, и они могут помочь друг другу обрести счастье.</t>
        </is>
      </c>
      <c r="S2256" s="26">
        <f>HYPERLINK("http://www.cnpol.ru/covers/18289.jpg","фото на сайте")</f>
        <v/>
      </c>
    </row>
    <row r="2257" ht="50.1" customHeight="1" s="3">
      <c r="A2257" s="23" t="n"/>
      <c r="B2257" s="24" t="inlineStr">
        <is>
          <t>18895</t>
        </is>
      </c>
      <c r="C2257" s="23" t="inlineStr">
        <is>
          <t>М ИР</t>
        </is>
      </c>
      <c r="D2257" s="23" t="inlineStr">
        <is>
          <t>Кэй М.</t>
        </is>
      </c>
      <c r="E2257" s="23" t="inlineStr">
        <is>
          <t>Грезы принцессы пустыни</t>
        </is>
      </c>
      <c r="F2257" s="23" t="n">
        <v>103</v>
      </c>
      <c r="G2257" s="23" t="n">
        <v>167</v>
      </c>
      <c r="H2257" s="23" t="n">
        <v>10</v>
      </c>
      <c r="I2257" s="23" t="n">
        <v>28</v>
      </c>
      <c r="J2257" s="23" t="inlineStr">
        <is>
          <t>978-5-227-08783-6</t>
        </is>
      </c>
      <c r="K2257" s="23" t="inlineStr">
        <is>
          <t>70x100 1/32</t>
        </is>
      </c>
      <c r="L2257" s="23" t="inlineStr">
        <is>
          <t>мяг</t>
        </is>
      </c>
      <c r="M2257" s="23" t="n">
        <v>256</v>
      </c>
      <c r="N2257" s="23" t="n">
        <v>2019</v>
      </c>
      <c r="O2257" s="23" t="n">
        <v>116</v>
      </c>
      <c r="P2257" s="23" t="n"/>
      <c r="Q2257" s="23" t="n"/>
      <c r="R2257" s="25" t="inlineStr">
        <is>
          <t>Заманчивый мир Аравии постепенно открывается перед топографом и любителем древностей Кристофером Фордайсом. Он прибыл из Англии, чтобы разгадать тайну старинного амулета с бирюзой и бриллиантами, сопровождавшего его с рождения. В эмирате Нессара судьба сталкивает чужестранца с принцессой Тахирой, представительницей правящей династии. Общие интересы и сильное взаимное влечение все более сближают молодых людей, а вспыхнувшая страсть, дать выход которой они не решаются, делает их роман необычным и напряженным. Особую остроту ситуации  придает грядущая помолвка Тахиры с эмиром соседнего государства. Сумеет ли Кристофер спасти любимую?</t>
        </is>
      </c>
      <c r="S2257" s="26">
        <f>HYPERLINK("http://www.cnpol.ru/covers/18895.jpg","фото на сайте")</f>
        <v/>
      </c>
    </row>
    <row r="2258" ht="50.1" customHeight="1" s="3">
      <c r="A2258" s="23" t="n"/>
      <c r="B2258" s="24" t="inlineStr">
        <is>
          <t>17382</t>
        </is>
      </c>
      <c r="C2258" s="23" t="inlineStr">
        <is>
          <t>М ИР</t>
        </is>
      </c>
      <c r="D2258" s="23" t="inlineStr">
        <is>
          <t>Аллен Л.</t>
        </is>
      </c>
      <c r="E2258" s="23" t="inlineStr">
        <is>
          <t>Грешная девственница</t>
        </is>
      </c>
      <c r="F2258" s="23" t="n">
        <v>69</v>
      </c>
      <c r="G2258" s="23" t="n">
        <v>167</v>
      </c>
      <c r="H2258" s="23" t="n">
        <v>10</v>
      </c>
      <c r="I2258" s="23" t="n">
        <v>26</v>
      </c>
      <c r="J2258" s="23" t="inlineStr">
        <is>
          <t>978-5-227-06096-9</t>
        </is>
      </c>
      <c r="K2258" s="23" t="inlineStr">
        <is>
          <t>70x100 1/32</t>
        </is>
      </c>
      <c r="L2258" s="23" t="inlineStr">
        <is>
          <t>мяг</t>
        </is>
      </c>
      <c r="M2258" s="23" t="n">
        <v>256</v>
      </c>
      <c r="N2258" s="23" t="n">
        <v>2017</v>
      </c>
      <c r="O2258" s="23" t="n">
        <v>118</v>
      </c>
      <c r="P2258" s="23" t="n"/>
      <c r="Q2258" s="23" t="n"/>
      <c r="R2258" s="25" t="inlineStr">
        <is>
          <t>Разбирая вещи после смерти родителей, Лора Кэмпион на­ткнулась на письма, из которых узнала, что рожденная ею вне брака дочка не умерла, как ее уверяли. Потрясенная Лора отправилась на поиски ребенка. Вскоре она узнала, что девочку растит лорд Эйвери Уикхем, кузен ее погибшего возлюбленного. Леди Кэмпион познакомилась с Уикхемом. И сразу же подружилась с маленькой Алисой. Исстрадавшаяся после стольких потерь молодая женщина была готова на все, чтобы стать матерью своему ребенку. Но лорд Кэмпион любит девочку и не отдаст ее. Открыто признаться в ­своем грехе Лора не может — это погубит ее репутацию, а значит, и будущее Алисы. Она решает соблазнить Уикхема и женить его на себе. Так она заполучит прекрасного мужа и обретет свою дочь…</t>
        </is>
      </c>
      <c r="S2258" s="26">
        <f>HYPERLINK("http://www.cnpol.ru/covers/17382.jpg","фото на сайте")</f>
        <v/>
      </c>
    </row>
    <row r="2259" ht="50.1" customHeight="1" s="3">
      <c r="A2259" s="23" t="n"/>
      <c r="B2259" s="24" t="inlineStr">
        <is>
          <t>18126</t>
        </is>
      </c>
      <c r="C2259" s="23" t="inlineStr">
        <is>
          <t>М ИР</t>
        </is>
      </c>
      <c r="D2259" s="23" t="inlineStr">
        <is>
          <t>Тайнер Л.</t>
        </is>
      </c>
      <c r="E2259" s="23" t="inlineStr">
        <is>
          <t>Дама сердца</t>
        </is>
      </c>
      <c r="F2259" s="23" t="n">
        <v>87</v>
      </c>
      <c r="G2259" s="23" t="n">
        <v>167</v>
      </c>
      <c r="H2259" s="23" t="n">
        <v>10</v>
      </c>
      <c r="I2259" s="23" t="n">
        <v>24</v>
      </c>
      <c r="J2259" s="23" t="inlineStr">
        <is>
          <t>978-5-227-08110-0</t>
        </is>
      </c>
      <c r="K2259" s="23" t="inlineStr">
        <is>
          <t>70x100 1/32</t>
        </is>
      </c>
      <c r="L2259" s="23" t="inlineStr">
        <is>
          <t>мяг</t>
        </is>
      </c>
      <c r="M2259" s="23" t="n">
        <v>256</v>
      </c>
      <c r="N2259" s="23" t="n">
        <v>2018</v>
      </c>
      <c r="O2259" s="23" t="n">
        <v>117</v>
      </c>
      <c r="P2259" s="23" t="n"/>
      <c r="Q2259" s="23" t="n"/>
      <c r="R2259" s="25" t="inlineStr">
        <is>
          <t>Неудавшийся брак родителей и постыдные факты из жизни семьи, попавшие в бульварную прессу, отвратили Лили Хайтауэр от мысли о замужестве. Выбрав участь старой девы, она решительно отвергает предложение живущего по соседству титулованного аристократа Эджворта, хотя с детства питает к нему симпатию. Застенчивая Лили бесконечно далека от светской суеты, да и неподобающее происхождение не позволяет ей занять высокое положение в обществе. А главное, Лили мучают угрызения совести, ведь однажды она невольно стала причиной несчастий семьи Эдж­ворта. Но остановит ли это решительного герцога, если в дело вмешается любовь?..</t>
        </is>
      </c>
      <c r="S2259" s="26">
        <f>HYPERLINK("http://www.cnpol.ru/covers/18126.jpg","фото на сайте")</f>
        <v/>
      </c>
    </row>
    <row r="2260" ht="50.1" customHeight="1" s="3">
      <c r="A2260" s="23" t="n"/>
      <c r="B2260" s="24" t="inlineStr">
        <is>
          <t>18387</t>
        </is>
      </c>
      <c r="C2260" s="23" t="inlineStr">
        <is>
          <t>М ИР</t>
        </is>
      </c>
      <c r="D2260" s="23" t="inlineStr">
        <is>
          <t>Берроуз Э.</t>
        </is>
      </c>
      <c r="E2260" s="23" t="inlineStr">
        <is>
          <t>Дерзкое предложение дебютантки</t>
        </is>
      </c>
      <c r="F2260" s="23" t="n">
        <v>93</v>
      </c>
      <c r="G2260" s="23" t="n">
        <v>167</v>
      </c>
      <c r="H2260" s="23" t="n">
        <v>10</v>
      </c>
      <c r="I2260" s="23" t="n">
        <v>24</v>
      </c>
      <c r="J2260" s="23" t="inlineStr">
        <is>
          <t>978-5-227-08370-8</t>
        </is>
      </c>
      <c r="K2260" s="23" t="inlineStr">
        <is>
          <t>70x100 1/32</t>
        </is>
      </c>
      <c r="L2260" s="23" t="inlineStr">
        <is>
          <t>мяг</t>
        </is>
      </c>
      <c r="M2260" s="23" t="n">
        <v>256</v>
      </c>
      <c r="N2260" s="23" t="n">
        <v>2018</v>
      </c>
      <c r="O2260" s="23" t="n">
        <v>117</v>
      </c>
      <c r="P2260" s="23" t="n"/>
      <c r="Q2260" s="23" t="n"/>
      <c r="R2260" s="25" t="inlineStr">
        <is>
          <t>Мисс Джорджиана Уикфорд, питающая отвращение к физической близости с мужчиной и потому не желающая выходить замуж, придумала блестящий, по ее мнению, план избежать неминуемого – нужно вступить в фиктивный брак! Выбор ее падает на лорда Эшендена, с которым она была очень дружна в детстве. Они провели в разлуке долгие десять лет, ничего друг о друге не зная. Эдмунд же, несмотря на настоятельные уговоры матери, принципиально отказывается жениться и обзаводиться наследниками, в чем состоит его прямой долг как продолжателя рода. И все же природный инстинкт и совместные теплые воспоминания заставляют молодых людей повнимательнее присмотреться друг к другу…</t>
        </is>
      </c>
      <c r="S2260" s="26">
        <f>HYPERLINK("http://www.cnpol.ru/covers/18387.jpg","фото на сайте")</f>
        <v/>
      </c>
    </row>
    <row r="2261" ht="50.1" customHeight="1" s="3">
      <c r="A2261" s="23" t="n"/>
      <c r="B2261" s="24" t="inlineStr">
        <is>
          <t>14960</t>
        </is>
      </c>
      <c r="C2261" s="23" t="inlineStr">
        <is>
          <t>М ИР</t>
        </is>
      </c>
      <c r="D2261" s="23" t="inlineStr">
        <is>
          <t>Скотт Б.</t>
        </is>
      </c>
      <c r="E2261" s="23" t="inlineStr">
        <is>
          <t>Добропорядочный распутник</t>
        </is>
      </c>
      <c r="F2261" s="23" t="n">
        <v>40</v>
      </c>
      <c r="G2261" s="23" t="n">
        <v>167</v>
      </c>
      <c r="H2261" s="23" t="n">
        <v>10</v>
      </c>
      <c r="I2261" s="23" t="n">
        <v>30</v>
      </c>
      <c r="J2261" s="23" t="inlineStr">
        <is>
          <t>978-5-227-04951-3</t>
        </is>
      </c>
      <c r="K2261" s="23" t="inlineStr">
        <is>
          <t>70x100 1/32</t>
        </is>
      </c>
      <c r="L2261" s="23" t="inlineStr">
        <is>
          <t>мяг</t>
        </is>
      </c>
      <c r="M2261" s="23" t="n">
        <v>286</v>
      </c>
      <c r="N2261" s="23" t="n">
        <v>2014</v>
      </c>
      <c r="O2261" s="23" t="n">
        <v>132</v>
      </c>
      <c r="P2261" s="23" t="n"/>
      <c r="Q2261" s="23" t="n"/>
      <c r="R2261" s="25" t="inlineStr">
        <is>
          <t>Эштон Бедивер — известный распутник, который может испортить репутацию быстрее, чем иные джентльмены выпивают свой бренди. После нескольких лет, проведенных в Италии, где он оттачивал свое мастерство обольщения, Эш возвращается в высший свет Лондона, конечно обгоняемый славой щедрого богача и бесстыдного развратника. Его скандальная слава заканчивается со смертью отца. Чтобы претендовать на законное наследство, Эш должен совершить неслыханный поступок — жениться! Но кто может помыслить о свадьбе с таким человеком? Точно не прекрасная Дженивра Ральстон. Ведь она создана для приличного общества. Но можно ли устоять перед очарованием и безупречными манерами бывшего ловеласа?</t>
        </is>
      </c>
      <c r="S2261" s="26">
        <f>HYPERLINK("http://www.cnpol.ru/covers/14960.jpg","фото на сайте")</f>
        <v/>
      </c>
    </row>
    <row r="2262" ht="50.1" customHeight="1" s="3">
      <c r="A2262" s="23" t="n"/>
      <c r="B2262" s="24" t="inlineStr">
        <is>
          <t>20531</t>
        </is>
      </c>
      <c r="C2262" s="23" t="inlineStr">
        <is>
          <t>М ИР</t>
        </is>
      </c>
      <c r="D2262" s="23" t="inlineStr">
        <is>
          <t>Гастон Д.</t>
        </is>
      </c>
      <c r="E2262" s="23" t="inlineStr">
        <is>
          <t>Ее отважный капитан</t>
        </is>
      </c>
      <c r="F2262" s="23" t="n">
        <v>123</v>
      </c>
      <c r="G2262" s="23" t="n">
        <v>167</v>
      </c>
      <c r="H2262" s="23" t="n">
        <v>10</v>
      </c>
      <c r="I2262" s="23" t="n">
        <v>16</v>
      </c>
      <c r="J2262" s="23" t="inlineStr">
        <is>
          <t>978-5-227-10184-6</t>
        </is>
      </c>
      <c r="K2262" s="23" t="inlineStr">
        <is>
          <t>70x100 1/32</t>
        </is>
      </c>
      <c r="L2262" s="23" t="inlineStr">
        <is>
          <t>мяг</t>
        </is>
      </c>
      <c r="M2262" s="23" t="n">
        <v>255</v>
      </c>
      <c r="N2262" s="23" t="n">
        <v>2023</v>
      </c>
      <c r="O2262" s="23" t="n">
        <v>270</v>
      </c>
      <c r="P2262" s="23" t="n"/>
      <c r="Q2262" s="23" t="n"/>
      <c r="R2262" s="25" t="inlineStr">
        <is>
          <t>1815 год. Леди Хелен Бейнс приехала в Брюссель накануне сражения при Ватерлоо, чтобы разыскать младшего брата Дэвида, ставшего графом после смерти их родителей. Но юнец хочет посмотреть на предстоящее великое сражение с Наполеоном. В сопровождении старого слуги Хелен обходит городские трактиры и наконец находит брата, который затевает ссору с местным жителем. Юношу спасает военный, в котором Хелен узнает Риса Лэндона, друга детства и свою любовь. Пять лет назад Хелен и Рис собирались бежать и пожениться, но отец Хелен, граф Ярфорд, узнав о планах дочери, запретил ей выходить за сына приходского священника. Он предложил Рису деньги на покупку офицерского чина, и Рис, посчитав, что Хелен предала его, навсегда покинул родные края, вступив в армию. Молодые люди расстались, но их чувства не остыли...</t>
        </is>
      </c>
      <c r="S2262" s="26">
        <f>HYPERLINK("http://www.cnpol.ru/covers/20531.jpg","фото на сайте")</f>
        <v/>
      </c>
    </row>
    <row r="2263" ht="50.1" customHeight="1" s="3">
      <c r="A2263" s="23" t="n"/>
      <c r="B2263" s="24" t="inlineStr">
        <is>
          <t>19124</t>
        </is>
      </c>
      <c r="C2263" s="23" t="inlineStr">
        <is>
          <t>М ИР</t>
        </is>
      </c>
      <c r="D2263" s="23" t="inlineStr">
        <is>
          <t>Диксон Х.</t>
        </is>
      </c>
      <c r="E2263" s="23" t="inlineStr">
        <is>
          <t>Женщины графа Ланзбури</t>
        </is>
      </c>
      <c r="F2263" s="23" t="n">
        <v>107</v>
      </c>
      <c r="G2263" s="23" t="n">
        <v>167</v>
      </c>
      <c r="H2263" s="23" t="n">
        <v>10</v>
      </c>
      <c r="I2263" s="23" t="n">
        <v>24</v>
      </c>
      <c r="J2263" s="23" t="inlineStr">
        <is>
          <t>978-5-227-08950-2</t>
        </is>
      </c>
      <c r="K2263" s="23" t="inlineStr">
        <is>
          <t>70x100 1/32</t>
        </is>
      </c>
      <c r="L2263" s="23" t="inlineStr">
        <is>
          <t>мяг</t>
        </is>
      </c>
      <c r="M2263" s="23" t="n">
        <v>256</v>
      </c>
      <c r="N2263" s="23" t="n">
        <v>2020</v>
      </c>
      <c r="O2263" s="23" t="n">
        <v>120</v>
      </c>
      <c r="P2263" s="23" t="n"/>
      <c r="Q2263" s="23" t="n"/>
      <c r="R2263" s="25" t="inlineStr">
        <is>
          <t>Возвращаясь в Англию из Египта после смерти отца­археолога, Джейн Мортимер влюбляется на корабле в красавца­графа Кристофера Ланзбури. Попав затем в имение Ланзбурнов в качестве гувернантки, она узнает печальную историю графа: чтобы выправить дела семьи, стоящей на грани разорения, Кристофер подумывает жениться на богатой американке, охотницей за титулом. Циничный и жестокий, он не верит женщинам, поскольку в юности пережил любовную драму. Джейн все глубже погружается в мир, который очень отличается от ее прошлой жизни. Она обладает способностью проникнуть в самые потаенные уголки души Кристофера и исцелить его раненое сердце.</t>
        </is>
      </c>
      <c r="S2263" s="26">
        <f>HYPERLINK("http://www.cnpol.ru/covers/19124.jpg","фото на сайте")</f>
        <v/>
      </c>
    </row>
    <row r="2264" ht="50.1" customHeight="1" s="3">
      <c r="A2264" s="23" t="n"/>
      <c r="B2264" s="24" t="inlineStr">
        <is>
          <t>14411</t>
        </is>
      </c>
      <c r="C2264" s="23" t="inlineStr">
        <is>
          <t>М ИР</t>
        </is>
      </c>
      <c r="D2264" s="23" t="inlineStr">
        <is>
          <t>Мортимер К.</t>
        </is>
      </c>
      <c r="E2264" s="23" t="inlineStr">
        <is>
          <t>Жестокость любви</t>
        </is>
      </c>
      <c r="F2264" s="23" t="n">
        <v>26</v>
      </c>
      <c r="G2264" s="23" t="n">
        <v>167</v>
      </c>
      <c r="H2264" s="23" t="n">
        <v>10</v>
      </c>
      <c r="I2264" s="23" t="n">
        <v>28</v>
      </c>
      <c r="J2264" s="23" t="inlineStr">
        <is>
          <t>978-5-227-04456-3</t>
        </is>
      </c>
      <c r="K2264" s="23" t="inlineStr">
        <is>
          <t>70x100 1/32</t>
        </is>
      </c>
      <c r="L2264" s="23" t="inlineStr">
        <is>
          <t>мяг</t>
        </is>
      </c>
      <c r="M2264" s="23" t="n">
        <v>224</v>
      </c>
      <c r="N2264" s="23" t="n">
        <v>2013</v>
      </c>
      <c r="O2264" s="23" t="n">
        <v>104</v>
      </c>
      <c r="P2264" s="23" t="n"/>
      <c r="Q2264" s="23" t="n"/>
      <c r="R2264" s="25" t="inlineStr">
        <is>
          <t>Прошло уже много времени с тех пор, как Руперт Стерлинг, герцог Страттон, получил прозвище Дьявол. Заслужил он его как за возмутительные выходки в дамских покоях, так и за подвиги за их пределами. Овдовевшая герцогиня Виндвуд, Пандора Мейбери, избегает сомнительной славы быть любовницей лощеного красавца, она хорошо знакома с тем, что значит быть предметом грязных сплетен. А Руперт, который спас ее из компрометирующей ситуации, теперь хочет сам ее опорочить…</t>
        </is>
      </c>
      <c r="S2264" s="26">
        <f>HYPERLINK("http://www.cnpol.ru/covers/14411.jpg","фото на сайте")</f>
        <v/>
      </c>
    </row>
    <row r="2265" ht="50.1" customHeight="1" s="3">
      <c r="A2265" s="23" t="n"/>
      <c r="B2265" s="24" t="inlineStr">
        <is>
          <t>17571</t>
        </is>
      </c>
      <c r="C2265" s="23" t="inlineStr">
        <is>
          <t>М ИР</t>
        </is>
      </c>
      <c r="D2265" s="23" t="inlineStr">
        <is>
          <t>Скотт Б.</t>
        </is>
      </c>
      <c r="E2265" s="23" t="inlineStr">
        <is>
          <t>Завидная невеста</t>
        </is>
      </c>
      <c r="F2265" s="23" t="n">
        <v>76</v>
      </c>
      <c r="G2265" s="23" t="n">
        <v>167</v>
      </c>
      <c r="H2265" s="23" t="n">
        <v>10</v>
      </c>
      <c r="I2265" s="23" t="n">
        <v>24</v>
      </c>
      <c r="J2265" s="23" t="inlineStr">
        <is>
          <t>978-5-227-07593-2</t>
        </is>
      </c>
      <c r="K2265" s="23" t="inlineStr">
        <is>
          <t>70x100 1/32</t>
        </is>
      </c>
      <c r="L2265" s="23" t="inlineStr">
        <is>
          <t>мяг</t>
        </is>
      </c>
      <c r="M2265" s="23" t="n">
        <v>256</v>
      </c>
      <c r="N2265" s="23" t="n">
        <v>2017</v>
      </c>
      <c r="O2265" s="23" t="n">
        <v>117</v>
      </c>
      <c r="P2265" s="23" t="n"/>
      <c r="Q2265" s="23" t="n"/>
      <c r="R2265" s="25" t="n"/>
      <c r="S2265" s="26">
        <f>HYPERLINK("http://www.cnpol.ru/covers/17571.jpg","фото на сайте")</f>
        <v/>
      </c>
    </row>
    <row r="2266" ht="50.1" customHeight="1" s="3">
      <c r="A2266" s="23" t="n"/>
      <c r="B2266" s="24" t="inlineStr">
        <is>
          <t>15221</t>
        </is>
      </c>
      <c r="C2266" s="23" t="inlineStr">
        <is>
          <t>М ИР</t>
        </is>
      </c>
      <c r="D2266" s="23" t="inlineStr">
        <is>
          <t>Макфи М.</t>
        </is>
      </c>
      <c r="E2266" s="23" t="inlineStr">
        <is>
          <t>Западня для лорда</t>
        </is>
      </c>
      <c r="F2266" s="23" t="n">
        <v>49</v>
      </c>
      <c r="G2266" s="23" t="n">
        <v>167</v>
      </c>
      <c r="H2266" s="23" t="n">
        <v>10</v>
      </c>
      <c r="I2266" s="23" t="n">
        <v>30</v>
      </c>
      <c r="J2266" s="23" t="inlineStr">
        <is>
          <t>978-5-227-05245-2</t>
        </is>
      </c>
      <c r="K2266" s="23" t="inlineStr">
        <is>
          <t>70x100 1/32</t>
        </is>
      </c>
      <c r="L2266" s="23" t="inlineStr">
        <is>
          <t>мяг</t>
        </is>
      </c>
      <c r="M2266" s="23" t="n">
        <v>254</v>
      </c>
      <c r="N2266" s="23" t="n">
        <v>2014</v>
      </c>
      <c r="O2266" s="23" t="n">
        <v>118</v>
      </c>
      <c r="P2266" s="23" t="n"/>
      <c r="Q2266" s="23" t="n"/>
      <c r="R2266" s="25" t="inlineStr">
        <is>
          <t>Красавица Венеция Фокс — самая известная актриса Лондона и предмет вожделения мужчин высшего света — поставила перед собой сложную задачу. Она должна очаровать дьявольски при¬влекательного, но очень опасного лорда Френсиса Линвуда и выманить у него признание в убийстве ее отца, герцога Ротерхема. Венеция может одурачить кого угодно, но не Линвуда, он сразу догадался — мисс Фокс что-то замышляет. И все же принимает вызов, намереваясь переиграть актрису в ее собственной соблазнительной манере…</t>
        </is>
      </c>
      <c r="S2266" s="26">
        <f>HYPERLINK("http://www.cnpol.ru/covers/15221.jpg","фото на сайте")</f>
        <v/>
      </c>
    </row>
    <row r="2267" ht="50.1" customHeight="1" s="3">
      <c r="A2267" s="23" t="n"/>
      <c r="B2267" s="24" t="inlineStr">
        <is>
          <t>14482</t>
        </is>
      </c>
      <c r="C2267" s="23" t="inlineStr">
        <is>
          <t>М ИР</t>
        </is>
      </c>
      <c r="D2267" s="23" t="inlineStr">
        <is>
          <t>Аллен Л.</t>
        </is>
      </c>
      <c r="E2267" s="23" t="inlineStr">
        <is>
          <t>Запретная драгоценность</t>
        </is>
      </c>
      <c r="F2267" s="23" t="n">
        <v>28</v>
      </c>
      <c r="G2267" s="23" t="n">
        <v>167</v>
      </c>
      <c r="H2267" s="23" t="n">
        <v>10</v>
      </c>
      <c r="I2267" s="23" t="n">
        <v>32</v>
      </c>
      <c r="J2267" s="23" t="inlineStr">
        <is>
          <t>978-5-227-04510-2</t>
        </is>
      </c>
      <c r="K2267" s="23" t="inlineStr">
        <is>
          <t>70x100 1/32</t>
        </is>
      </c>
      <c r="L2267" s="23" t="inlineStr">
        <is>
          <t>мяг</t>
        </is>
      </c>
      <c r="M2267" s="23" t="n">
        <v>254</v>
      </c>
      <c r="N2267" s="23" t="n">
        <v>2013</v>
      </c>
      <c r="O2267" s="23" t="n">
        <v>118</v>
      </c>
      <c r="P2267" s="23" t="n"/>
      <c r="Q2267" s="23" t="n"/>
      <c r="R2267" s="25" t="inlineStr">
        <is>
          <t>Красавица Ануша Лоуренс — дочь английского лорда и губернатора Калькутты, сэра Джорджа Лоуренса, сердилась на отца за то, что он отправил ее вместе с матерью жить к дяде. Ее мать умерла от тоски. Спустя двенадцать лет отец вознамерился найти для дочери подходящего жениха и прислал за Анушей своего помощника, красавца майора Николаса Хериарда. Мисс Лоуренс вовсе не жаждала выйти замуж, она помнила, сколько горя принесла любовь ее матери. Майор тоже не собирался жениться после первого неудачного брака. В опасном путешествии Ник Хериард проявлял чудеса отваги и благородства, Ануша просто не могла не влюбиться в него, но была уверена, что он не отвечает ей взаимностью…</t>
        </is>
      </c>
      <c r="S2267" s="26">
        <f>HYPERLINK("http://www.cnpol.ru/covers/14482.jpg","фото на сайте")</f>
        <v/>
      </c>
    </row>
    <row r="2268" ht="50.1" customHeight="1" s="3">
      <c r="A2268" s="23" t="n"/>
      <c r="B2268" s="24" t="inlineStr">
        <is>
          <t>15036</t>
        </is>
      </c>
      <c r="C2268" s="23" t="inlineStr">
        <is>
          <t>М ИР</t>
        </is>
      </c>
      <c r="D2268" s="23" t="inlineStr">
        <is>
          <t>Аллен Л.</t>
        </is>
      </c>
      <c r="E2268" s="23" t="inlineStr">
        <is>
          <t>Запятнанная репутация</t>
        </is>
      </c>
      <c r="F2268" s="23" t="n">
        <v>42</v>
      </c>
      <c r="G2268" s="23" t="n">
        <v>167</v>
      </c>
      <c r="H2268" s="23" t="n">
        <v>10</v>
      </c>
      <c r="I2268" s="23" t="n">
        <v>30</v>
      </c>
      <c r="J2268" s="23" t="inlineStr">
        <is>
          <t>978-5-227-04987-2</t>
        </is>
      </c>
      <c r="K2268" s="23" t="inlineStr">
        <is>
          <t>70x100 1/32</t>
        </is>
      </c>
      <c r="L2268" s="23" t="inlineStr">
        <is>
          <t>мяг</t>
        </is>
      </c>
      <c r="M2268" s="23" t="n">
        <v>286</v>
      </c>
      <c r="N2268" s="23" t="n">
        <v>2014</v>
      </c>
      <c r="O2268" s="23" t="n">
        <v>130</v>
      </c>
      <c r="P2268" s="23" t="n"/>
      <c r="Q2268" s="23" t="n"/>
      <c r="R2268" s="25" t="n"/>
      <c r="S2268" s="26">
        <f>HYPERLINK("http://www.cnpol.ru/covers/15036.jpg","фото на сайте")</f>
        <v/>
      </c>
    </row>
    <row r="2269" ht="50.1" customHeight="1" s="3">
      <c r="A2269" s="23" t="n"/>
      <c r="B2269" s="24" t="inlineStr">
        <is>
          <t>14399</t>
        </is>
      </c>
      <c r="C2269" s="23" t="inlineStr">
        <is>
          <t>М ИР</t>
        </is>
      </c>
      <c r="D2269" s="23" t="inlineStr">
        <is>
          <t>Скотт Б.</t>
        </is>
      </c>
      <c r="E2269" s="23" t="inlineStr">
        <is>
          <t>Искусство порока</t>
        </is>
      </c>
      <c r="F2269" s="23" t="n">
        <v>27</v>
      </c>
      <c r="G2269" s="23" t="n">
        <v>167</v>
      </c>
      <c r="H2269" s="23" t="n">
        <v>10</v>
      </c>
      <c r="I2269" s="23" t="n">
        <v>32</v>
      </c>
      <c r="J2269" s="23" t="inlineStr">
        <is>
          <t>978-5-227-04480-8</t>
        </is>
      </c>
      <c r="K2269" s="23" t="inlineStr">
        <is>
          <t>70x100 1/32</t>
        </is>
      </c>
      <c r="L2269" s="23" t="inlineStr">
        <is>
          <t>мяг</t>
        </is>
      </c>
      <c r="M2269" s="23" t="n">
        <v>286</v>
      </c>
      <c r="N2269" s="23" t="n">
        <v>2013</v>
      </c>
      <c r="O2269" s="23" t="n">
        <v>134</v>
      </c>
      <c r="P2269" s="23" t="n"/>
      <c r="Q2269" s="23" t="n"/>
      <c r="R2269" s="25" t="inlineStr">
        <is>
          <t>Красавец Меррик Сент-Магнус слыл в высшем свете Лондона повесой и соблазнителем женщин. Младшему сыну маркиза не полагалось наследство, титул и состояние получит старший сын. Не желая зависеть от отца, Меррик сам добывал средства к существованию. Брак по расчету он презирал, а жениться по любви не мог из-за отсутствия состояния, да и не верил, что может всерьез влюбиться. Не верил, пока не встретил леди Эликс Бурк, в высшей степени необычную девушку, не любившую шумный свет, равнодушную к нарядам и развлечениям лондонского общества и не желающую выходить замуж. Меррик так увлекся, что не успел опомниться, как оказался в самом центре водоворота страсти, а ведь всего лишь намеревался пробудить чувственность в прекрасной затворнице…</t>
        </is>
      </c>
      <c r="S2269" s="26">
        <f>HYPERLINK("http://www.cnpol.ru/covers/14399.jpg","фото на сайте")</f>
        <v/>
      </c>
    </row>
    <row r="2270" ht="50.1" customHeight="1" s="3">
      <c r="A2270" s="23" t="n"/>
      <c r="B2270" s="24" t="inlineStr">
        <is>
          <t>18932</t>
        </is>
      </c>
      <c r="C2270" s="23" t="inlineStr">
        <is>
          <t>М ИР</t>
        </is>
      </c>
      <c r="D2270" s="23" t="inlineStr">
        <is>
          <t>Мартин Л.</t>
        </is>
      </c>
      <c r="E2270" s="23" t="inlineStr">
        <is>
          <t>Как завоевать шейха</t>
        </is>
      </c>
      <c r="F2270" s="23" t="n">
        <v>104</v>
      </c>
      <c r="G2270" s="23" t="n">
        <v>167</v>
      </c>
      <c r="H2270" s="23" t="n">
        <v>10</v>
      </c>
      <c r="I2270" s="23" t="n">
        <v>30</v>
      </c>
      <c r="J2270" s="23" t="inlineStr">
        <is>
          <t>978-5-227-08830-7</t>
        </is>
      </c>
      <c r="K2270" s="23" t="inlineStr">
        <is>
          <t>70x100 1/32</t>
        </is>
      </c>
      <c r="L2270" s="23" t="inlineStr">
        <is>
          <t>мяг</t>
        </is>
      </c>
      <c r="M2270" s="23" t="n">
        <v>256</v>
      </c>
      <c r="N2270" s="23" t="n">
        <v>2019</v>
      </c>
      <c r="O2270" s="23" t="n">
        <v>116</v>
      </c>
      <c r="P2270" s="23" t="n"/>
      <c r="Q2270" s="23" t="n"/>
      <c r="R2270" s="25" t="inlineStr">
        <is>
          <t>Двадцатилетняя Рэчел Тэлбот, дочь барона, только что окончила школу для юных леди. Она хочет посмотреть мир и откликается на предложение стать гувернанткой детей молодого вдовца, правителя азиатского государства Гурия. Очарованный достоинствами Рэчел, которая помогла ему сблизиться с семьей, красавец­шейх незаметно для самого себя влюбляется в англичанку. Ранее Малик с трудом понимал, что такое взаимная любовь, ведь у него с первой женой был договорной,  династический брак. Смелая и яркая Рэчел разбудила чувства шейха, сама же девушка потеряла голову с первой минуты, как увидела его…</t>
        </is>
      </c>
      <c r="S2270" s="26">
        <f>HYPERLINK("http://www.cnpol.ru/covers/18932.jpg","фото на сайте")</f>
        <v/>
      </c>
    </row>
    <row r="2271" ht="50.1" customHeight="1" s="3">
      <c r="A2271" s="23" t="n"/>
      <c r="B2271" s="24" t="inlineStr">
        <is>
          <t>14719</t>
        </is>
      </c>
      <c r="C2271" s="23" t="inlineStr">
        <is>
          <t>М ИР</t>
        </is>
      </c>
      <c r="D2271" s="23" t="inlineStr">
        <is>
          <t>Скотт Б.</t>
        </is>
      </c>
      <c r="E2271" s="23" t="inlineStr">
        <is>
          <t>Как удачно согрешить</t>
        </is>
      </c>
      <c r="F2271" s="23" t="n">
        <v>35</v>
      </c>
      <c r="G2271" s="23" t="n">
        <v>167</v>
      </c>
      <c r="H2271" s="23" t="n">
        <v>10</v>
      </c>
      <c r="I2271" s="23" t="n">
        <v>30</v>
      </c>
      <c r="J2271" s="23" t="inlineStr">
        <is>
          <t>978-5-227-04694-9</t>
        </is>
      </c>
      <c r="K2271" s="23" t="inlineStr">
        <is>
          <t>75x100 1/32</t>
        </is>
      </c>
      <c r="L2271" s="23" t="inlineStr">
        <is>
          <t>мяг</t>
        </is>
      </c>
      <c r="M2271" s="23" t="n">
        <v>254</v>
      </c>
      <c r="N2271" s="23" t="n">
        <v>2013</v>
      </c>
      <c r="O2271" s="23" t="n">
        <v>120</v>
      </c>
      <c r="P2271" s="23" t="n"/>
      <c r="Q2271" s="23" t="n"/>
      <c r="R2271" s="25" t="inlineStr">
        <is>
          <t>Мора Гардинг, молодая девушка из благородной семьи, приехала в Лондон из Девоншира в надежде затеряться в большом городе. Она бежала из дому, спасаясь от брака с могущественным и властным бароном Уилдерхемом, опасным и жестоким извращенцем. В Лондоне девушка поступила на службу в качестве гувернантки в дом Риордана Баррета, опекуна двоих маленьких детей. Мора не подозревала о его порочной репутации и уж тем более о том, что очень скоро он преподаст ей урок откровенной чувственности и научит тому, как удачно согрешить…</t>
        </is>
      </c>
      <c r="S2271" s="26">
        <f>HYPERLINK("http://www.cnpol.ru/covers/14719.jpg","фото на сайте")</f>
        <v/>
      </c>
    </row>
    <row r="2272" ht="50.1" customHeight="1" s="3">
      <c r="A2272" s="23" t="n"/>
      <c r="B2272" s="24" t="inlineStr">
        <is>
          <t>15171</t>
        </is>
      </c>
      <c r="C2272" s="23" t="inlineStr">
        <is>
          <t>М ИР</t>
        </is>
      </c>
      <c r="D2272" s="23" t="inlineStr">
        <is>
          <t>Эшфорд Люси</t>
        </is>
      </c>
      <c r="E2272" s="23" t="inlineStr">
        <is>
          <t>Куртизанка и капитан</t>
        </is>
      </c>
      <c r="F2272" s="23" t="n">
        <v>48</v>
      </c>
      <c r="G2272" s="23" t="n">
        <v>167</v>
      </c>
      <c r="H2272" s="23" t="n">
        <v>10</v>
      </c>
      <c r="I2272" s="23" t="n">
        <v>24</v>
      </c>
      <c r="J2272" s="23" t="inlineStr">
        <is>
          <t>978-5-227-05230-8</t>
        </is>
      </c>
      <c r="K2272" s="23" t="inlineStr">
        <is>
          <t>70x100 1/32</t>
        </is>
      </c>
      <c r="L2272" s="23" t="inlineStr">
        <is>
          <t>мяг</t>
        </is>
      </c>
      <c r="M2272" s="23" t="n">
        <v>287</v>
      </c>
      <c r="N2272" s="23" t="n">
        <v>2014</v>
      </c>
      <c r="O2272" s="23" t="n">
        <v>132</v>
      </c>
      <c r="P2272" s="23" t="n"/>
      <c r="Q2272" s="23" t="n"/>
      <c r="R2272" s="25" t="inlineStr">
        <is>
          <t>В поисках насильника своей сестры Розали Роуленд решает сыграть роль куртизанки в элитном борделе Лондона. Но когда она вживается в образ, в Храме красоты появляется бывший капитан, мужественный и обворожительный граф Алек Стюарт. Вспыхнувшая между молодыми людьми страсть могла бы стать искренним чувством, но как быть уверенным друг в друге, если у каждого свои секреты, свое горе, свои месть и отчаяние, за которыми скрывается правда?</t>
        </is>
      </c>
      <c r="S2272" s="26">
        <f>HYPERLINK("http://www.cnpol.ru/covers/15171.jpg","фото на сайте")</f>
        <v/>
      </c>
    </row>
    <row r="2273" ht="50.1" customHeight="1" s="3">
      <c r="A2273" s="23" t="n"/>
      <c r="B2273" s="24" t="inlineStr">
        <is>
          <t>15439</t>
        </is>
      </c>
      <c r="C2273" s="23" t="inlineStr">
        <is>
          <t>М ИР</t>
        </is>
      </c>
      <c r="D2273" s="23" t="inlineStr">
        <is>
          <t>Скотт Б.</t>
        </is>
      </c>
      <c r="E2273" s="23" t="inlineStr">
        <is>
          <t>Леди рискует всем</t>
        </is>
      </c>
      <c r="F2273" s="23" t="n">
        <v>52</v>
      </c>
      <c r="G2273" s="23" t="n">
        <v>167</v>
      </c>
      <c r="H2273" s="23" t="n">
        <v>10</v>
      </c>
      <c r="I2273" s="23" t="n">
        <v>30</v>
      </c>
      <c r="J2273" s="23" t="inlineStr">
        <is>
          <t>978-5-227-05385-5</t>
        </is>
      </c>
      <c r="K2273" s="23" t="inlineStr">
        <is>
          <t>70x100 1/32</t>
        </is>
      </c>
      <c r="L2273" s="23" t="inlineStr">
        <is>
          <t>мяг</t>
        </is>
      </c>
      <c r="M2273" s="23" t="n">
        <v>254</v>
      </c>
      <c r="N2273" s="23" t="n">
        <v>2014</v>
      </c>
      <c r="O2273" s="23" t="n">
        <v>118</v>
      </c>
      <c r="P2273" s="23" t="n"/>
      <c r="Q2273" s="23" t="n"/>
      <c r="R2273" s="25" t="inlineStr">
        <is>
          <t>Жизнь знаменитого игрока Аллена Локхарта и его дочери, красавицы Мерседес, всецело посвящена бильярду, сделавшим Аллена богатым преуспевающим дельцом и хозяином собственного бильярдного клуба в Брайтоне. Дочь мечтает играть профессионально наравне с мужчинами, но нравы общества не позволяют ей этого. Поэтому для привлечения внимания к предстоящему турниру ее отец выбирает красивого и обаятельного, способного увлечь зрителей обедневшего дворянина Гриира Бэррингтона. С первой же встречи между молодыми людьми вспыхивает взаимное влечение. Однако тайные намерения Мерседес, хитрости ее отца, использующего любую возможность обогатиться, и различие в социальном положении превращают их отношения в запу­танный клубок страсти, соперничества, недомолвок и взаимного недоверия…</t>
        </is>
      </c>
      <c r="S2273" s="26">
        <f>HYPERLINK("http://www.cnpol.ru/covers/15439.jpg","фото на сайте")</f>
        <v/>
      </c>
    </row>
    <row r="2274" ht="50.1" customHeight="1" s="3">
      <c r="A2274" s="23" t="n"/>
      <c r="B2274" s="24" t="inlineStr">
        <is>
          <t>19296</t>
        </is>
      </c>
      <c r="C2274" s="23" t="inlineStr">
        <is>
          <t>М ИР</t>
        </is>
      </c>
      <c r="D2274" s="23" t="inlineStr">
        <is>
          <t>Престон</t>
        </is>
      </c>
      <c r="E2274" s="23" t="inlineStr">
        <is>
          <t>Леди-бесприданница</t>
        </is>
      </c>
      <c r="F2274" s="23" t="n">
        <v>110</v>
      </c>
      <c r="G2274" s="23" t="n">
        <v>167</v>
      </c>
      <c r="H2274" s="23" t="n">
        <v>10</v>
      </c>
      <c r="I2274" s="23" t="n">
        <v>18</v>
      </c>
      <c r="J2274" s="23" t="inlineStr">
        <is>
          <t>978-5-227-09063-8</t>
        </is>
      </c>
      <c r="K2274" s="23" t="inlineStr">
        <is>
          <t>70x100 1/32</t>
        </is>
      </c>
      <c r="L2274" s="23" t="inlineStr">
        <is>
          <t>мяг</t>
        </is>
      </c>
      <c r="M2274" s="23" t="n">
        <v>256</v>
      </c>
      <c r="N2274" s="23" t="n">
        <v>2020</v>
      </c>
      <c r="O2274" s="23" t="n">
        <v>120</v>
      </c>
      <c r="P2274" s="23" t="n"/>
      <c r="Q2274" s="23" t="n"/>
      <c r="R2274" s="25" t="inlineStr">
        <is>
          <t>Спасти от разорения семейство графа Маккриффа может удачный брак старшей дочери Флоры. Но она посмела отказать распутному герцогу, тем самым вызвав порицание родных и высшего света. Разгневанный отец, не видя другого выхода, решил выдать ее за невероятно богатого, но безродного Лахлана Макнейла, которому нужны связи в высшем обществе. Он, несомненно, красив и умен, но молчалив и не слишком приветлив. Флора всеми силами пытается наладить отношения со своим мужем, и между ними возникает взаимное влечение, в котором они, по разным причинам, никак не могут признаться друг другу…</t>
        </is>
      </c>
      <c r="S2274" s="26">
        <f>HYPERLINK("http://www.cnpol.ru/covers/19296.jpg","фото на сайте")</f>
        <v/>
      </c>
    </row>
    <row r="2275" ht="50.1" customHeight="1" s="3">
      <c r="A2275" s="23" t="n"/>
      <c r="B2275" s="24" t="inlineStr">
        <is>
          <t>17769</t>
        </is>
      </c>
      <c r="C2275" s="23" t="inlineStr">
        <is>
          <t>М ИР</t>
        </is>
      </c>
      <c r="D2275" s="23" t="inlineStr">
        <is>
          <t>Макфи М.</t>
        </is>
      </c>
      <c r="E2275" s="23" t="inlineStr">
        <is>
          <t>Любовница маркиза</t>
        </is>
      </c>
      <c r="F2275" s="23" t="n">
        <v>79</v>
      </c>
      <c r="G2275" s="23" t="n">
        <v>167</v>
      </c>
      <c r="H2275" s="23" t="n">
        <v>10</v>
      </c>
      <c r="I2275" s="23" t="n">
        <v>24</v>
      </c>
      <c r="J2275" s="23" t="inlineStr">
        <is>
          <t>978-5-227-07738-7</t>
        </is>
      </c>
      <c r="K2275" s="23" t="inlineStr">
        <is>
          <t>70x100 1/32</t>
        </is>
      </c>
      <c r="L2275" s="23" t="inlineStr">
        <is>
          <t>мяг</t>
        </is>
      </c>
      <c r="M2275" s="23" t="n">
        <v>256</v>
      </c>
      <c r="N2275" s="23" t="n">
        <v>2017</v>
      </c>
      <c r="O2275" s="23" t="n">
        <v>117</v>
      </c>
      <c r="P2275" s="23" t="n"/>
      <c r="Q2275" s="23" t="n"/>
      <c r="R2275" s="25" t="inlineStr">
        <is>
          <t>Понимая, что пришло время найти подходящую жену и произвести на свет наследника, маркиз Рэйзеби решил расстаться с любовницей - очаровательной актрисой Эллис Свитли. Но он ошибался, полагая, что сможет забыть ее. Каждый вечер она появляется на сцене Ковент­Гардена, завораживая Рэйзеби своей красотой и талантом. Никто не знает, как страдает Эллис, потеряв Рэйзеби, но не в ее силах что­либо изменить, разве может маркиз жениться на актрисе?</t>
        </is>
      </c>
      <c r="S2275" s="26">
        <f>HYPERLINK("http://www.cnpol.ru/covers/17769.jpg","фото на сайте")</f>
        <v/>
      </c>
    </row>
    <row r="2276" ht="50.1" customHeight="1" s="3">
      <c r="A2276" s="23" t="n"/>
      <c r="B2276" s="24" t="inlineStr">
        <is>
          <t>18975</t>
        </is>
      </c>
      <c r="C2276" s="23" t="inlineStr">
        <is>
          <t>М ИР</t>
        </is>
      </c>
      <c r="D2276" s="23" t="inlineStr">
        <is>
          <t>Гиффорд Б.</t>
        </is>
      </c>
      <c r="E2276" s="23" t="inlineStr">
        <is>
          <t>Любовные ошибки леди Валери</t>
        </is>
      </c>
      <c r="F2276" s="23" t="n">
        <v>105</v>
      </c>
      <c r="G2276" s="23" t="n">
        <v>167</v>
      </c>
      <c r="H2276" s="23" t="n">
        <v>10</v>
      </c>
      <c r="I2276" s="23" t="n">
        <v>24</v>
      </c>
      <c r="J2276" s="23" t="inlineStr">
        <is>
          <t>978-5-227-08894-9</t>
        </is>
      </c>
      <c r="K2276" s="23" t="inlineStr">
        <is>
          <t>70x100 1/32</t>
        </is>
      </c>
      <c r="L2276" s="23" t="inlineStr">
        <is>
          <t>мяг</t>
        </is>
      </c>
      <c r="M2276" s="23" t="n">
        <v>256</v>
      </c>
      <c r="N2276" s="23" t="n">
        <v>2019</v>
      </c>
      <c r="O2276" s="23" t="n">
        <v>116</v>
      </c>
      <c r="P2276" s="23" t="n"/>
      <c r="Q2276" s="23" t="n"/>
      <c r="R2276" s="25" t="n"/>
      <c r="S2276" s="26">
        <f>HYPERLINK("http://www.cnpol.ru/covers/18975.jpg","фото на сайте")</f>
        <v/>
      </c>
    </row>
    <row r="2277" ht="50.1" customHeight="1" s="3">
      <c r="A2277" s="23" t="n"/>
      <c r="B2277" s="24" t="inlineStr">
        <is>
          <t>18198</t>
        </is>
      </c>
      <c r="C2277" s="23" t="inlineStr">
        <is>
          <t>М ИР</t>
        </is>
      </c>
      <c r="D2277" s="23" t="inlineStr">
        <is>
          <t>Гиффорд Б.</t>
        </is>
      </c>
      <c r="E2277" s="23" t="inlineStr">
        <is>
          <t>Любовный поединок</t>
        </is>
      </c>
      <c r="F2277" s="23" t="n">
        <v>89</v>
      </c>
      <c r="G2277" s="23" t="n">
        <v>167</v>
      </c>
      <c r="H2277" s="23" t="n">
        <v>10</v>
      </c>
      <c r="I2277" s="23" t="n">
        <v>24</v>
      </c>
      <c r="J2277" s="23" t="inlineStr">
        <is>
          <t>978-5-227-08209-1</t>
        </is>
      </c>
      <c r="K2277" s="23" t="inlineStr">
        <is>
          <t>70x100 1/32</t>
        </is>
      </c>
      <c r="L2277" s="23" t="inlineStr">
        <is>
          <t>мяг</t>
        </is>
      </c>
      <c r="M2277" s="23" t="n">
        <v>254</v>
      </c>
      <c r="N2277" s="23" t="n">
        <v>2018</v>
      </c>
      <c r="O2277" s="23" t="n">
        <v>120</v>
      </c>
      <c r="P2277" s="23" t="n"/>
      <c r="Q2277" s="23" t="n"/>
      <c r="R2277" s="25" t="inlineStr">
        <is>
          <t>Англия, XIV век. Сесилия, графиня Лосфорд, питала ненависть к французам, обвиняя их в гибели отца, поэтому не одобряла роман принцессы Изабеллы, любимой дочери короля, с заложником английской короны. Стараясь предотвратить появление при дворе слухов, она заключает союз с другим французским заложником, Марком де Марселем — благородным шевалье, который давно понял, что для многих рыцарей честь не более чем громкое слово. Сесилия и Марк пытаются отдалить принцессу от французского герцога, но по иронии судьбы сами становятся близки. В конце концов настает момент, когда каждому из главных героев этой истории приходится выбирать, действовать ли из соображений чести или по велению сердца.</t>
        </is>
      </c>
      <c r="S2277" s="26">
        <f>HYPERLINK("http://www.cnpol.ru/covers/18198.jpg","фото на сайте")</f>
        <v/>
      </c>
    </row>
    <row r="2278" ht="50.1" customHeight="1" s="3">
      <c r="A2278" s="23" t="n"/>
      <c r="B2278" s="24" t="inlineStr">
        <is>
          <t>17821</t>
        </is>
      </c>
      <c r="C2278" s="23" t="inlineStr">
        <is>
          <t>М ИР</t>
        </is>
      </c>
      <c r="D2278" s="23" t="inlineStr">
        <is>
          <t>Диксон Х.</t>
        </is>
      </c>
      <c r="E2278" s="23" t="inlineStr">
        <is>
          <t>Любовь без правил</t>
        </is>
      </c>
      <c r="F2278" s="23" t="n">
        <v>81</v>
      </c>
      <c r="G2278" s="23" t="n">
        <v>167</v>
      </c>
      <c r="H2278" s="23" t="n">
        <v>10</v>
      </c>
      <c r="I2278" s="23" t="n">
        <v>24</v>
      </c>
      <c r="J2278" s="23" t="inlineStr">
        <is>
          <t>978-5-227-07771-4</t>
        </is>
      </c>
      <c r="K2278" s="23" t="inlineStr">
        <is>
          <t>70x100 1/32</t>
        </is>
      </c>
      <c r="L2278" s="23" t="inlineStr">
        <is>
          <t>мяг</t>
        </is>
      </c>
      <c r="M2278" s="23" t="n">
        <v>256</v>
      </c>
      <c r="N2278" s="23" t="n">
        <v>2017</v>
      </c>
      <c r="O2278" s="23" t="n">
        <v>117</v>
      </c>
      <c r="P2278" s="23" t="n"/>
      <c r="Q2278" s="23" t="n"/>
      <c r="R2278" s="25" t="inlineStr">
        <is>
          <t>Молодая вдова и наследница огромного состояния, Ева Броди приезжает из Америки в Англию погостить у друзей. Гуляя рано утром по улицам Лондона, она знакомится с высокомерным красавцем лордом Стейнтоном, едва не угодив под копыта его лошади. Узнав о том, что Лукас Стейнтон ищет няню для своих дочерей, Ева предлагает ему взять ее на работу. Ни для кого не секрет, что лорд Стейнтон, который к тому же и разведен, почти разорен, и Ева неожиданно для всех предлагает ему брак по расчету...</t>
        </is>
      </c>
      <c r="S2278" s="26">
        <f>HYPERLINK("http://www.cnpol.ru/covers/17821.jpg","фото на сайте")</f>
        <v/>
      </c>
    </row>
    <row r="2279" ht="50.1" customHeight="1" s="3">
      <c r="A2279" s="23" t="n"/>
      <c r="B2279" s="24" t="inlineStr">
        <is>
          <t>14594</t>
        </is>
      </c>
      <c r="C2279" s="23" t="inlineStr">
        <is>
          <t>М ИР</t>
        </is>
      </c>
      <c r="D2279" s="23" t="inlineStr">
        <is>
          <t>Макфи М.</t>
        </is>
      </c>
      <c r="E2279" s="23" t="inlineStr">
        <is>
          <t>Маска возмездия</t>
        </is>
      </c>
      <c r="F2279" s="23" t="n">
        <v>32</v>
      </c>
      <c r="G2279" s="23" t="n">
        <v>167</v>
      </c>
      <c r="H2279" s="23" t="n">
        <v>10</v>
      </c>
      <c r="I2279" s="23" t="n">
        <v>24</v>
      </c>
      <c r="J2279" s="23" t="inlineStr">
        <is>
          <t>978-5-227-04658-1</t>
        </is>
      </c>
      <c r="K2279" s="23" t="inlineStr">
        <is>
          <t>70x100 1/32</t>
        </is>
      </c>
      <c r="L2279" s="23" t="inlineStr">
        <is>
          <t>мяг</t>
        </is>
      </c>
      <c r="M2279" s="23" t="n">
        <v>254</v>
      </c>
      <c r="N2279" s="23" t="n">
        <v>2013</v>
      </c>
      <c r="O2279" s="23" t="n">
        <v>120</v>
      </c>
      <c r="P2279" s="23" t="n"/>
      <c r="Q2279" s="23" t="n"/>
      <c r="R2279" s="25" t="n"/>
      <c r="S2279" s="26">
        <f>HYPERLINK("http://www.cnpol.ru/covers/14594.jpg","фото на сайте")</f>
        <v/>
      </c>
    </row>
    <row r="2280" ht="50.1" customHeight="1" s="3">
      <c r="A2280" s="23" t="n"/>
      <c r="B2280" s="24" t="inlineStr">
        <is>
          <t>19183</t>
        </is>
      </c>
      <c r="C2280" s="23" t="inlineStr">
        <is>
          <t>М ИР</t>
        </is>
      </c>
      <c r="D2280" s="23" t="inlineStr">
        <is>
          <t>Джеймс С.</t>
        </is>
      </c>
      <c r="E2280" s="23" t="inlineStr">
        <is>
          <t>Надежды леди Коннот</t>
        </is>
      </c>
      <c r="F2280" s="23" t="n">
        <v>108</v>
      </c>
      <c r="G2280" s="23" t="n">
        <v>167</v>
      </c>
      <c r="H2280" s="23" t="n">
        <v>10</v>
      </c>
      <c r="I2280" s="23" t="n">
        <v>28</v>
      </c>
      <c r="J2280" s="23" t="inlineStr">
        <is>
          <t>978-5-227-08972-4</t>
        </is>
      </c>
      <c r="K2280" s="23" t="inlineStr">
        <is>
          <t>70x100 1/32</t>
        </is>
      </c>
      <c r="L2280" s="23" t="inlineStr">
        <is>
          <t>мяг</t>
        </is>
      </c>
      <c r="M2280" s="23" t="n">
        <v>256</v>
      </c>
      <c r="N2280" s="23" t="n">
        <v>2020</v>
      </c>
      <c r="O2280" s="23" t="n">
        <v>117</v>
      </c>
      <c r="P2280" s="23" t="n"/>
      <c r="Q2280" s="23" t="n"/>
      <c r="R2280" s="25" t="n"/>
      <c r="S2280" s="26">
        <f>HYPERLINK("http://www.cnpol.ru/covers/19183.jpg","фото на сайте")</f>
        <v/>
      </c>
    </row>
    <row r="2281" ht="50.1" customHeight="1" s="3">
      <c r="A2281" s="23" t="n"/>
      <c r="B2281" s="24" t="inlineStr">
        <is>
          <t>15624</t>
        </is>
      </c>
      <c r="C2281" s="23" t="inlineStr">
        <is>
          <t>М ИР</t>
        </is>
      </c>
      <c r="D2281" s="23" t="inlineStr">
        <is>
          <t>Аллен Л.</t>
        </is>
      </c>
      <c r="E2281" s="23" t="inlineStr">
        <is>
          <t>Невеста авантюриста</t>
        </is>
      </c>
      <c r="F2281" s="23" t="n">
        <v>57</v>
      </c>
      <c r="G2281" s="23" t="n">
        <v>167</v>
      </c>
      <c r="H2281" s="23" t="n">
        <v>10</v>
      </c>
      <c r="I2281" s="23" t="n">
        <v>24</v>
      </c>
      <c r="J2281" s="23" t="inlineStr">
        <is>
          <t>978-5-227-05493-7</t>
        </is>
      </c>
      <c r="K2281" s="23" t="inlineStr">
        <is>
          <t>70x100 1/32</t>
        </is>
      </c>
      <c r="L2281" s="23" t="inlineStr">
        <is>
          <t>мяг</t>
        </is>
      </c>
      <c r="M2281" s="23" t="n">
        <v>286</v>
      </c>
      <c r="N2281" s="23" t="n">
        <v>2014</v>
      </c>
      <c r="O2281" s="23" t="n">
        <v>138</v>
      </c>
      <c r="P2281" s="23" t="n"/>
      <c r="Q2281" s="23" t="n"/>
      <c r="R2281" s="25" t="n"/>
      <c r="S2281" s="26">
        <f>HYPERLINK("http://www.cnpol.ru/covers/15624.jpg","фото на сайте")</f>
        <v/>
      </c>
    </row>
    <row r="2282" ht="50.1" customHeight="1" s="3">
      <c r="A2282" s="23" t="n"/>
      <c r="B2282" s="24" t="inlineStr">
        <is>
          <t>14768</t>
        </is>
      </c>
      <c r="C2282" s="23" t="inlineStr">
        <is>
          <t>М ИР</t>
        </is>
      </c>
      <c r="D2282" s="23" t="inlineStr">
        <is>
          <t>Берроуз Э.</t>
        </is>
      </c>
      <c r="E2282" s="23" t="inlineStr">
        <is>
          <t>Невеста для серцееда</t>
        </is>
      </c>
      <c r="F2282" s="23" t="n">
        <v>37</v>
      </c>
      <c r="G2282" s="23" t="n">
        <v>167</v>
      </c>
      <c r="H2282" s="23" t="n">
        <v>10</v>
      </c>
      <c r="I2282" s="23" t="n">
        <v>30</v>
      </c>
      <c r="J2282" s="23" t="inlineStr">
        <is>
          <t>978-5-227-04751-9</t>
        </is>
      </c>
      <c r="K2282" s="23" t="inlineStr">
        <is>
          <t>75x100 1/32</t>
        </is>
      </c>
      <c r="L2282" s="23" t="inlineStr">
        <is>
          <t>мяг</t>
        </is>
      </c>
      <c r="M2282" s="23" t="n">
        <v>254</v>
      </c>
      <c r="N2282" s="23" t="n">
        <v>2014</v>
      </c>
      <c r="O2282" s="23" t="n">
        <v>120</v>
      </c>
      <c r="P2282" s="23" t="n"/>
      <c r="Q2282" s="23" t="n"/>
      <c r="R2282" s="25" t="n"/>
      <c r="S2282" s="26">
        <f>HYPERLINK("http://www.cnpol.ru/covers/14768.jpg","фото на сайте")</f>
        <v/>
      </c>
    </row>
    <row r="2283" ht="50.1" customHeight="1" s="3">
      <c r="A2283" s="23" t="n"/>
      <c r="B2283" s="24" t="inlineStr">
        <is>
          <t>20368</t>
        </is>
      </c>
      <c r="C2283" s="23" t="inlineStr">
        <is>
          <t>М ИР</t>
        </is>
      </c>
      <c r="D2283" s="23" t="inlineStr">
        <is>
          <t>Аренс К.</t>
        </is>
      </c>
      <c r="E2283" s="23" t="inlineStr">
        <is>
          <t>Невеста к Рождеству</t>
        </is>
      </c>
      <c r="F2283" s="23" t="n">
        <v>121</v>
      </c>
      <c r="G2283" s="23" t="n">
        <v>167</v>
      </c>
      <c r="H2283" s="23" t="n">
        <v>10</v>
      </c>
      <c r="I2283" s="23" t="n">
        <v>18</v>
      </c>
      <c r="J2283" s="23" t="inlineStr">
        <is>
          <t>978-5-227-10004-7</t>
        </is>
      </c>
      <c r="K2283" s="23" t="inlineStr">
        <is>
          <t>70x100 1/32</t>
        </is>
      </c>
      <c r="L2283" s="23" t="inlineStr">
        <is>
          <t>мяг</t>
        </is>
      </c>
      <c r="M2283" s="23" t="n">
        <v>255</v>
      </c>
      <c r="N2283" s="23" t="n">
        <v>2022</v>
      </c>
      <c r="O2283" s="23" t="n">
        <v>120</v>
      </c>
      <c r="P2283" s="23" t="n"/>
      <c r="Q2283" s="23" t="n"/>
      <c r="R2283" s="25" t="n"/>
      <c r="S2283" s="26">
        <f>HYPERLINK("http://www.cnpol.ru/covers/20368.jpg","фото на сайте")</f>
        <v/>
      </c>
    </row>
    <row r="2284" ht="50.1" customHeight="1" s="3">
      <c r="A2284" s="23" t="n"/>
      <c r="B2284" s="24" t="inlineStr">
        <is>
          <t>19341</t>
        </is>
      </c>
      <c r="C2284" s="23" t="inlineStr">
        <is>
          <t>М ИР</t>
        </is>
      </c>
      <c r="D2284" s="23" t="inlineStr">
        <is>
          <t>Джеймс С.</t>
        </is>
      </c>
      <c r="E2284" s="23" t="inlineStr">
        <is>
          <t>Незабываемая ночь</t>
        </is>
      </c>
      <c r="F2284" s="23" t="n">
        <v>111</v>
      </c>
      <c r="G2284" s="23" t="n">
        <v>167</v>
      </c>
      <c r="H2284" s="23" t="n">
        <v>10</v>
      </c>
      <c r="I2284" s="23" t="n">
        <v>30</v>
      </c>
      <c r="J2284" s="23" t="inlineStr">
        <is>
          <t>978-5-227-09095-9</t>
        </is>
      </c>
      <c r="K2284" s="23" t="inlineStr">
        <is>
          <t>70x100 1/32</t>
        </is>
      </c>
      <c r="L2284" s="23" t="inlineStr">
        <is>
          <t>мяг</t>
        </is>
      </c>
      <c r="M2284" s="23" t="n">
        <v>256</v>
      </c>
      <c r="N2284" s="23" t="n">
        <v>2020</v>
      </c>
      <c r="O2284" s="23" t="n">
        <v>118</v>
      </c>
      <c r="P2284" s="23" t="n"/>
      <c r="Q2284" s="23" t="n"/>
      <c r="R2284" s="25" t="n"/>
      <c r="S2284" s="26">
        <f>HYPERLINK("http://www.cnpol.ru/covers/19341.jpg","фото на сайте")</f>
        <v/>
      </c>
    </row>
    <row r="2285" ht="50.1" customHeight="1" s="3">
      <c r="A2285" s="23" t="n"/>
      <c r="B2285" s="24" t="inlineStr">
        <is>
          <t>15857</t>
        </is>
      </c>
      <c r="C2285" s="23" t="inlineStr">
        <is>
          <t>М ИР</t>
        </is>
      </c>
      <c r="D2285" s="23" t="inlineStr">
        <is>
          <t>Диксон Х.</t>
        </is>
      </c>
      <c r="E2285" s="23" t="inlineStr">
        <is>
          <t>Несчастливый брак</t>
        </is>
      </c>
      <c r="F2285" s="23" t="n">
        <v>64</v>
      </c>
      <c r="G2285" s="23" t="n">
        <v>167</v>
      </c>
      <c r="H2285" s="23" t="n">
        <v>10</v>
      </c>
      <c r="I2285" s="23" t="n">
        <v>32</v>
      </c>
      <c r="J2285" s="23" t="inlineStr">
        <is>
          <t>978-5-227-05813-3</t>
        </is>
      </c>
      <c r="K2285" s="23" t="inlineStr">
        <is>
          <t>70x100 1/32</t>
        </is>
      </c>
      <c r="L2285" s="23" t="inlineStr">
        <is>
          <t>мяг</t>
        </is>
      </c>
      <c r="M2285" s="23" t="n">
        <v>254</v>
      </c>
      <c r="N2285" s="23" t="n">
        <v>2015</v>
      </c>
      <c r="O2285" s="23" t="n">
        <v>114</v>
      </c>
      <c r="P2285" s="23" t="n"/>
      <c r="Q2285" s="23" t="n"/>
      <c r="R2285" s="25" t="n"/>
      <c r="S2285" s="26">
        <f>HYPERLINK("http://www.cnpol.ru/covers/15857.jpg","фото на сайте")</f>
        <v/>
      </c>
    </row>
    <row r="2286" ht="50.1" customHeight="1" s="3">
      <c r="A2286" s="23" t="n"/>
      <c r="B2286" s="24" t="inlineStr">
        <is>
          <t>18805</t>
        </is>
      </c>
      <c r="C2286" s="23" t="inlineStr">
        <is>
          <t>М ИР</t>
        </is>
      </c>
      <c r="D2286" s="23" t="inlineStr">
        <is>
          <t>Бикон Э.</t>
        </is>
      </c>
      <c r="E2286" s="23" t="inlineStr">
        <is>
          <t>Обещание лорда Лорейна</t>
        </is>
      </c>
      <c r="F2286" s="23" t="n">
        <v>101</v>
      </c>
      <c r="G2286" s="23" t="n">
        <v>167</v>
      </c>
      <c r="H2286" s="23" t="n">
        <v>10</v>
      </c>
      <c r="I2286" s="23" t="n">
        <v>24</v>
      </c>
      <c r="J2286" s="23" t="inlineStr">
        <is>
          <t>978-5-227-08710-2</t>
        </is>
      </c>
      <c r="K2286" s="23" t="inlineStr">
        <is>
          <t>70x100 1/32</t>
        </is>
      </c>
      <c r="L2286" s="23" t="inlineStr">
        <is>
          <t>мяг</t>
        </is>
      </c>
      <c r="M2286" s="23" t="n">
        <v>256</v>
      </c>
      <c r="N2286" s="23" t="n">
        <v>2019</v>
      </c>
      <c r="O2286" s="23" t="n">
        <v>116</v>
      </c>
      <c r="P2286" s="23" t="n"/>
      <c r="Q2286" s="23" t="n"/>
      <c r="R2286" s="25" t="n"/>
      <c r="S2286" s="26">
        <f>HYPERLINK("http://www.cnpol.ru/covers/18805.jpg","фото на сайте")</f>
        <v/>
      </c>
    </row>
    <row r="2287" ht="50.1" customHeight="1" s="3">
      <c r="A2287" s="23" t="n"/>
      <c r="B2287" s="24" t="inlineStr">
        <is>
          <t>13257</t>
        </is>
      </c>
      <c r="C2287" s="23" t="inlineStr">
        <is>
          <t>М ИР</t>
        </is>
      </c>
      <c r="D2287" s="23" t="inlineStr">
        <is>
          <t>Маккейб А.</t>
        </is>
      </c>
      <c r="E2287" s="23" t="inlineStr">
        <is>
          <t>Обмануть герцога</t>
        </is>
      </c>
      <c r="F2287" s="23" t="n">
        <v>6</v>
      </c>
      <c r="G2287" s="23" t="n">
        <v>167</v>
      </c>
      <c r="H2287" s="23" t="n">
        <v>10</v>
      </c>
      <c r="I2287" s="23" t="n">
        <v>32</v>
      </c>
      <c r="J2287" s="23" t="inlineStr">
        <is>
          <t>978-5-227-03463-2</t>
        </is>
      </c>
      <c r="K2287" s="23" t="inlineStr">
        <is>
          <t>70x100 1/32</t>
        </is>
      </c>
      <c r="L2287" s="23" t="inlineStr">
        <is>
          <t>мяг</t>
        </is>
      </c>
      <c r="M2287" s="23" t="n">
        <v>254</v>
      </c>
      <c r="N2287" s="23" t="n">
        <v>2012</v>
      </c>
      <c r="O2287" s="23" t="n">
        <v>118</v>
      </c>
      <c r="P2287" s="23" t="n"/>
      <c r="Q2287" s="23" t="n"/>
      <c r="R2287" s="25" t="n"/>
      <c r="S2287" s="26">
        <f>HYPERLINK("http://www.cnpol.ru/covers/13257.jpg","фото на сайте")</f>
        <v/>
      </c>
    </row>
    <row r="2288" ht="50.1" customHeight="1" s="3">
      <c r="A2288" s="23" t="n"/>
      <c r="B2288" s="24" t="inlineStr">
        <is>
          <t>18541</t>
        </is>
      </c>
      <c r="C2288" s="23" t="inlineStr">
        <is>
          <t>М ИР</t>
        </is>
      </c>
      <c r="D2288" s="23" t="inlineStr">
        <is>
          <t>Кэй М.</t>
        </is>
      </c>
      <c r="E2288" s="23" t="inlineStr">
        <is>
          <t>Обольстительная леди Констанс</t>
        </is>
      </c>
      <c r="F2288" s="23" t="n">
        <v>96</v>
      </c>
      <c r="G2288" s="23" t="n">
        <v>167</v>
      </c>
      <c r="H2288" s="23" t="n">
        <v>10</v>
      </c>
      <c r="I2288" s="23" t="n">
        <v>24</v>
      </c>
      <c r="J2288" s="23" t="inlineStr">
        <is>
          <t>978-5-227-08456-9</t>
        </is>
      </c>
      <c r="K2288" s="23" t="inlineStr">
        <is>
          <t>70x100 1/32</t>
        </is>
      </c>
      <c r="L2288" s="23" t="inlineStr">
        <is>
          <t>мяг</t>
        </is>
      </c>
      <c r="M2288" s="23" t="n">
        <v>256</v>
      </c>
      <c r="N2288" s="23" t="n">
        <v>2019</v>
      </c>
      <c r="O2288" s="23" t="n">
        <v>117</v>
      </c>
      <c r="P2288" s="23" t="n"/>
      <c r="Q2288" s="23" t="n"/>
      <c r="R2288" s="25" t="n"/>
      <c r="S2288" s="26">
        <f>HYPERLINK("http://www.cnpol.ru/covers/18541.jpg","фото на сайте")</f>
        <v/>
      </c>
    </row>
    <row r="2289" ht="50.1" customHeight="1" s="3">
      <c r="A2289" s="23" t="n"/>
      <c r="B2289" s="24" t="inlineStr">
        <is>
          <t>19851</t>
        </is>
      </c>
      <c r="C2289" s="23" t="inlineStr">
        <is>
          <t>М ИР</t>
        </is>
      </c>
      <c r="D2289" s="23" t="inlineStr">
        <is>
          <t>Мартин М.</t>
        </is>
      </c>
      <c r="E2289" s="23" t="inlineStr">
        <is>
          <t>Огненное сердце</t>
        </is>
      </c>
      <c r="F2289" s="23" t="n">
        <v>116</v>
      </c>
      <c r="G2289" s="23" t="n">
        <v>167</v>
      </c>
      <c r="H2289" s="23" t="n">
        <v>10</v>
      </c>
      <c r="I2289" s="23" t="n">
        <v>20</v>
      </c>
      <c r="J2289" s="23" t="inlineStr">
        <is>
          <t>978-5-227-09494-0</t>
        </is>
      </c>
      <c r="K2289" s="23" t="inlineStr">
        <is>
          <t>70x100 1/32</t>
        </is>
      </c>
      <c r="L2289" s="23" t="inlineStr">
        <is>
          <t>мяг</t>
        </is>
      </c>
      <c r="M2289" s="23" t="n">
        <v>256</v>
      </c>
      <c r="N2289" s="23" t="n">
        <v>2021</v>
      </c>
      <c r="O2289" s="23" t="n">
        <v>118</v>
      </c>
      <c r="P2289" s="23" t="n"/>
      <c r="Q2289" s="23" t="n"/>
      <c r="R2289" s="25" t="n"/>
      <c r="S2289" s="26">
        <f>HYPERLINK("http://www.cnpol.ru/covers/19851.jpg","фото на сайте")</f>
        <v/>
      </c>
    </row>
    <row r="2290" ht="50.1" customHeight="1" s="3">
      <c r="A2290" s="23" t="n"/>
      <c r="B2290" s="24" t="inlineStr">
        <is>
          <t>14767</t>
        </is>
      </c>
      <c r="C2290" s="23" t="inlineStr">
        <is>
          <t>М ИР</t>
        </is>
      </c>
      <c r="D2290" s="23" t="inlineStr">
        <is>
          <t>Мортимер К.</t>
        </is>
      </c>
      <c r="E2290" s="23" t="inlineStr">
        <is>
          <t>Опасный обольститель</t>
        </is>
      </c>
      <c r="F2290" s="23" t="n">
        <v>36</v>
      </c>
      <c r="G2290" s="23" t="n">
        <v>167</v>
      </c>
      <c r="H2290" s="23" t="n">
        <v>10</v>
      </c>
      <c r="I2290" s="23" t="n">
        <v>32</v>
      </c>
      <c r="J2290" s="23" t="inlineStr">
        <is>
          <t>978-5-227-04740-3</t>
        </is>
      </c>
      <c r="K2290" s="23" t="inlineStr">
        <is>
          <t>75x100 1/32</t>
        </is>
      </c>
      <c r="L2290" s="23" t="inlineStr">
        <is>
          <t>мяг</t>
        </is>
      </c>
      <c r="M2290" s="23" t="n">
        <v>256</v>
      </c>
      <c r="N2290" s="23" t="n">
        <v>2014</v>
      </c>
      <c r="O2290" s="23" t="n">
        <v>118</v>
      </c>
      <c r="P2290" s="23" t="n"/>
      <c r="Q2290" s="23" t="n"/>
      <c r="R2290" s="25" t="n"/>
      <c r="S2290" s="26">
        <f>HYPERLINK("http://www.cnpol.ru/covers/14767.jpg","фото на сайте")</f>
        <v/>
      </c>
    </row>
    <row r="2291" ht="50.1" customHeight="1" s="3">
      <c r="A2291" s="23" t="n"/>
      <c r="B2291" s="24" t="inlineStr">
        <is>
          <t>15673</t>
        </is>
      </c>
      <c r="C2291" s="23" t="inlineStr">
        <is>
          <t>М ИР</t>
        </is>
      </c>
      <c r="D2291" s="23" t="inlineStr">
        <is>
          <t>Берроуз Э.</t>
        </is>
      </c>
      <c r="E2291" s="23" t="inlineStr">
        <is>
          <t>Откровения виконта</t>
        </is>
      </c>
      <c r="F2291" s="23" t="n">
        <v>59</v>
      </c>
      <c r="G2291" s="23" t="n">
        <v>167</v>
      </c>
      <c r="H2291" s="23" t="n">
        <v>10</v>
      </c>
      <c r="I2291" s="23" t="n">
        <v>30</v>
      </c>
      <c r="J2291" s="23" t="inlineStr">
        <is>
          <t>978-5-227-05499-9</t>
        </is>
      </c>
      <c r="K2291" s="23" t="inlineStr">
        <is>
          <t>70x100 1/32</t>
        </is>
      </c>
      <c r="L2291" s="23" t="inlineStr">
        <is>
          <t>мяг</t>
        </is>
      </c>
      <c r="M2291" s="23" t="n">
        <v>254</v>
      </c>
      <c r="N2291" s="23" t="n">
        <v>2014</v>
      </c>
      <c r="O2291" s="23" t="n">
        <v>120</v>
      </c>
      <c r="P2291" s="23" t="n"/>
      <c r="Q2291" s="23" t="n"/>
      <c r="R2291" s="25" t="n"/>
      <c r="S2291" s="26">
        <f>HYPERLINK("http://www.cnpol.ru/covers/15673.jpg","фото на сайте")</f>
        <v/>
      </c>
    </row>
    <row r="2292" ht="50.1" customHeight="1" s="3">
      <c r="A2292" s="23" t="n"/>
      <c r="B2292" s="24" t="inlineStr">
        <is>
          <t>14353</t>
        </is>
      </c>
      <c r="C2292" s="23" t="inlineStr">
        <is>
          <t>М ИР</t>
        </is>
      </c>
      <c r="D2292" s="23" t="inlineStr">
        <is>
          <t>Диксон Х.</t>
        </is>
      </c>
      <c r="E2292" s="23" t="inlineStr">
        <is>
          <t>Падение мисс Кэмерон</t>
        </is>
      </c>
      <c r="F2292" s="23" t="n">
        <v>25</v>
      </c>
      <c r="G2292" s="23" t="n">
        <v>167</v>
      </c>
      <c r="H2292" s="23" t="n">
        <v>10</v>
      </c>
      <c r="I2292" s="23" t="n">
        <v>32</v>
      </c>
      <c r="J2292" s="23" t="inlineStr">
        <is>
          <t>978-5-227-04428-0</t>
        </is>
      </c>
      <c r="K2292" s="23" t="inlineStr">
        <is>
          <t>70x100 1/32</t>
        </is>
      </c>
      <c r="L2292" s="23" t="inlineStr">
        <is>
          <t>мяг</t>
        </is>
      </c>
      <c r="M2292" s="23" t="n">
        <v>286</v>
      </c>
      <c r="N2292" s="23" t="n">
        <v>2013</v>
      </c>
      <c r="O2292" s="23" t="n">
        <v>128</v>
      </c>
      <c r="P2292" s="23" t="n"/>
      <c r="Q2292" s="23" t="n"/>
      <c r="R2292" s="25" t="n"/>
      <c r="S2292" s="26">
        <f>HYPERLINK("http://www.cnpol.ru/covers/14353.jpg","фото на сайте")</f>
        <v/>
      </c>
    </row>
    <row r="2293" ht="50.1" customHeight="1" s="3">
      <c r="A2293" s="23" t="n"/>
      <c r="B2293" s="24" t="inlineStr">
        <is>
          <t>15561</t>
        </is>
      </c>
      <c r="C2293" s="23" t="inlineStr">
        <is>
          <t>М ИР</t>
        </is>
      </c>
      <c r="D2293" s="23" t="inlineStr">
        <is>
          <t>Маккейб А.</t>
        </is>
      </c>
      <c r="E2293" s="23" t="inlineStr">
        <is>
          <t>Под угрозой скандала</t>
        </is>
      </c>
      <c r="F2293" s="23" t="n">
        <v>54</v>
      </c>
      <c r="G2293" s="23" t="n">
        <v>167</v>
      </c>
      <c r="H2293" s="23" t="n">
        <v>10</v>
      </c>
      <c r="I2293" s="23" t="n">
        <v>30</v>
      </c>
      <c r="J2293" s="23" t="inlineStr">
        <is>
          <t>978-5-227-05423-4</t>
        </is>
      </c>
      <c r="K2293" s="23" t="inlineStr">
        <is>
          <t>70x100 1/32</t>
        </is>
      </c>
      <c r="L2293" s="23" t="inlineStr">
        <is>
          <t>мяг</t>
        </is>
      </c>
      <c r="M2293" s="23" t="n">
        <v>256</v>
      </c>
      <c r="N2293" s="23" t="n">
        <v>2014</v>
      </c>
      <c r="O2293" s="23" t="n">
        <v>118</v>
      </c>
      <c r="P2293" s="23" t="n"/>
      <c r="Q2293" s="23" t="n"/>
      <c r="R2293" s="25" t="n"/>
      <c r="S2293" s="26">
        <f>HYPERLINK("http://www.cnpol.ru/covers/15561.jpg","фото на сайте")</f>
        <v/>
      </c>
    </row>
    <row r="2294" ht="50.1" customHeight="1" s="3">
      <c r="A2294" s="23" t="n"/>
      <c r="B2294" s="24" t="inlineStr">
        <is>
          <t>18754</t>
        </is>
      </c>
      <c r="C2294" s="23" t="inlineStr">
        <is>
          <t>М ИР</t>
        </is>
      </c>
      <c r="D2294" s="23" t="inlineStr">
        <is>
          <t>Аллен Л.</t>
        </is>
      </c>
      <c r="E2294" s="23" t="inlineStr">
        <is>
          <t>Покорить маркиза</t>
        </is>
      </c>
      <c r="F2294" s="23" t="n">
        <v>100</v>
      </c>
      <c r="G2294" s="23" t="n">
        <v>167</v>
      </c>
      <c r="H2294" s="23" t="n">
        <v>10</v>
      </c>
      <c r="I2294" s="23" t="n">
        <v>24</v>
      </c>
      <c r="J2294" s="23" t="inlineStr">
        <is>
          <t>978-5-227-08674-7</t>
        </is>
      </c>
      <c r="K2294" s="23" t="inlineStr">
        <is>
          <t>70x100 1/32</t>
        </is>
      </c>
      <c r="L2294" s="23" t="inlineStr">
        <is>
          <t>мяг</t>
        </is>
      </c>
      <c r="M2294" s="23" t="n">
        <v>256</v>
      </c>
      <c r="N2294" s="23" t="n">
        <v>2019</v>
      </c>
      <c r="O2294" s="23" t="n">
        <v>118</v>
      </c>
      <c r="P2294" s="23" t="n"/>
      <c r="Q2294" s="23" t="n"/>
      <c r="R2294" s="25" t="n"/>
      <c r="S2294" s="26">
        <f>HYPERLINK("http://www.cnpol.ru/covers/18754.jpg","фото на сайте")</f>
        <v/>
      </c>
    </row>
    <row r="2295" ht="50.1" customHeight="1" s="3">
      <c r="A2295" s="23" t="n"/>
      <c r="B2295" s="24" t="inlineStr">
        <is>
          <t>14888</t>
        </is>
      </c>
      <c r="C2295" s="23" t="inlineStr">
        <is>
          <t>М ИР</t>
        </is>
      </c>
      <c r="D2295" s="23" t="inlineStr">
        <is>
          <t>Симмонз Дебора</t>
        </is>
      </c>
      <c r="E2295" s="23" t="inlineStr">
        <is>
          <t>Последний Де Бург</t>
        </is>
      </c>
      <c r="F2295" s="23" t="n">
        <v>39</v>
      </c>
      <c r="G2295" s="23" t="n">
        <v>167</v>
      </c>
      <c r="H2295" s="23" t="n">
        <v>10</v>
      </c>
      <c r="I2295" s="23" t="n">
        <v>30</v>
      </c>
      <c r="J2295" s="23" t="inlineStr">
        <is>
          <t>978-5-227-04863-9</t>
        </is>
      </c>
      <c r="K2295" s="23" t="inlineStr">
        <is>
          <t>70x100 1/32</t>
        </is>
      </c>
      <c r="L2295" s="23" t="inlineStr">
        <is>
          <t>мяг</t>
        </is>
      </c>
      <c r="M2295" s="23" t="n">
        <v>253</v>
      </c>
      <c r="N2295" s="23" t="n">
        <v>2014</v>
      </c>
      <c r="O2295" s="23" t="n">
        <v>118</v>
      </c>
      <c r="P2295" s="23" t="n"/>
      <c r="Q2295" s="23" t="n"/>
      <c r="R2295" s="25" t="n"/>
      <c r="S2295" s="26">
        <f>HYPERLINK("http://www.cnpol.ru/covers/14888.jpg","фото на сайте")</f>
        <v/>
      </c>
    </row>
    <row r="2296" ht="50.1" customHeight="1" s="3">
      <c r="A2296" s="23" t="n"/>
      <c r="B2296" s="24" t="inlineStr">
        <is>
          <t>14550</t>
        </is>
      </c>
      <c r="C2296" s="23" t="inlineStr">
        <is>
          <t>М ИР</t>
        </is>
      </c>
      <c r="D2296" s="23" t="inlineStr">
        <is>
          <t>Бикон Э.</t>
        </is>
      </c>
      <c r="E2296" s="23" t="inlineStr">
        <is>
          <t>Последний сезон</t>
        </is>
      </c>
      <c r="F2296" s="23" t="n">
        <v>30</v>
      </c>
      <c r="G2296" s="23" t="n">
        <v>167</v>
      </c>
      <c r="H2296" s="23" t="n">
        <v>10</v>
      </c>
      <c r="I2296" s="23" t="n">
        <v>32</v>
      </c>
      <c r="J2296" s="23" t="inlineStr">
        <is>
          <t>978-5-227-04620-8</t>
        </is>
      </c>
      <c r="K2296" s="23" t="inlineStr">
        <is>
          <t>70x100 1/32</t>
        </is>
      </c>
      <c r="L2296" s="23" t="inlineStr">
        <is>
          <t>мяг</t>
        </is>
      </c>
      <c r="M2296" s="23" t="n">
        <v>254</v>
      </c>
      <c r="N2296" s="23" t="n">
        <v>2013</v>
      </c>
      <c r="O2296" s="23" t="n">
        <v>118</v>
      </c>
      <c r="P2296" s="23" t="n"/>
      <c r="Q2296" s="23" t="n"/>
      <c r="R2296" s="25" t="n"/>
      <c r="S2296" s="26">
        <f>HYPERLINK("http://www.cnpol.ru/covers/14550.jpg","фото на сайте")</f>
        <v/>
      </c>
    </row>
    <row r="2297" ht="50.1" customHeight="1" s="3">
      <c r="A2297" s="23" t="n"/>
      <c r="B2297" s="24" t="inlineStr">
        <is>
          <t>19664</t>
        </is>
      </c>
      <c r="C2297" s="23" t="inlineStr">
        <is>
          <t>М ИР</t>
        </is>
      </c>
      <c r="D2297" s="23" t="inlineStr">
        <is>
          <t>Темпл Л.</t>
        </is>
      </c>
      <c r="E2297" s="23" t="inlineStr">
        <is>
          <t>Последняя любовь лорда Стентона</t>
        </is>
      </c>
      <c r="F2297" s="23" t="n">
        <v>115</v>
      </c>
      <c r="G2297" s="23" t="n">
        <v>167</v>
      </c>
      <c r="H2297" s="23" t="n">
        <v>10</v>
      </c>
      <c r="I2297" s="23" t="n">
        <v>24</v>
      </c>
      <c r="J2297" s="23" t="inlineStr">
        <is>
          <t>978-5-227-09347-9</t>
        </is>
      </c>
      <c r="K2297" s="23" t="inlineStr">
        <is>
          <t>70x100 1/32</t>
        </is>
      </c>
      <c r="L2297" s="23" t="inlineStr">
        <is>
          <t>мяг</t>
        </is>
      </c>
      <c r="M2297" s="23" t="n">
        <v>256</v>
      </c>
      <c r="N2297" s="23" t="n">
        <v>2021</v>
      </c>
      <c r="O2297" s="23" t="n">
        <v>118</v>
      </c>
      <c r="P2297" s="23" t="n"/>
      <c r="Q2297" s="23" t="n"/>
      <c r="R2297" s="25" t="n"/>
      <c r="S2297" s="26">
        <f>HYPERLINK("http://www.cnpol.ru/covers/19664.jpg","фото на сайте")</f>
        <v/>
      </c>
    </row>
    <row r="2298" ht="50.1" customHeight="1" s="3">
      <c r="A2298" s="23" t="n"/>
      <c r="B2298" s="24" t="inlineStr">
        <is>
          <t>20722</t>
        </is>
      </c>
      <c r="C2298" s="23" t="inlineStr">
        <is>
          <t>М ИР</t>
        </is>
      </c>
      <c r="D2298" s="23" t="inlineStr">
        <is>
          <t>Крюс К.</t>
        </is>
      </c>
      <c r="E2298" s="23" t="inlineStr">
        <is>
          <t>Похищенная викингом</t>
        </is>
      </c>
      <c r="F2298" s="23" t="n">
        <v>124</v>
      </c>
      <c r="G2298" s="23" t="n">
        <v>167</v>
      </c>
      <c r="H2298" s="23" t="n">
        <v>10</v>
      </c>
      <c r="I2298" s="23" t="n">
        <v>16</v>
      </c>
      <c r="J2298" s="23" t="inlineStr">
        <is>
          <t>978-5-227-10202-7</t>
        </is>
      </c>
      <c r="K2298" s="23" t="inlineStr">
        <is>
          <t>70x100 1/32</t>
        </is>
      </c>
      <c r="L2298" s="23" t="inlineStr">
        <is>
          <t>мяг</t>
        </is>
      </c>
      <c r="M2298" s="23" t="n">
        <v>255</v>
      </c>
      <c r="N2298" s="23" t="n">
        <v>2023</v>
      </c>
      <c r="O2298" s="23" t="n">
        <v>270</v>
      </c>
      <c r="P2298" s="23" t="n"/>
      <c r="Q2298" s="23" t="n"/>
      <c r="R2298" s="25" t="inlineStr">
        <is>
          <t>Эльфвину, дочь скончавшейся королевы Мерсии, похищает норманн по имени Торбранд, верный воин короля Рагналла. Девушка решает, что отныне ей предстоит быть рабыней мужчины. Он привозит ее в домик, стоящий на отшибе в долине у горячих источников, где лишает ее невинности. После нескольких месяцев тихой жизни, которая ей очень нравится, как и мужчина, с которым она проводит время в любовных утехах, Эльфвина начинает считать дом своим. Но внезапно их обоих призывает король Рагналл. Выясняется, что он намерен использовать Эльфвину в своих целях против ее дяди, короля Уэссекса Эдуарда, но позже, время для действий еще не пришло. Торбранд давно получил от своего короля задание охранять леди саксов, однако следующий его шаг будет сделан не только ради долга, им руководят чувства…</t>
        </is>
      </c>
      <c r="S2298" s="26">
        <f>HYPERLINK("http://www.cnpol.ru/covers/20722.jpg","фото на сайте")</f>
        <v/>
      </c>
    </row>
    <row r="2299" ht="50.1" customHeight="1" s="3">
      <c r="A2299" s="23" t="n"/>
      <c r="B2299" s="24" t="inlineStr">
        <is>
          <t>13042</t>
        </is>
      </c>
      <c r="C2299" s="23" t="inlineStr">
        <is>
          <t>М ИР</t>
        </is>
      </c>
      <c r="D2299" s="23" t="inlineStr">
        <is>
          <t>Мур М.</t>
        </is>
      </c>
      <c r="E2299" s="23" t="inlineStr">
        <is>
          <t>Поцелуй виконта</t>
        </is>
      </c>
      <c r="F2299" s="23" t="n">
        <v>2</v>
      </c>
      <c r="G2299" s="23" t="n">
        <v>167</v>
      </c>
      <c r="H2299" s="23" t="n">
        <v>10</v>
      </c>
      <c r="I2299" s="23" t="n">
        <v>32</v>
      </c>
      <c r="J2299" s="23" t="inlineStr">
        <is>
          <t>978-5-227-03166-2</t>
        </is>
      </c>
      <c r="K2299" s="23" t="inlineStr">
        <is>
          <t>70x100 1/32</t>
        </is>
      </c>
      <c r="L2299" s="23" t="inlineStr">
        <is>
          <t>мяг</t>
        </is>
      </c>
      <c r="M2299" s="23" t="n">
        <v>285</v>
      </c>
      <c r="N2299" s="23" t="n">
        <v>2011</v>
      </c>
      <c r="O2299" s="23" t="n">
        <v>132</v>
      </c>
      <c r="P2299" s="23" t="n"/>
      <c r="Q2299" s="23" t="n"/>
      <c r="R2299" s="25" t="n"/>
      <c r="S2299" s="26">
        <f>HYPERLINK("http://www.cnpol.ru/covers/13042.jpg","фото на сайте")</f>
        <v/>
      </c>
    </row>
    <row r="2300" ht="50.1" customHeight="1" s="3">
      <c r="A2300" s="23" t="n"/>
      <c r="B2300" s="24" t="inlineStr">
        <is>
          <t>20419</t>
        </is>
      </c>
      <c r="C2300" s="23" t="inlineStr">
        <is>
          <t>М ИР</t>
        </is>
      </c>
      <c r="D2300" s="23" t="inlineStr">
        <is>
          <t>Фуллер М.</t>
        </is>
      </c>
      <c r="E2300" s="23" t="inlineStr">
        <is>
          <t>Предложение рыцаря</t>
        </is>
      </c>
      <c r="F2300" s="23" t="n">
        <v>122</v>
      </c>
      <c r="G2300" s="23" t="n">
        <v>167</v>
      </c>
      <c r="H2300" s="23" t="n">
        <v>10</v>
      </c>
      <c r="I2300" s="23" t="n">
        <v>16</v>
      </c>
      <c r="J2300" s="23" t="inlineStr">
        <is>
          <t>978-5-227-10093-1</t>
        </is>
      </c>
      <c r="K2300" s="23" t="inlineStr">
        <is>
          <t>70x100 1/32</t>
        </is>
      </c>
      <c r="L2300" s="23" t="inlineStr">
        <is>
          <t>мяг</t>
        </is>
      </c>
      <c r="M2300" s="23" t="n">
        <v>255</v>
      </c>
      <c r="N2300" s="23" t="n">
        <v>2022</v>
      </c>
      <c r="O2300" s="23" t="n">
        <v>270</v>
      </c>
      <c r="P2300" s="23" t="n"/>
      <c r="Q2300" s="23" t="n"/>
      <c r="R2300" s="25" t="inlineStr">
        <is>
          <t>Овдовевшей леди Сесили и ее близким грозит печальная участь: по законам того времени, если брак остался бездетным, замок и земли переходят брату покойного мужа. Сесили решает притвориться беременной и выдать новорожденного сына своей сестры за наследника покойного лорда. Дерзкий план увенчался бы успехом, если бы не случайная встреча Сесили с Локланом Драмьюром. Несмотря на то что Сесили влечет к рыжеволосому великану, она понимает, что честный рыцарь выдаст ее своему другу, законному наследнику замка. Однако Локлан не спешит разоблачить обман — зеленые глаза леди Сесили покорили его сердце…</t>
        </is>
      </c>
      <c r="S2300" s="26">
        <f>HYPERLINK("http://www.cnpol.ru/covers/20419.jpg","фото на сайте")</f>
        <v/>
      </c>
    </row>
    <row r="2301" ht="50.1" customHeight="1" s="3">
      <c r="A2301" s="23" t="n"/>
      <c r="B2301" s="24" t="inlineStr">
        <is>
          <t>20298</t>
        </is>
      </c>
      <c r="C2301" s="23" t="inlineStr">
        <is>
          <t>М ИР</t>
        </is>
      </c>
      <c r="D2301" s="23" t="inlineStr">
        <is>
          <t>Лок Н.</t>
        </is>
      </c>
      <c r="E2301" s="23" t="inlineStr">
        <is>
          <t>Прекрасная пленница</t>
        </is>
      </c>
      <c r="F2301" s="23" t="n">
        <v>120</v>
      </c>
      <c r="G2301" s="23" t="n">
        <v>167</v>
      </c>
      <c r="H2301" s="23" t="n">
        <v>10</v>
      </c>
      <c r="I2301" s="23" t="n">
        <v>16</v>
      </c>
      <c r="J2301" s="23" t="inlineStr">
        <is>
          <t>978-5-227-09854-2</t>
        </is>
      </c>
      <c r="K2301" s="23" t="inlineStr">
        <is>
          <t>70x100 1/32</t>
        </is>
      </c>
      <c r="L2301" s="23" t="inlineStr">
        <is>
          <t>мяг</t>
        </is>
      </c>
      <c r="M2301" s="23" t="n">
        <v>255</v>
      </c>
      <c r="N2301" s="23" t="n">
        <v>2022</v>
      </c>
      <c r="O2301" s="23" t="n">
        <v>120</v>
      </c>
      <c r="P2301" s="23" t="n"/>
      <c r="Q2301" s="23" t="n"/>
      <c r="R2301" s="25" t="n"/>
      <c r="S2301" s="26">
        <f>HYPERLINK("http://www.cnpol.ru/covers/20298.jpg","фото на сайте")</f>
        <v/>
      </c>
    </row>
    <row r="2302" ht="50.1" customHeight="1" s="3">
      <c r="A2302" s="23" t="n"/>
      <c r="B2302" s="24" t="inlineStr">
        <is>
          <t>14502</t>
        </is>
      </c>
      <c r="C2302" s="23" t="inlineStr">
        <is>
          <t>М ИР</t>
        </is>
      </c>
      <c r="D2302" s="23" t="inlineStr">
        <is>
          <t>Маккейб А.</t>
        </is>
      </c>
      <c r="E2302" s="23" t="inlineStr">
        <is>
          <t>Придворная роза</t>
        </is>
      </c>
      <c r="F2302" s="23" t="n">
        <v>29</v>
      </c>
      <c r="G2302" s="23" t="n">
        <v>167</v>
      </c>
      <c r="H2302" s="23" t="n">
        <v>10</v>
      </c>
      <c r="I2302" s="23" t="n">
        <v>32</v>
      </c>
      <c r="J2302" s="23" t="inlineStr">
        <is>
          <t>978-5-227-04497-6</t>
        </is>
      </c>
      <c r="K2302" s="23" t="inlineStr">
        <is>
          <t>70x100 1/32</t>
        </is>
      </c>
      <c r="L2302" s="23" t="inlineStr">
        <is>
          <t>мяг</t>
        </is>
      </c>
      <c r="M2302" s="23" t="n">
        <v>254</v>
      </c>
      <c r="N2302" s="23" t="n">
        <v>2013</v>
      </c>
      <c r="O2302" s="23" t="n">
        <v>122</v>
      </c>
      <c r="P2302" s="23" t="n"/>
      <c r="Q2302" s="23" t="n"/>
      <c r="R2302" s="25" t="n"/>
      <c r="S2302" s="26">
        <f>HYPERLINK("http://www.cnpol.ru/covers/14502.jpg","фото на сайте")</f>
        <v/>
      </c>
    </row>
    <row r="2303" ht="50.1" customHeight="1" s="3">
      <c r="A2303" s="23" t="n"/>
      <c r="B2303" s="24" t="inlineStr">
        <is>
          <t>18607</t>
        </is>
      </c>
      <c r="C2303" s="23" t="inlineStr">
        <is>
          <t>М ИР</t>
        </is>
      </c>
      <c r="D2303" s="23" t="inlineStr">
        <is>
          <t>Скотт Б.</t>
        </is>
      </c>
      <c r="E2303" s="23" t="inlineStr">
        <is>
          <t>Пробуждение скромницы</t>
        </is>
      </c>
      <c r="F2303" s="23" t="n">
        <v>97</v>
      </c>
      <c r="G2303" s="23" t="n">
        <v>167</v>
      </c>
      <c r="H2303" s="23" t="n">
        <v>10</v>
      </c>
      <c r="I2303" s="23" t="n">
        <v>24</v>
      </c>
      <c r="J2303" s="23" t="inlineStr">
        <is>
          <t>978-5-227-08526-9</t>
        </is>
      </c>
      <c r="K2303" s="23" t="inlineStr">
        <is>
          <t>70x100 1/32</t>
        </is>
      </c>
      <c r="L2303" s="23" t="inlineStr">
        <is>
          <t>мяг</t>
        </is>
      </c>
      <c r="M2303" s="23" t="n">
        <v>256</v>
      </c>
      <c r="N2303" s="23" t="n">
        <v>2019</v>
      </c>
      <c r="O2303" s="23" t="n">
        <v>117</v>
      </c>
      <c r="P2303" s="23" t="n"/>
      <c r="Q2303" s="23" t="n"/>
      <c r="R2303" s="25" t="n"/>
      <c r="S2303" s="26">
        <f>HYPERLINK("http://www.cnpol.ru/covers/18607.jpg","фото на сайте")</f>
        <v/>
      </c>
    </row>
    <row r="2304" ht="50.1" customHeight="1" s="3">
      <c r="A2304" s="23" t="n"/>
      <c r="B2304" s="24" t="inlineStr">
        <is>
          <t>14352</t>
        </is>
      </c>
      <c r="C2304" s="23" t="inlineStr">
        <is>
          <t>М ИР</t>
        </is>
      </c>
      <c r="D2304" s="23" t="inlineStr">
        <is>
          <t>Маккейб А.</t>
        </is>
      </c>
      <c r="E2304" s="23" t="inlineStr">
        <is>
          <t>Пугливая герцогиня</t>
        </is>
      </c>
      <c r="F2304" s="23" t="n">
        <v>24</v>
      </c>
      <c r="G2304" s="23" t="n">
        <v>167</v>
      </c>
      <c r="H2304" s="23" t="n">
        <v>10</v>
      </c>
      <c r="I2304" s="23" t="n">
        <v>32</v>
      </c>
      <c r="J2304" s="23" t="inlineStr">
        <is>
          <t>978-5-227-04429-7</t>
        </is>
      </c>
      <c r="K2304" s="23" t="inlineStr">
        <is>
          <t>70x100 1/32</t>
        </is>
      </c>
      <c r="L2304" s="23" t="inlineStr">
        <is>
          <t>мяг</t>
        </is>
      </c>
      <c r="M2304" s="23" t="n">
        <v>286</v>
      </c>
      <c r="N2304" s="23" t="n">
        <v>2013</v>
      </c>
      <c r="O2304" s="23" t="n">
        <v>132</v>
      </c>
      <c r="P2304" s="23" t="n"/>
      <c r="Q2304" s="23" t="n"/>
      <c r="R2304" s="25" t="n"/>
      <c r="S2304" s="26">
        <f>HYPERLINK("http://www.cnpol.ru/covers/14352.jpg","фото на сайте")</f>
        <v/>
      </c>
    </row>
    <row r="2305" ht="50.1" customHeight="1" s="3">
      <c r="A2305" s="23" t="n"/>
      <c r="B2305" s="24" t="inlineStr">
        <is>
          <t>18698</t>
        </is>
      </c>
      <c r="C2305" s="23" t="inlineStr">
        <is>
          <t>М ИР</t>
        </is>
      </c>
      <c r="D2305" s="23" t="inlineStr">
        <is>
          <t>Кэй М.</t>
        </is>
      </c>
      <c r="E2305" s="23" t="inlineStr">
        <is>
          <t>Распутница и принц</t>
        </is>
      </c>
      <c r="F2305" s="23" t="n">
        <v>99</v>
      </c>
      <c r="G2305" s="23" t="n">
        <v>167</v>
      </c>
      <c r="H2305" s="23" t="n">
        <v>10</v>
      </c>
      <c r="I2305" s="23" t="n">
        <v>24</v>
      </c>
      <c r="J2305" s="23" t="inlineStr">
        <is>
          <t>978-5-227-08597-9</t>
        </is>
      </c>
      <c r="K2305" s="23" t="inlineStr">
        <is>
          <t>70x100 1/32</t>
        </is>
      </c>
      <c r="L2305" s="23" t="inlineStr">
        <is>
          <t>мяг</t>
        </is>
      </c>
      <c r="M2305" s="23" t="n">
        <v>256</v>
      </c>
      <c r="N2305" s="23" t="n">
        <v>2019</v>
      </c>
      <c r="O2305" s="23" t="n">
        <v>116</v>
      </c>
      <c r="P2305" s="23" t="n"/>
      <c r="Q2305" s="23" t="n"/>
      <c r="R2305" s="25" t="n"/>
      <c r="S2305" s="26">
        <f>HYPERLINK("http://www.cnpol.ru/covers/18698.jpg","фото на сайте")</f>
        <v/>
      </c>
    </row>
    <row r="2306" ht="50.1" customHeight="1" s="3">
      <c r="A2306" s="23" t="n"/>
      <c r="B2306" s="24" t="inlineStr">
        <is>
          <t>14839</t>
        </is>
      </c>
      <c r="C2306" s="23" t="inlineStr">
        <is>
          <t>М ИР</t>
        </is>
      </c>
      <c r="D2306" s="23" t="inlineStr">
        <is>
          <t>Аллен Л.</t>
        </is>
      </c>
      <c r="E2306" s="23" t="inlineStr">
        <is>
          <t>Расчетливая вдова</t>
        </is>
      </c>
      <c r="F2306" s="23" t="n">
        <v>38</v>
      </c>
      <c r="G2306" s="23" t="n">
        <v>167</v>
      </c>
      <c r="H2306" s="23" t="n">
        <v>10</v>
      </c>
      <c r="I2306" s="23" t="n">
        <v>32</v>
      </c>
      <c r="J2306" s="23" t="inlineStr">
        <is>
          <t>978-5-227-04862-2</t>
        </is>
      </c>
      <c r="K2306" s="23" t="inlineStr">
        <is>
          <t>70x100 1/32</t>
        </is>
      </c>
      <c r="L2306" s="23" t="inlineStr">
        <is>
          <t>мяг</t>
        </is>
      </c>
      <c r="M2306" s="23" t="n">
        <v>286</v>
      </c>
      <c r="N2306" s="23" t="n">
        <v>2014</v>
      </c>
      <c r="O2306" s="23" t="n">
        <v>136</v>
      </c>
      <c r="P2306" s="23" t="n"/>
      <c r="Q2306" s="23" t="n"/>
      <c r="R2306" s="25" t="n"/>
      <c r="S2306" s="26">
        <f>HYPERLINK("http://www.cnpol.ru/covers/14839.jpg","фото на сайте")</f>
        <v/>
      </c>
    </row>
    <row r="2307" ht="50.1" customHeight="1" s="3">
      <c r="A2307" s="23" t="n"/>
      <c r="B2307" s="24" t="inlineStr">
        <is>
          <t>19245</t>
        </is>
      </c>
      <c r="C2307" s="23" t="inlineStr">
        <is>
          <t>М ИР</t>
        </is>
      </c>
      <c r="D2307" s="23" t="inlineStr">
        <is>
          <t>Темпл Л.</t>
        </is>
      </c>
      <c r="E2307" s="23" t="inlineStr">
        <is>
          <t>Роковой поцелуй</t>
        </is>
      </c>
      <c r="F2307" s="23" t="n">
        <v>109</v>
      </c>
      <c r="G2307" s="23" t="n">
        <v>167</v>
      </c>
      <c r="H2307" s="23" t="n">
        <v>10</v>
      </c>
      <c r="I2307" s="23" t="n">
        <v>30</v>
      </c>
      <c r="J2307" s="23" t="inlineStr">
        <is>
          <t>978-5-227-09040-9</t>
        </is>
      </c>
      <c r="K2307" s="23" t="inlineStr">
        <is>
          <t>70x100 1/32</t>
        </is>
      </c>
      <c r="L2307" s="23" t="inlineStr">
        <is>
          <t>мяг</t>
        </is>
      </c>
      <c r="M2307" s="23" t="n">
        <v>256</v>
      </c>
      <c r="N2307" s="23" t="n">
        <v>2020</v>
      </c>
      <c r="O2307" s="23" t="n">
        <v>120</v>
      </c>
      <c r="P2307" s="23" t="n"/>
      <c r="Q2307" s="23" t="n"/>
      <c r="R2307" s="25" t="n"/>
      <c r="S2307" s="26">
        <f>HYPERLINK("http://www.cnpol.ru/covers/19245.jpg","фото на сайте")</f>
        <v/>
      </c>
    </row>
    <row r="2308" ht="50.1" customHeight="1" s="3">
      <c r="A2308" s="23" t="n"/>
      <c r="B2308" s="24" t="inlineStr">
        <is>
          <t>20222</t>
        </is>
      </c>
      <c r="C2308" s="23" t="inlineStr">
        <is>
          <t>М ИР</t>
        </is>
      </c>
      <c r="D2308" s="23" t="inlineStr">
        <is>
          <t>Оливер Мелисса</t>
        </is>
      </c>
      <c r="E2308" s="23" t="inlineStr">
        <is>
          <t>Рыцарь леди Элеоноры</t>
        </is>
      </c>
      <c r="F2308" s="23" t="n">
        <v>119</v>
      </c>
      <c r="G2308" s="23" t="n">
        <v>167</v>
      </c>
      <c r="H2308" s="23" t="n">
        <v>10</v>
      </c>
      <c r="I2308" s="23" t="n">
        <v>18</v>
      </c>
      <c r="J2308" s="23" t="inlineStr">
        <is>
          <t>978-5-227-09834-4</t>
        </is>
      </c>
      <c r="K2308" s="23" t="inlineStr">
        <is>
          <t>70x100 1/32</t>
        </is>
      </c>
      <c r="L2308" s="23" t="inlineStr">
        <is>
          <t>мяг</t>
        </is>
      </c>
      <c r="M2308" s="23" t="n">
        <v>255</v>
      </c>
      <c r="N2308" s="23" t="n">
        <v>2022</v>
      </c>
      <c r="O2308" s="23" t="n">
        <v>120</v>
      </c>
      <c r="P2308" s="23" t="n"/>
      <c r="Q2308" s="23" t="n"/>
      <c r="R2308" s="25" t="n"/>
      <c r="S2308" s="26">
        <f>HYPERLINK("http://www.cnpol.ru/covers/20222.jpg","фото на сайте")</f>
        <v/>
      </c>
    </row>
    <row r="2309" ht="50.1" customHeight="1" s="3">
      <c r="A2309" s="23" t="inlineStr">
        <is>
          <t>Н</t>
        </is>
      </c>
      <c r="B2309" s="24" t="inlineStr">
        <is>
          <t>21206</t>
        </is>
      </c>
      <c r="C2309" s="23" t="inlineStr">
        <is>
          <t>М ИР</t>
        </is>
      </c>
      <c r="D2309" s="23" t="inlineStr">
        <is>
          <t>Белгадо П.</t>
        </is>
      </c>
      <c r="E2309" s="23" t="inlineStr">
        <is>
          <t>Самый достойный герцог</t>
        </is>
      </c>
      <c r="F2309" s="23" t="n">
        <v>127</v>
      </c>
      <c r="G2309" s="23" t="n">
        <v>167</v>
      </c>
      <c r="H2309" s="23" t="n">
        <v>10</v>
      </c>
      <c r="I2309" s="23" t="n">
        <v>18</v>
      </c>
      <c r="J2309" s="23" t="inlineStr">
        <is>
          <t>978-5-227-10630-8</t>
        </is>
      </c>
      <c r="K2309" s="23" t="inlineStr">
        <is>
          <t>70x100 1/32</t>
        </is>
      </c>
      <c r="L2309" s="23" t="inlineStr">
        <is>
          <t>мяг</t>
        </is>
      </c>
      <c r="M2309" s="23" t="n">
        <v>255</v>
      </c>
      <c r="N2309" s="23" t="n">
        <v>2024</v>
      </c>
      <c r="O2309" s="23" t="n">
        <v>119</v>
      </c>
      <c r="P2309" s="23" t="n"/>
      <c r="Q2309" s="23" t="n"/>
      <c r="R2309" s="25" t="inlineStr">
        <is>
          <t>Артур Мейсон, отец Кейт Мейсон, магнат из Нью-Йорка, привозит дочь в Англию, чтобы та нашла там мужа-аристократа, который помог бы ему выйти на стремительно развивающийся рынок железных дорог Великобритании. Кейт выросла рядом с дедом, который был инженером-самоучкой и передал внучке инженерные знания. Девушка мечтала, что однажды сама возглавит завод и начнет производство собственных локомотивов. Поэтому перспектива стать замужней дамой, пусть и знатной, не радовала ее. На своем первом балу в Лондоне Кейт встречает мужчину, который привлекает ее внимание. Каково же было ее удивление, когда он оказывается хозяином поместья, куда они приезжают погостить и получить протекцию вдовствующей герцогини Мабери, его матери. Из редких разговоров с герцогом Кейт узнает, что тот не собирается жениться, пережитая трагедия удерживает его и от продолжения рода. Однако, увидев, что Кейт приняла ухаживания соседа герцога Сигрейва, герцог Мабери понимает, что не сможет отказаться от возможности быть рядом с Кейт...</t>
        </is>
      </c>
      <c r="S2309" s="26">
        <f>HYPERLINK("http://www.cnpol.ru/covers/21206.jpg","фото на сайте")</f>
        <v/>
      </c>
    </row>
    <row r="2310" ht="50.1" customHeight="1" s="3">
      <c r="A2310" s="23" t="n"/>
      <c r="B2310" s="24" t="inlineStr">
        <is>
          <t>17497</t>
        </is>
      </c>
      <c r="C2310" s="23" t="inlineStr">
        <is>
          <t>М ИР</t>
        </is>
      </c>
      <c r="D2310" s="23" t="inlineStr">
        <is>
          <t>Скотт Б.</t>
        </is>
      </c>
      <c r="E2310" s="23" t="inlineStr">
        <is>
          <t>Самый желанный любовник Лондона</t>
        </is>
      </c>
      <c r="F2310" s="23" t="n">
        <v>74</v>
      </c>
      <c r="G2310" s="23" t="n">
        <v>167</v>
      </c>
      <c r="H2310" s="23" t="n">
        <v>10</v>
      </c>
      <c r="I2310" s="23" t="n">
        <v>24</v>
      </c>
      <c r="J2310" s="23" t="inlineStr">
        <is>
          <t>978-5-227-07564-2</t>
        </is>
      </c>
      <c r="K2310" s="23" t="inlineStr">
        <is>
          <t>70x100 1/32</t>
        </is>
      </c>
      <c r="L2310" s="23" t="inlineStr">
        <is>
          <t>мяг</t>
        </is>
      </c>
      <c r="M2310" s="23" t="n">
        <v>288</v>
      </c>
      <c r="N2310" s="23" t="n">
        <v>2017</v>
      </c>
      <c r="O2310" s="23" t="n">
        <v>130</v>
      </c>
      <c r="P2310" s="23" t="n"/>
      <c r="Q2310" s="23" t="n"/>
      <c r="R2310" s="25" t="n"/>
      <c r="S2310" s="26">
        <f>HYPERLINK("http://www.cnpol.ru/covers/17497.jpg","фото на сайте")</f>
        <v/>
      </c>
    </row>
    <row r="2311" ht="50.1" customHeight="1" s="3">
      <c r="A2311" s="23" t="n"/>
      <c r="B2311" s="24" t="inlineStr">
        <is>
          <t>17547</t>
        </is>
      </c>
      <c r="C2311" s="23" t="inlineStr">
        <is>
          <t>М ИР</t>
        </is>
      </c>
      <c r="D2311" s="23" t="inlineStr">
        <is>
          <t>Мортимер К.</t>
        </is>
      </c>
      <c r="E2311" s="23" t="inlineStr">
        <is>
          <t>Свидание в храме Афродиты</t>
        </is>
      </c>
      <c r="F2311" s="23" t="n">
        <v>75</v>
      </c>
      <c r="G2311" s="23" t="n">
        <v>167</v>
      </c>
      <c r="H2311" s="23" t="n">
        <v>10</v>
      </c>
      <c r="I2311" s="23" t="n">
        <v>24</v>
      </c>
      <c r="J2311" s="23" t="inlineStr">
        <is>
          <t>978-5-227-07565-9</t>
        </is>
      </c>
      <c r="K2311" s="23" t="inlineStr">
        <is>
          <t>70x100 1/32</t>
        </is>
      </c>
      <c r="L2311" s="23" t="inlineStr">
        <is>
          <t>мяг</t>
        </is>
      </c>
      <c r="M2311" s="23" t="n">
        <v>256</v>
      </c>
      <c r="N2311" s="23" t="n">
        <v>2017</v>
      </c>
      <c r="O2311" s="23" t="n">
        <v>116</v>
      </c>
      <c r="P2311" s="23" t="n"/>
      <c r="Q2311" s="23" t="n"/>
      <c r="R2311" s="25" t="n"/>
      <c r="S2311" s="26">
        <f>HYPERLINK("http://www.cnpol.ru/covers/17547.jpg","фото на сайте")</f>
        <v/>
      </c>
    </row>
    <row r="2312" ht="50.1" customHeight="1" s="3">
      <c r="A2312" s="23" t="n"/>
      <c r="B2312" s="24" t="inlineStr">
        <is>
          <t>15856</t>
        </is>
      </c>
      <c r="C2312" s="23" t="inlineStr">
        <is>
          <t>М ИР</t>
        </is>
      </c>
      <c r="D2312" s="23" t="inlineStr">
        <is>
          <t>Скотт Б.</t>
        </is>
      </c>
      <c r="E2312" s="23" t="inlineStr">
        <is>
          <t>Секреты джентельмена по вызову</t>
        </is>
      </c>
      <c r="F2312" s="23" t="n">
        <v>63</v>
      </c>
      <c r="G2312" s="23" t="n">
        <v>167</v>
      </c>
      <c r="H2312" s="23" t="n">
        <v>10</v>
      </c>
      <c r="I2312" s="23" t="n">
        <v>32</v>
      </c>
      <c r="J2312" s="23" t="inlineStr">
        <is>
          <t>978-5-227-05699-3</t>
        </is>
      </c>
      <c r="K2312" s="23" t="inlineStr">
        <is>
          <t>70x100 1/32</t>
        </is>
      </c>
      <c r="L2312" s="23" t="inlineStr">
        <is>
          <t>мяг</t>
        </is>
      </c>
      <c r="M2312" s="23" t="n">
        <v>254</v>
      </c>
      <c r="N2312" s="23" t="n">
        <v>2015</v>
      </c>
      <c r="O2312" s="23" t="n">
        <v>118</v>
      </c>
      <c r="P2312" s="23" t="n"/>
      <c r="Q2312" s="23" t="n"/>
      <c r="R2312" s="25" t="n"/>
      <c r="S2312" s="26">
        <f>HYPERLINK("http://www.cnpol.ru/covers/15856.jpg","фото на сайте")</f>
        <v/>
      </c>
    </row>
    <row r="2313" ht="50.1" customHeight="1" s="3">
      <c r="A2313" s="23" t="n"/>
      <c r="B2313" s="24" t="inlineStr">
        <is>
          <t>18483</t>
        </is>
      </c>
      <c r="C2313" s="23" t="inlineStr">
        <is>
          <t>М ИР</t>
        </is>
      </c>
      <c r="D2313" s="23" t="inlineStr">
        <is>
          <t>Бикон Э.</t>
        </is>
      </c>
      <c r="E2313" s="23" t="inlineStr">
        <is>
          <t>Скандал в семействе Уинтерли</t>
        </is>
      </c>
      <c r="F2313" s="23" t="n">
        <v>95</v>
      </c>
      <c r="G2313" s="23" t="n">
        <v>167</v>
      </c>
      <c r="H2313" s="23" t="n">
        <v>10</v>
      </c>
      <c r="I2313" s="23" t="n">
        <v>24</v>
      </c>
      <c r="J2313" s="23" t="inlineStr">
        <is>
          <t>978-5-227-08425-5</t>
        </is>
      </c>
      <c r="K2313" s="23" t="inlineStr">
        <is>
          <t>70x100 1/32</t>
        </is>
      </c>
      <c r="L2313" s="23" t="inlineStr">
        <is>
          <t>мяг</t>
        </is>
      </c>
      <c r="M2313" s="23" t="n">
        <v>256</v>
      </c>
      <c r="N2313" s="23" t="n">
        <v>2019</v>
      </c>
      <c r="O2313" s="23" t="n">
        <v>120</v>
      </c>
      <c r="P2313" s="23" t="n"/>
      <c r="Q2313" s="23" t="n"/>
      <c r="R2313" s="25" t="n"/>
      <c r="S2313" s="26">
        <f>HYPERLINK("http://www.cnpol.ru/covers/18483.jpg","фото на сайте")</f>
        <v/>
      </c>
    </row>
    <row r="2314" ht="50.1" customHeight="1" s="3">
      <c r="A2314" s="23" t="n"/>
      <c r="B2314" s="24" t="inlineStr">
        <is>
          <t>19484</t>
        </is>
      </c>
      <c r="C2314" s="23" t="inlineStr">
        <is>
          <t>М ИР</t>
        </is>
      </c>
      <c r="D2314" s="23" t="inlineStr">
        <is>
          <t>Аллен Л.</t>
        </is>
      </c>
      <c r="E2314" s="23" t="inlineStr">
        <is>
          <t>Скандальное сватовство герцога</t>
        </is>
      </c>
      <c r="F2314" s="23" t="n">
        <v>112</v>
      </c>
      <c r="G2314" s="23" t="n">
        <v>167</v>
      </c>
      <c r="H2314" s="23" t="n">
        <v>10</v>
      </c>
      <c r="I2314" s="23" t="n">
        <v>20</v>
      </c>
      <c r="J2314" s="23" t="inlineStr">
        <is>
          <t>978-5-227-09142-0</t>
        </is>
      </c>
      <c r="K2314" s="23" t="inlineStr">
        <is>
          <t>70x100 1/32</t>
        </is>
      </c>
      <c r="L2314" s="23" t="inlineStr">
        <is>
          <t>мяг</t>
        </is>
      </c>
      <c r="M2314" s="23" t="n">
        <v>256</v>
      </c>
      <c r="N2314" s="23" t="n">
        <v>2020</v>
      </c>
      <c r="O2314" s="23" t="n">
        <v>118</v>
      </c>
      <c r="P2314" s="23" t="n"/>
      <c r="Q2314" s="23" t="n"/>
      <c r="R2314" s="25" t="n"/>
      <c r="S2314" s="26">
        <f>HYPERLINK("http://www.cnpol.ru/covers/19484.jpg","фото на сайте")</f>
        <v/>
      </c>
    </row>
    <row r="2315" ht="50.1" customHeight="1" s="3">
      <c r="A2315" s="23" t="n"/>
      <c r="B2315" s="24" t="inlineStr">
        <is>
          <t>14551</t>
        </is>
      </c>
      <c r="C2315" s="23" t="inlineStr">
        <is>
          <t>М ИР</t>
        </is>
      </c>
      <c r="D2315" s="23" t="inlineStr">
        <is>
          <t>Кэй М.</t>
        </is>
      </c>
      <c r="E2315" s="23" t="inlineStr">
        <is>
          <t>Скандальные признания</t>
        </is>
      </c>
      <c r="F2315" s="23" t="n">
        <v>31</v>
      </c>
      <c r="G2315" s="23" t="n">
        <v>167</v>
      </c>
      <c r="H2315" s="23" t="n">
        <v>10</v>
      </c>
      <c r="I2315" s="23" t="n">
        <v>32</v>
      </c>
      <c r="J2315" s="23" t="inlineStr">
        <is>
          <t>978-5-227-04616-1</t>
        </is>
      </c>
      <c r="K2315" s="23" t="inlineStr">
        <is>
          <t>70x100 1/32</t>
        </is>
      </c>
      <c r="L2315" s="23" t="inlineStr">
        <is>
          <t>мяг</t>
        </is>
      </c>
      <c r="M2315" s="23" t="n">
        <v>254</v>
      </c>
      <c r="N2315" s="23" t="n">
        <v>2013</v>
      </c>
      <c r="O2315" s="23" t="n">
        <v>120</v>
      </c>
      <c r="P2315" s="23" t="n"/>
      <c r="Q2315" s="23" t="n"/>
      <c r="R2315" s="25" t="n"/>
      <c r="S2315" s="26">
        <f>HYPERLINK("http://www.cnpol.ru/covers/14551.jpg","фото на сайте")</f>
        <v/>
      </c>
    </row>
    <row r="2316" ht="50.1" customHeight="1" s="3">
      <c r="A2316" s="23" t="n"/>
      <c r="B2316" s="24" t="inlineStr">
        <is>
          <t>14718</t>
        </is>
      </c>
      <c r="C2316" s="23" t="inlineStr">
        <is>
          <t>М ИР</t>
        </is>
      </c>
      <c r="D2316" s="23" t="inlineStr">
        <is>
          <t>Уиллингем М.</t>
        </is>
      </c>
      <c r="E2316" s="23" t="inlineStr">
        <is>
          <t>Случайный принц</t>
        </is>
      </c>
      <c r="F2316" s="23" t="n">
        <v>34</v>
      </c>
      <c r="G2316" s="23" t="n">
        <v>167</v>
      </c>
      <c r="H2316" s="23" t="n">
        <v>10</v>
      </c>
      <c r="I2316" s="23" t="n">
        <v>30</v>
      </c>
      <c r="J2316" s="23" t="inlineStr">
        <is>
          <t>978-5-227-04701-4</t>
        </is>
      </c>
      <c r="K2316" s="23" t="inlineStr">
        <is>
          <t>70x100 1/32</t>
        </is>
      </c>
      <c r="L2316" s="23" t="inlineStr">
        <is>
          <t>мяг</t>
        </is>
      </c>
      <c r="M2316" s="23" t="n">
        <v>253</v>
      </c>
      <c r="N2316" s="23" t="n">
        <v>2013</v>
      </c>
      <c r="O2316" s="23" t="n">
        <v>116</v>
      </c>
      <c r="P2316" s="23" t="n"/>
      <c r="Q2316" s="23" t="n"/>
      <c r="R2316" s="25" t="n"/>
      <c r="S2316" s="26">
        <f>HYPERLINK("http://www.cnpol.ru/covers/14718.jpg","фото на сайте")</f>
        <v/>
      </c>
    </row>
    <row r="2317" ht="50.1" customHeight="1" s="3">
      <c r="A2317" s="23" t="n"/>
      <c r="B2317" s="24" t="inlineStr">
        <is>
          <t>14026</t>
        </is>
      </c>
      <c r="C2317" s="23" t="inlineStr">
        <is>
          <t>М ИР</t>
        </is>
      </c>
      <c r="D2317" s="23" t="inlineStr">
        <is>
          <t>Макфи М.</t>
        </is>
      </c>
      <c r="E2317" s="23" t="inlineStr">
        <is>
          <t>Сорвать маску</t>
        </is>
      </c>
      <c r="F2317" s="23" t="n">
        <v>17</v>
      </c>
      <c r="G2317" s="23" t="n">
        <v>167</v>
      </c>
      <c r="H2317" s="23" t="n">
        <v>10</v>
      </c>
      <c r="I2317" s="23" t="n">
        <v>24</v>
      </c>
      <c r="J2317" s="23" t="inlineStr">
        <is>
          <t>978-5-227-04111-1</t>
        </is>
      </c>
      <c r="K2317" s="23" t="inlineStr">
        <is>
          <t>70x100 1/32</t>
        </is>
      </c>
      <c r="L2317" s="23" t="inlineStr">
        <is>
          <t>мяг</t>
        </is>
      </c>
      <c r="M2317" s="23" t="n">
        <v>286</v>
      </c>
      <c r="N2317" s="23" t="n">
        <v>2012</v>
      </c>
      <c r="O2317" s="23" t="n">
        <v>130</v>
      </c>
      <c r="P2317" s="23" t="n"/>
      <c r="Q2317" s="23" t="n"/>
      <c r="R2317" s="25" t="n"/>
      <c r="S2317" s="26">
        <f>HYPERLINK("http://www.cnpol.ru/covers/14026.jpg","фото на сайте")</f>
        <v/>
      </c>
    </row>
    <row r="2318" ht="50.1" customHeight="1" s="3">
      <c r="A2318" s="23" t="inlineStr">
        <is>
          <t>Н</t>
        </is>
      </c>
      <c r="B2318" s="24" t="inlineStr">
        <is>
          <t>21035</t>
        </is>
      </c>
      <c r="C2318" s="23" t="inlineStr">
        <is>
          <t>М ИР</t>
        </is>
      </c>
      <c r="D2318" s="23" t="inlineStr">
        <is>
          <t>Лок Н.</t>
        </is>
      </c>
      <c r="E2318" s="23" t="inlineStr">
        <is>
          <t>Союз страстных сердец</t>
        </is>
      </c>
      <c r="F2318" s="23" t="n">
        <v>126</v>
      </c>
      <c r="G2318" s="23" t="n">
        <v>167</v>
      </c>
      <c r="H2318" s="23" t="n">
        <v>10</v>
      </c>
      <c r="I2318" s="23" t="n">
        <v>16</v>
      </c>
      <c r="J2318" s="23" t="inlineStr">
        <is>
          <t>978-5-227-10352-9</t>
        </is>
      </c>
      <c r="K2318" s="23" t="inlineStr">
        <is>
          <t>70x100 1/32</t>
        </is>
      </c>
      <c r="L2318" s="23" t="inlineStr">
        <is>
          <t>мяг</t>
        </is>
      </c>
      <c r="M2318" s="23" t="n">
        <v>255</v>
      </c>
      <c r="N2318" s="23" t="n">
        <v>2024</v>
      </c>
      <c r="O2318" s="23" t="n">
        <v>115</v>
      </c>
      <c r="P2318" s="23" t="n"/>
      <c r="Q2318" s="23" t="n"/>
      <c r="R2318" s="25" t="inlineStr">
        <is>
          <t>Марджери становится случайным свидетелем встречи лорда Иэна из Уорстоуна с женщиной, которая передает ему тайные послания. К удивлению Марджери, лорд не убивает ее, а везет с собой в крепость и запирает в комнате, приставив стражу — своего личного охранника Эврара, великана, человека невероятной силы, угрюмого и молчаливого. Шантажом и угрозами родным Иэн заставлял его служить, удерживая рядом, но и доверял ему больше, чем кому-либо из приближенных. За время заточения Марджери удается сблизиться с Эвраром и узнать его настолько хорошо, что влюбляется в него. Чувства взаимны, но пугает мысль, что Иэн узнает об их связи, тогда наказания не избежать…</t>
        </is>
      </c>
      <c r="S2318" s="26">
        <f>HYPERLINK("http://www.cnpol.ru/covers/21035.jpg","фото на сайте")</f>
        <v/>
      </c>
    </row>
    <row r="2319" ht="50.1" customHeight="1" s="3">
      <c r="A2319" s="23" t="inlineStr">
        <is>
          <t>Н</t>
        </is>
      </c>
      <c r="B2319" s="24" t="inlineStr">
        <is>
          <t>21324</t>
        </is>
      </c>
      <c r="C2319" s="23" t="inlineStr">
        <is>
          <t>М ИР</t>
        </is>
      </c>
      <c r="D2319" s="23" t="inlineStr">
        <is>
          <t>Диксон Х.</t>
        </is>
      </c>
      <c r="E2319" s="23" t="inlineStr">
        <is>
          <t>Страстный поцелуй лорда</t>
        </is>
      </c>
      <c r="F2319" s="23" t="n">
        <v>128</v>
      </c>
      <c r="G2319" s="23" t="n">
        <v>167</v>
      </c>
      <c r="H2319" s="23" t="n">
        <v>10</v>
      </c>
      <c r="I2319" s="23" t="n">
        <v>24</v>
      </c>
      <c r="J2319" s="23" t="inlineStr">
        <is>
          <t>978-5-227-10784-8</t>
        </is>
      </c>
      <c r="K2319" s="23" t="inlineStr">
        <is>
          <t>70x100 1/32</t>
        </is>
      </c>
      <c r="L2319" s="23" t="inlineStr">
        <is>
          <t>мяг</t>
        </is>
      </c>
      <c r="M2319" s="23" t="n">
        <v>255</v>
      </c>
      <c r="N2319" s="23" t="n">
        <v>2024</v>
      </c>
      <c r="O2319" s="23" t="n">
        <v>120</v>
      </c>
      <c r="P2319" s="23" t="n"/>
      <c r="Q2319" s="23" t="n"/>
      <c r="R2319" s="25" t="inlineStr">
        <is>
          <t>Сестра Джейн Дейтон сбежала с младшим сыном заклятого врага ее семьи. Будучи преисполнена решимости вернуть ее любой ценой, Джейн отважилась просить о помощи грозного старшего брата юноши лорда Фрэнсиса Рэндольфа. В путешествии-погоне за беглецами Джейн и Фрэнсис невольно начинают тянуться друг к другу, и кульминацией их чувств становится греховный поцелуй. У возлюбленных нет даже малейшей надежды на счастье: их семьи враждуют уже много лет. Но Джейн не может удержаться от влечения к запретным прикосновениям Фрэнсиса…</t>
        </is>
      </c>
      <c r="S2319" s="26">
        <f>HYPERLINK("http://www.cnpol.ru/covers/21324.jpg","фото на сайте")</f>
        <v/>
      </c>
    </row>
    <row r="2320" ht="50.1" customHeight="1" s="3">
      <c r="A2320" s="23" t="n"/>
      <c r="B2320" s="24" t="inlineStr">
        <is>
          <t>19584</t>
        </is>
      </c>
      <c r="C2320" s="23" t="inlineStr">
        <is>
          <t>М ИР</t>
        </is>
      </c>
      <c r="D2320" s="23" t="inlineStr">
        <is>
          <t>Джеймс С.</t>
        </is>
      </c>
      <c r="E2320" s="23" t="inlineStr">
        <is>
          <t>Счастливая звезда графини Анны</t>
        </is>
      </c>
      <c r="F2320" s="23" t="n">
        <v>114</v>
      </c>
      <c r="G2320" s="23" t="n">
        <v>167</v>
      </c>
      <c r="H2320" s="23" t="n">
        <v>10</v>
      </c>
      <c r="I2320" s="23" t="n">
        <v>30</v>
      </c>
      <c r="J2320" s="23" t="inlineStr">
        <is>
          <t>978-5-227-09237-3</t>
        </is>
      </c>
      <c r="K2320" s="23" t="inlineStr">
        <is>
          <t>70x100 1/32</t>
        </is>
      </c>
      <c r="L2320" s="23" t="inlineStr">
        <is>
          <t>мяг</t>
        </is>
      </c>
      <c r="M2320" s="23" t="n">
        <v>256</v>
      </c>
      <c r="N2320" s="23" t="n">
        <v>2021</v>
      </c>
      <c r="O2320" s="23" t="n">
        <v>118</v>
      </c>
      <c r="P2320" s="23" t="n"/>
      <c r="Q2320" s="23" t="n"/>
      <c r="R2320" s="25" t="n"/>
      <c r="S2320" s="26">
        <f>HYPERLINK("http://www.cnpol.ru/covers/19584.jpg","фото на сайте")</f>
        <v/>
      </c>
    </row>
    <row r="2321" ht="50.1" customHeight="1" s="3">
      <c r="A2321" s="23" t="n"/>
      <c r="B2321" s="24" t="inlineStr">
        <is>
          <t>19038</t>
        </is>
      </c>
      <c r="C2321" s="23" t="inlineStr">
        <is>
          <t>М ИР</t>
        </is>
      </c>
      <c r="D2321" s="23" t="inlineStr">
        <is>
          <t>Ли Д.</t>
        </is>
      </c>
      <c r="E2321" s="23" t="inlineStr">
        <is>
          <t>Тайна брачного соглашения</t>
        </is>
      </c>
      <c r="F2321" s="23" t="n">
        <v>106</v>
      </c>
      <c r="G2321" s="23" t="n">
        <v>167</v>
      </c>
      <c r="H2321" s="23" t="n">
        <v>10</v>
      </c>
      <c r="I2321" s="23" t="n">
        <v>24</v>
      </c>
      <c r="J2321" s="23" t="inlineStr">
        <is>
          <t>978-5-227-08923-6</t>
        </is>
      </c>
      <c r="K2321" s="23" t="inlineStr">
        <is>
          <t>70x100 1/32</t>
        </is>
      </c>
      <c r="L2321" s="23" t="inlineStr">
        <is>
          <t>мяг</t>
        </is>
      </c>
      <c r="M2321" s="23" t="n">
        <v>256</v>
      </c>
      <c r="N2321" s="23" t="n">
        <v>2020</v>
      </c>
      <c r="O2321" s="23" t="n">
        <v>116</v>
      </c>
      <c r="P2321" s="23" t="n"/>
      <c r="Q2321" s="23" t="n"/>
      <c r="R2321" s="25" t="n"/>
      <c r="S2321" s="26">
        <f>HYPERLINK("http://www.cnpol.ru/covers/19038.jpg","фото на сайте")</f>
        <v/>
      </c>
    </row>
    <row r="2322" ht="50.1" customHeight="1" s="3">
      <c r="A2322" s="23" t="n"/>
      <c r="B2322" s="24" t="inlineStr">
        <is>
          <t>17713</t>
        </is>
      </c>
      <c r="C2322" s="23" t="inlineStr">
        <is>
          <t>М ИР</t>
        </is>
      </c>
      <c r="D2322" s="23" t="inlineStr">
        <is>
          <t>Берроуз Э.</t>
        </is>
      </c>
      <c r="E2322" s="23" t="inlineStr">
        <is>
          <t>Тайная страсть леди Эстер</t>
        </is>
      </c>
      <c r="F2322" s="23" t="n">
        <v>78</v>
      </c>
      <c r="G2322" s="23" t="n">
        <v>167</v>
      </c>
      <c r="H2322" s="23" t="n">
        <v>10</v>
      </c>
      <c r="I2322" s="23" t="n">
        <v>24</v>
      </c>
      <c r="J2322" s="23" t="inlineStr">
        <is>
          <t>978-5-227-07690-8</t>
        </is>
      </c>
      <c r="K2322" s="23" t="inlineStr">
        <is>
          <t>70x100 1/32</t>
        </is>
      </c>
      <c r="L2322" s="23" t="inlineStr">
        <is>
          <t>мяг</t>
        </is>
      </c>
      <c r="M2322" s="23" t="n">
        <v>256</v>
      </c>
      <c r="N2322" s="23" t="n">
        <v>2017</v>
      </c>
      <c r="O2322" s="23" t="n">
        <v>117</v>
      </c>
      <c r="P2322" s="23" t="n"/>
      <c r="Q2322" s="23" t="n"/>
      <c r="R2322" s="25" t="n"/>
      <c r="S2322" s="26">
        <f>HYPERLINK("http://www.cnpol.ru/covers/17713.jpg","фото на сайте")</f>
        <v/>
      </c>
    </row>
    <row r="2323" ht="50.1" customHeight="1" s="3">
      <c r="A2323" s="23" t="n"/>
      <c r="B2323" s="24" t="inlineStr">
        <is>
          <t>14111</t>
        </is>
      </c>
      <c r="C2323" s="23" t="inlineStr">
        <is>
          <t>М ИР</t>
        </is>
      </c>
      <c r="D2323" s="23" t="inlineStr">
        <is>
          <t>Макфи М.</t>
        </is>
      </c>
      <c r="E2323" s="23" t="inlineStr">
        <is>
          <t>Таинственный джентельмен</t>
        </is>
      </c>
      <c r="F2323" s="23" t="n">
        <v>19</v>
      </c>
      <c r="G2323" s="23" t="n">
        <v>167</v>
      </c>
      <c r="H2323" s="23" t="n">
        <v>10</v>
      </c>
      <c r="I2323" s="23" t="n">
        <v>32</v>
      </c>
      <c r="J2323" s="23" t="inlineStr">
        <is>
          <t>978-5-227-04207-1</t>
        </is>
      </c>
      <c r="K2323" s="23" t="inlineStr">
        <is>
          <t>70x100 1/32</t>
        </is>
      </c>
      <c r="L2323" s="23" t="inlineStr">
        <is>
          <t>мяг</t>
        </is>
      </c>
      <c r="M2323" s="23" t="n">
        <v>288</v>
      </c>
      <c r="N2323" s="23" t="n">
        <v>2013</v>
      </c>
      <c r="O2323" s="23" t="n">
        <v>128</v>
      </c>
      <c r="P2323" s="23" t="n"/>
      <c r="Q2323" s="23" t="n"/>
      <c r="R2323" s="25" t="n"/>
      <c r="S2323" s="26">
        <f>HYPERLINK("http://www.cnpol.ru/covers/14111.jpg","фото на сайте")</f>
        <v/>
      </c>
    </row>
    <row r="2324" ht="50.1" customHeight="1" s="3">
      <c r="A2324" s="23" t="n"/>
      <c r="B2324" s="24" t="inlineStr">
        <is>
          <t>18431</t>
        </is>
      </c>
      <c r="C2324" s="23" t="inlineStr">
        <is>
          <t>М ИР</t>
        </is>
      </c>
      <c r="D2324" s="23" t="inlineStr">
        <is>
          <t>Херрис Э.</t>
        </is>
      </c>
      <c r="E2324" s="23" t="inlineStr">
        <is>
          <t>Тайны герцогини Эйвонли</t>
        </is>
      </c>
      <c r="F2324" s="23" t="n">
        <v>94</v>
      </c>
      <c r="G2324" s="23" t="n">
        <v>167</v>
      </c>
      <c r="H2324" s="23" t="n">
        <v>10</v>
      </c>
      <c r="I2324" s="23" t="n">
        <v>26</v>
      </c>
      <c r="J2324" s="23" t="inlineStr">
        <is>
          <t>978-5-227-08402-6</t>
        </is>
      </c>
      <c r="K2324" s="23" t="inlineStr">
        <is>
          <t>70x100 1/32</t>
        </is>
      </c>
      <c r="L2324" s="23" t="inlineStr">
        <is>
          <t>мяг</t>
        </is>
      </c>
      <c r="M2324" s="23" t="n">
        <v>256</v>
      </c>
      <c r="N2324" s="23" t="n">
        <v>2018</v>
      </c>
      <c r="O2324" s="23" t="n">
        <v>117</v>
      </c>
      <c r="P2324" s="23" t="n"/>
      <c r="Q2324" s="23" t="n"/>
      <c r="R2324" s="25" t="n"/>
      <c r="S2324" s="26">
        <f>HYPERLINK("http://www.cnpol.ru/covers/18431.jpg","фото на сайте")</f>
        <v/>
      </c>
    </row>
    <row r="2325" ht="50.1" customHeight="1" s="3">
      <c r="A2325" s="23" t="n"/>
      <c r="B2325" s="24" t="inlineStr">
        <is>
          <t>18651</t>
        </is>
      </c>
      <c r="C2325" s="23" t="inlineStr">
        <is>
          <t>М ИР</t>
        </is>
      </c>
      <c r="D2325" s="23" t="inlineStr">
        <is>
          <t>Джеймс С.</t>
        </is>
      </c>
      <c r="E2325" s="23" t="inlineStr">
        <is>
          <t>Трудное счастье</t>
        </is>
      </c>
      <c r="F2325" s="23" t="n">
        <v>98</v>
      </c>
      <c r="G2325" s="23" t="n">
        <v>167</v>
      </c>
      <c r="H2325" s="23" t="n">
        <v>10</v>
      </c>
      <c r="I2325" s="23" t="n">
        <v>24</v>
      </c>
      <c r="J2325" s="23" t="inlineStr">
        <is>
          <t>978-5-227-08562-7</t>
        </is>
      </c>
      <c r="K2325" s="23" t="inlineStr">
        <is>
          <t>70x100 1/32</t>
        </is>
      </c>
      <c r="L2325" s="23" t="inlineStr">
        <is>
          <t>мяг</t>
        </is>
      </c>
      <c r="M2325" s="23" t="n">
        <v>256</v>
      </c>
      <c r="N2325" s="23" t="n">
        <v>2019</v>
      </c>
      <c r="O2325" s="23" t="n">
        <v>120</v>
      </c>
      <c r="P2325" s="23" t="n"/>
      <c r="Q2325" s="23" t="n"/>
      <c r="R2325" s="25" t="n"/>
      <c r="S2325" s="26">
        <f>HYPERLINK("http://www.cnpol.ru/covers/18651.jpg","фото на сайте")</f>
        <v/>
      </c>
    </row>
    <row r="2326" ht="50.1" customHeight="1" s="3">
      <c r="A2326" s="23" t="n"/>
      <c r="B2326" s="24" t="inlineStr">
        <is>
          <t>14212</t>
        </is>
      </c>
      <c r="C2326" s="23" t="inlineStr">
        <is>
          <t>М ИР</t>
        </is>
      </c>
      <c r="D2326" s="23" t="inlineStr">
        <is>
          <t>Маккейб А.</t>
        </is>
      </c>
      <c r="E2326" s="23" t="inlineStr">
        <is>
          <t>Укрощение повесы</t>
        </is>
      </c>
      <c r="F2326" s="23" t="n">
        <v>20</v>
      </c>
      <c r="G2326" s="23" t="n">
        <v>167</v>
      </c>
      <c r="H2326" s="23" t="n">
        <v>10</v>
      </c>
      <c r="I2326" s="23" t="n">
        <v>32</v>
      </c>
      <c r="J2326" s="23" t="inlineStr">
        <is>
          <t>978-5-227-04285-9</t>
        </is>
      </c>
      <c r="K2326" s="23" t="inlineStr">
        <is>
          <t>70x100 1/32</t>
        </is>
      </c>
      <c r="L2326" s="23" t="inlineStr">
        <is>
          <t>мяг</t>
        </is>
      </c>
      <c r="M2326" s="23" t="n">
        <v>286</v>
      </c>
      <c r="N2326" s="23" t="n">
        <v>2013</v>
      </c>
      <c r="O2326" s="23" t="n">
        <v>128</v>
      </c>
      <c r="P2326" s="23" t="n"/>
      <c r="Q2326" s="23" t="n"/>
      <c r="R2326" s="25" t="n"/>
      <c r="S2326" s="26">
        <f>HYPERLINK("http://www.cnpol.ru/covers/14212.jpg","фото на сайте")</f>
        <v/>
      </c>
    </row>
    <row r="2327" ht="50.1" customHeight="1" s="3">
      <c r="A2327" s="23" t="n"/>
      <c r="B2327" s="24" t="inlineStr">
        <is>
          <t>18127</t>
        </is>
      </c>
      <c r="C2327" s="23" t="inlineStr">
        <is>
          <t>М ИР</t>
        </is>
      </c>
      <c r="D2327" s="23" t="inlineStr">
        <is>
          <t>Скотт Б.</t>
        </is>
      </c>
      <c r="E2327" s="23" t="inlineStr">
        <is>
          <t>Уроки обольщения</t>
        </is>
      </c>
      <c r="F2327" s="23" t="n">
        <v>88</v>
      </c>
      <c r="G2327" s="23" t="n">
        <v>167</v>
      </c>
      <c r="H2327" s="23" t="n">
        <v>10</v>
      </c>
      <c r="I2327" s="23" t="n">
        <v>30</v>
      </c>
      <c r="J2327" s="23" t="inlineStr">
        <is>
          <t>978-5-227-08142-1</t>
        </is>
      </c>
      <c r="K2327" s="23" t="inlineStr">
        <is>
          <t>70x100 1/32</t>
        </is>
      </c>
      <c r="L2327" s="23" t="inlineStr">
        <is>
          <t>мяг</t>
        </is>
      </c>
      <c r="M2327" s="23" t="n">
        <v>256</v>
      </c>
      <c r="N2327" s="23" t="n">
        <v>2018</v>
      </c>
      <c r="O2327" s="23" t="n">
        <v>117</v>
      </c>
      <c r="P2327" s="23" t="n"/>
      <c r="Q2327" s="23" t="n"/>
      <c r="R2327" s="25" t="n"/>
      <c r="S2327" s="26">
        <f>HYPERLINK("http://www.cnpol.ru/covers/18127.jpg","фото на сайте")</f>
        <v/>
      </c>
    </row>
    <row r="2328" ht="50.1" customHeight="1" s="3">
      <c r="A2328" s="23" t="n"/>
      <c r="B2328" s="24" t="inlineStr">
        <is>
          <t>15684</t>
        </is>
      </c>
      <c r="C2328" s="23" t="inlineStr">
        <is>
          <t>М ИР</t>
        </is>
      </c>
      <c r="D2328" s="23" t="inlineStr">
        <is>
          <t>Диксон Х.</t>
        </is>
      </c>
      <c r="E2328" s="23" t="inlineStr">
        <is>
          <t>Хозяин Стоунгрейв-Холл</t>
        </is>
      </c>
      <c r="F2328" s="23" t="n">
        <v>58</v>
      </c>
      <c r="G2328" s="23" t="n">
        <v>167</v>
      </c>
      <c r="H2328" s="23" t="n">
        <v>10</v>
      </c>
      <c r="I2328" s="23" t="n">
        <v>30</v>
      </c>
      <c r="J2328" s="23" t="inlineStr">
        <is>
          <t>978-5-227-05498-2</t>
        </is>
      </c>
      <c r="K2328" s="23" t="inlineStr">
        <is>
          <t>70x100 1/32</t>
        </is>
      </c>
      <c r="L2328" s="23" t="inlineStr">
        <is>
          <t>мяг</t>
        </is>
      </c>
      <c r="M2328" s="23" t="n">
        <v>254</v>
      </c>
      <c r="N2328" s="23" t="n">
        <v>2014</v>
      </c>
      <c r="O2328" s="23" t="n">
        <v>116</v>
      </c>
      <c r="P2328" s="23" t="n"/>
      <c r="Q2328" s="23" t="n"/>
      <c r="R2328" s="25" t="n"/>
      <c r="S2328" s="26">
        <f>HYPERLINK("http://www.cnpol.ru/covers/15684.jpg","фото на сайте")</f>
        <v/>
      </c>
    </row>
    <row r="2329" ht="50.1" customHeight="1" s="3">
      <c r="A2329" s="23" t="n"/>
      <c r="B2329" s="24" t="inlineStr">
        <is>
          <t>17381</t>
        </is>
      </c>
      <c r="C2329" s="23" t="inlineStr">
        <is>
          <t>М ИР</t>
        </is>
      </c>
      <c r="D2329" s="23" t="inlineStr">
        <is>
          <t>Бикон Э.</t>
        </is>
      </c>
      <c r="E2329" s="23" t="inlineStr">
        <is>
          <t>Холодное сердце</t>
        </is>
      </c>
      <c r="F2329" s="23" t="n">
        <v>68</v>
      </c>
      <c r="G2329" s="23" t="n">
        <v>167</v>
      </c>
      <c r="H2329" s="23" t="n">
        <v>10</v>
      </c>
      <c r="I2329" s="23" t="n">
        <v>26</v>
      </c>
      <c r="J2329" s="23" t="inlineStr">
        <is>
          <t>978-5-227-06067-9</t>
        </is>
      </c>
      <c r="K2329" s="23" t="inlineStr">
        <is>
          <t>70x100 1/32</t>
        </is>
      </c>
      <c r="L2329" s="23" t="inlineStr">
        <is>
          <t>мяг</t>
        </is>
      </c>
      <c r="M2329" s="23" t="n">
        <v>256</v>
      </c>
      <c r="N2329" s="23" t="n">
        <v>2017</v>
      </c>
      <c r="O2329" s="23" t="n">
        <v>118</v>
      </c>
      <c r="P2329" s="23" t="n"/>
      <c r="Q2329" s="23" t="n"/>
      <c r="R2329" s="25" t="n"/>
      <c r="S2329" s="26">
        <f>HYPERLINK("http://www.cnpol.ru/covers/17381.jpg","фото на сайте")</f>
        <v/>
      </c>
    </row>
    <row r="2330" ht="50.1" customHeight="1" s="3">
      <c r="A2330" s="23" t="n"/>
      <c r="B2330" s="24" t="inlineStr">
        <is>
          <t>14602</t>
        </is>
      </c>
      <c r="C2330" s="23" t="inlineStr">
        <is>
          <t>М ИР</t>
        </is>
      </c>
      <c r="D2330" s="23" t="inlineStr">
        <is>
          <t>Маккейб А.</t>
        </is>
      </c>
      <c r="E2330" s="23" t="inlineStr">
        <is>
          <t>Чужестранка в Кастонбери</t>
        </is>
      </c>
      <c r="F2330" s="23" t="n">
        <v>33</v>
      </c>
      <c r="G2330" s="23" t="n">
        <v>167</v>
      </c>
      <c r="H2330" s="23" t="n">
        <v>10</v>
      </c>
      <c r="I2330" s="23" t="n">
        <v>32</v>
      </c>
      <c r="J2330" s="23" t="inlineStr">
        <is>
          <t>978-5-227-04659-8</t>
        </is>
      </c>
      <c r="K2330" s="23" t="inlineStr">
        <is>
          <t>70x100 1/32</t>
        </is>
      </c>
      <c r="L2330" s="23" t="inlineStr">
        <is>
          <t>мяг</t>
        </is>
      </c>
      <c r="M2330" s="23" t="n">
        <v>224</v>
      </c>
      <c r="N2330" s="23" t="n">
        <v>2013</v>
      </c>
      <c r="O2330" s="23" t="n">
        <v>106</v>
      </c>
      <c r="P2330" s="23" t="n"/>
      <c r="Q2330" s="23" t="n"/>
      <c r="R2330" s="25" t="n"/>
      <c r="S2330" s="26">
        <f>HYPERLINK("http://www.cnpol.ru/covers/14602.jpg","фото на сайте")</f>
        <v/>
      </c>
    </row>
    <row r="2331" ht="50.1" customHeight="1" s="3">
      <c r="A2331" s="23" t="n"/>
      <c r="B2331" s="24" t="inlineStr">
        <is>
          <t>19563</t>
        </is>
      </c>
      <c r="C2331" s="23" t="inlineStr">
        <is>
          <t>М ИР</t>
        </is>
      </c>
      <c r="D2331" s="23" t="inlineStr">
        <is>
          <t>Темпл Л.</t>
        </is>
      </c>
      <c r="E2331" s="23" t="inlineStr">
        <is>
          <t>Щедрый подарок судьбы</t>
        </is>
      </c>
      <c r="F2331" s="23" t="n">
        <v>113</v>
      </c>
      <c r="G2331" s="23" t="n">
        <v>167</v>
      </c>
      <c r="H2331" s="23" t="n">
        <v>10</v>
      </c>
      <c r="I2331" s="23" t="n">
        <v>26</v>
      </c>
      <c r="J2331" s="23" t="inlineStr">
        <is>
          <t>978-5-227-09210-6</t>
        </is>
      </c>
      <c r="K2331" s="23" t="inlineStr">
        <is>
          <t>70x100 1/32</t>
        </is>
      </c>
      <c r="L2331" s="23" t="inlineStr">
        <is>
          <t>мяг</t>
        </is>
      </c>
      <c r="M2331" s="23" t="n">
        <v>256</v>
      </c>
      <c r="N2331" s="23" t="n">
        <v>2021</v>
      </c>
      <c r="O2331" s="23" t="n">
        <v>118</v>
      </c>
      <c r="P2331" s="23" t="n"/>
      <c r="Q2331" s="23" t="n"/>
      <c r="R2331" s="25" t="n"/>
      <c r="S2331" s="26">
        <f>HYPERLINK("http://www.cnpol.ru/covers/19563.jpg","фото на сайте")</f>
        <v/>
      </c>
    </row>
    <row r="2332" ht="50.1" customHeight="1" s="3">
      <c r="A2332" s="23" t="n"/>
      <c r="B2332" s="24" t="inlineStr">
        <is>
          <t>18032</t>
        </is>
      </c>
      <c r="C2332" s="23" t="inlineStr">
        <is>
          <t>М КАСТ</t>
        </is>
      </c>
      <c r="D2332" s="23" t="inlineStr">
        <is>
          <t>Каст Ф.К.</t>
        </is>
      </c>
      <c r="E2332" s="23" t="inlineStr">
        <is>
          <t>Богиня по выбору</t>
        </is>
      </c>
      <c r="F2332" s="23" t="inlineStr">
        <is>
          <t>        </t>
        </is>
      </c>
      <c r="G2332" s="23" t="n">
        <v>422</v>
      </c>
      <c r="H2332" s="23" t="n">
        <v>10</v>
      </c>
      <c r="I2332" s="23" t="n">
        <v>12</v>
      </c>
      <c r="J2332" s="23" t="inlineStr">
        <is>
          <t>978-5-227-08098-1</t>
        </is>
      </c>
      <c r="K2332" s="23" t="inlineStr">
        <is>
          <t>84x108 1/32</t>
        </is>
      </c>
      <c r="L2332" s="23" t="inlineStr">
        <is>
          <t>Интегр</t>
        </is>
      </c>
      <c r="M2332" s="23" t="n">
        <v>320</v>
      </c>
      <c r="N2332" s="23" t="n">
        <v>2018</v>
      </c>
      <c r="O2332" s="23" t="n">
        <v>184</v>
      </c>
      <c r="P2332" s="23" t="n"/>
      <c r="Q2332" s="23" t="n"/>
      <c r="R2332" s="25" t="inlineStr">
        <is>
          <t>В жизни обычной учительницы из небольшого города в штате Оклахома происходит удивительное и невероятное событие — она внезапно оказывается в параллельном мире под названием Партолон. Здесь люди, двойники из ее привычной жизни, существуют по другим законам, здесь магия и волшебство считаются обычным делом, люди живут рядом с кентаврами, общаются с богами и духами, воюют с вампирами. Проведя несколько месяцев в Партолоне, Шеннон влюбляется, выходит замуж и только узнает, что ждет ребенка, как не менее странным образом возвращается в Оклахому. После череды трагических событий героиня узнает, что все произошедшее не было случайным, ее задача уничтожить дух зла, который способен разрушить не только ее жизнь, но и убить тех, кого она любила в обоих мирах.</t>
        </is>
      </c>
      <c r="S2332" s="26">
        <f>HYPERLINK("http://www.cnpol.ru/covers/18032.jpg","фото на сайте")</f>
        <v/>
      </c>
    </row>
    <row r="2333" ht="50.1" customHeight="1" s="3">
      <c r="A2333" s="23" t="n"/>
      <c r="B2333" s="24" t="inlineStr">
        <is>
          <t>18060</t>
        </is>
      </c>
      <c r="C2333" s="23" t="inlineStr">
        <is>
          <t>М КАСТ</t>
        </is>
      </c>
      <c r="D2333" s="23" t="inlineStr">
        <is>
          <t>Каст Ф.К.</t>
        </is>
      </c>
      <c r="E2333" s="23" t="inlineStr">
        <is>
          <t>Богиня по крови</t>
        </is>
      </c>
      <c r="F2333" s="23" t="inlineStr">
        <is>
          <t>        </t>
        </is>
      </c>
      <c r="G2333" s="23" t="n">
        <v>422</v>
      </c>
      <c r="H2333" s="23" t="n">
        <v>10</v>
      </c>
      <c r="I2333" s="23" t="n">
        <v>12</v>
      </c>
      <c r="J2333" s="23" t="inlineStr">
        <is>
          <t>978-5-227-08118-6</t>
        </is>
      </c>
      <c r="K2333" s="23" t="inlineStr">
        <is>
          <t>84x108 1/32</t>
        </is>
      </c>
      <c r="L2333" s="23" t="inlineStr">
        <is>
          <t>Интегр</t>
        </is>
      </c>
      <c r="M2333" s="23" t="n">
        <v>352</v>
      </c>
      <c r="N2333" s="23" t="n">
        <v>2018</v>
      </c>
      <c r="O2333" s="23" t="n">
        <v>200</v>
      </c>
      <c r="P2333" s="23" t="n"/>
      <c r="Q2333" s="23" t="n"/>
      <c r="R2333" s="25" t="inlineStr">
        <is>
          <t>С помощью бога тьмы Рианнон освободилась из плена древнего дерева, в которое была заключена за все зло, что она совершила в обоих мирах. Родив дочь, которая являла собой великую силу добра, Рианнон неожиданно опомнилась и раскаялась в том, что натворила. В это же время в параллельном мире та, что была как две капли воды похожа на Рианнон, тоже родила девочку. Обе матери - одна в Оклахоме, другая в Партолоне - не знали, какие испытания выпадут на долю их драгоценных дочерей, ведь бог тьмы не собирался отпускать на свободу намеченные жертвы…</t>
        </is>
      </c>
      <c r="S2333" s="26">
        <f>HYPERLINK("http://www.cnpol.ru/covers/18060.jpg","фото на сайте")</f>
        <v/>
      </c>
    </row>
    <row r="2334" ht="50.1" customHeight="1" s="3">
      <c r="A2334" s="23" t="n"/>
      <c r="B2334" s="24" t="inlineStr">
        <is>
          <t>18011</t>
        </is>
      </c>
      <c r="C2334" s="23" t="inlineStr">
        <is>
          <t>М КАСТ</t>
        </is>
      </c>
      <c r="D2334" s="23" t="inlineStr">
        <is>
          <t>Каст Ф.К.</t>
        </is>
      </c>
      <c r="E2334" s="23" t="inlineStr">
        <is>
          <t>Богиня по ошибке</t>
        </is>
      </c>
      <c r="F2334" s="23" t="inlineStr">
        <is>
          <t>        </t>
        </is>
      </c>
      <c r="G2334" s="23" t="n">
        <v>422</v>
      </c>
      <c r="H2334" s="23" t="n">
        <v>10</v>
      </c>
      <c r="I2334" s="23" t="n">
        <v>10</v>
      </c>
      <c r="J2334" s="23" t="inlineStr">
        <is>
          <t>978-5-227-08013-4</t>
        </is>
      </c>
      <c r="K2334" s="23" t="inlineStr">
        <is>
          <t>84x108 1/32</t>
        </is>
      </c>
      <c r="L2334" s="23" t="inlineStr">
        <is>
          <t>Интегр</t>
        </is>
      </c>
      <c r="M2334" s="23" t="n">
        <v>480</v>
      </c>
      <c r="N2334" s="23" t="n">
        <v>2018</v>
      </c>
      <c r="O2334" s="23" t="n">
        <v>268</v>
      </c>
      <c r="P2334" s="23" t="n"/>
      <c r="Q2334" s="23" t="n"/>
      <c r="R2334" s="25" t="inlineStr">
        <is>
          <t>Преподавательница английского языка и литературы рыжеволосая красавица Шеннон Паркер приобрела на аукционе необычных вещей кельтскую вазу, на которой совершенно очевидно изображена именно она, Шеннон. Как ребенок, радуясь покупке, мисс Паркер возвращалась домой, когда на ее автомобиль обрушился ураган. Машина перевернулась, ваза превратилась в огненный шар, в котором молодая женщина увидела себя. Очнулась Шеннон в другом мире, где ей сообщили, что она наиглавнейшая жрица богини Эпоны и сегодня состоится ее бракосочетание с Верховным шаманом, а он, между прочим, кентавр…</t>
        </is>
      </c>
      <c r="S2334" s="26">
        <f>HYPERLINK("http://www.cnpol.ru/covers/18011.jpg","фото на сайте")</f>
        <v/>
      </c>
    </row>
    <row r="2335" ht="50.1" customHeight="1" s="3">
      <c r="A2335" s="23" t="n"/>
      <c r="B2335" s="24" t="inlineStr">
        <is>
          <t>18088</t>
        </is>
      </c>
      <c r="C2335" s="23" t="inlineStr">
        <is>
          <t>М КАСТ</t>
        </is>
      </c>
      <c r="D2335" s="23" t="inlineStr">
        <is>
          <t>Каст Ф.К.</t>
        </is>
      </c>
      <c r="E2335" s="23" t="inlineStr">
        <is>
          <t>Предсказание богини</t>
        </is>
      </c>
      <c r="F2335" s="23" t="inlineStr">
        <is>
          <t>        </t>
        </is>
      </c>
      <c r="G2335" s="23" t="n">
        <v>422</v>
      </c>
      <c r="H2335" s="23" t="n">
        <v>10</v>
      </c>
      <c r="I2335" s="23" t="n">
        <v>16</v>
      </c>
      <c r="J2335" s="23" t="inlineStr">
        <is>
          <t>978-5-227-08159-9</t>
        </is>
      </c>
      <c r="K2335" s="23" t="inlineStr">
        <is>
          <t>84x108 1/32</t>
        </is>
      </c>
      <c r="L2335" s="23" t="inlineStr">
        <is>
          <t>Интегр</t>
        </is>
      </c>
      <c r="M2335" s="23" t="n">
        <v>256</v>
      </c>
      <c r="N2335" s="23" t="n">
        <v>2018</v>
      </c>
      <c r="O2335" s="23" t="n">
        <v>154</v>
      </c>
      <c r="P2335" s="23" t="n"/>
      <c r="Q2335" s="23" t="n"/>
      <c r="R2335" s="25" t="n"/>
      <c r="S2335" s="26">
        <f>HYPERLINK("http://www.cnpol.ru/covers/18088.jpg","фото на сайте")</f>
        <v/>
      </c>
    </row>
    <row r="2336" ht="50.1" customHeight="1" s="3">
      <c r="A2336" s="23" t="n"/>
      <c r="B2336" s="24" t="inlineStr">
        <is>
          <t>11510</t>
        </is>
      </c>
      <c r="C2336" s="23" t="inlineStr">
        <is>
          <t>М КТ</t>
        </is>
      </c>
      <c r="D2336" s="23" t="inlineStr">
        <is>
          <t>Берзина Н.</t>
        </is>
      </c>
      <c r="E2336" s="23" t="inlineStr">
        <is>
          <t>Без права на защиту</t>
        </is>
      </c>
      <c r="F2336" s="23" t="inlineStr">
        <is>
          <t>        </t>
        </is>
      </c>
      <c r="G2336" s="23" t="n">
        <v>168</v>
      </c>
      <c r="H2336" s="23" t="n">
        <v>10</v>
      </c>
      <c r="I2336" s="23" t="n">
        <v>20</v>
      </c>
      <c r="J2336" s="23" t="inlineStr">
        <is>
          <t>978-5-9524-4592-5</t>
        </is>
      </c>
      <c r="K2336" s="23" t="inlineStr">
        <is>
          <t>70x90 1/32</t>
        </is>
      </c>
      <c r="L2336" s="23" t="inlineStr">
        <is>
          <t>мяг</t>
        </is>
      </c>
      <c r="M2336" s="23" t="n">
        <v>286</v>
      </c>
      <c r="N2336" s="23" t="n">
        <v>2009</v>
      </c>
      <c r="O2336" s="23" t="n">
        <v>120</v>
      </c>
      <c r="P2336" s="23" t="n"/>
      <c r="Q2336" s="23" t="n"/>
      <c r="R2336" s="25" t="inlineStr">
        <is>
          <t>Виталий, сынок негласного хозяина маленького городка испорчен был с детства. С годами жестокость стала единственной целью его существования, извращенная натура жаждала все новых и новых сладострастных наслаждений а значит, все больше и больше невинных жертв. Особенно беззащитны перед ним оказались его жена Мария и их маленький сынишка. Разгадать план действий хитроумного садиста было почти невозможно. Но опытный психиатр Юрий Кривич раскрыл зловещий характер его заболевания разглядев затаенный страх в глазах молодой женщины, и взял Марию и ребенка под свою защиту. В ответ опасный безумец затеял новую игру.</t>
        </is>
      </c>
      <c r="S2336" s="26">
        <f>HYPERLINK("http://www.cnpol.ru/covers/11510.jpg","фото на сайте")</f>
        <v/>
      </c>
    </row>
    <row r="2337" ht="50.1" customHeight="1" s="3">
      <c r="A2337" s="23" t="n"/>
      <c r="B2337" s="24" t="inlineStr">
        <is>
          <t>7281</t>
        </is>
      </c>
      <c r="C2337" s="23" t="inlineStr">
        <is>
          <t>М КТ</t>
        </is>
      </c>
      <c r="D2337" s="23" t="inlineStr">
        <is>
          <t>Вадченко Н.</t>
        </is>
      </c>
      <c r="E2337" s="23" t="inlineStr">
        <is>
          <t>Ведьмино время</t>
        </is>
      </c>
      <c r="F2337" s="23" t="inlineStr">
        <is>
          <t>        </t>
        </is>
      </c>
      <c r="G2337" s="23" t="n">
        <v>168</v>
      </c>
      <c r="H2337" s="23" t="n">
        <v>10</v>
      </c>
      <c r="I2337" s="23" t="n">
        <v>16</v>
      </c>
      <c r="J2337" s="23" t="inlineStr">
        <is>
          <t>5-9524-2367-1</t>
        </is>
      </c>
      <c r="K2337" s="23" t="inlineStr">
        <is>
          <t>70x90 1/32</t>
        </is>
      </c>
      <c r="L2337" s="23" t="inlineStr">
        <is>
          <t>мяг</t>
        </is>
      </c>
      <c r="M2337" s="23" t="n">
        <v>413</v>
      </c>
      <c r="N2337" s="23" t="n">
        <v>2007</v>
      </c>
      <c r="O2337" s="23" t="n">
        <v>174</v>
      </c>
      <c r="P2337" s="23" t="n"/>
      <c r="Q2337" s="23" t="n"/>
      <c r="R2337" s="25" t="inlineStr">
        <is>
          <t>Ох уж эта Клара Адамовна! Ее призвание — портить всем праздник, навязывать свою волю, разрушать планы. У почтенной вдовы адмирала сначала украли подлинник Малевича, затем умыкнули фамильное серебро и, наконец, похитили бриллианты! Тетушка Кларисса, как она требовала себя называть, торжественно обязала журналистку Инну Пономаренко заняться их поиск.</t>
        </is>
      </c>
      <c r="S2337" s="26">
        <f>HYPERLINK("http://www.cnpol.ru/covers/7281.jpg","фото на сайте")</f>
        <v/>
      </c>
    </row>
    <row r="2338" ht="50.1" customHeight="1" s="3">
      <c r="A2338" s="23" t="n"/>
      <c r="B2338" s="24" t="inlineStr">
        <is>
          <t>4926</t>
        </is>
      </c>
      <c r="C2338" s="23" t="inlineStr">
        <is>
          <t>М КТ</t>
        </is>
      </c>
      <c r="D2338" s="23" t="inlineStr">
        <is>
          <t>Павлова Инна</t>
        </is>
      </c>
      <c r="E2338" s="23" t="inlineStr">
        <is>
          <t>Как важно быть красоткой</t>
        </is>
      </c>
      <c r="F2338" s="23" t="inlineStr">
        <is>
          <t>        </t>
        </is>
      </c>
      <c r="G2338" s="23" t="n">
        <v>88</v>
      </c>
      <c r="H2338" s="23" t="n">
        <v>10</v>
      </c>
      <c r="I2338" s="23" t="n">
        <v>24</v>
      </c>
      <c r="J2338" s="23" t="inlineStr">
        <is>
          <t>5-9524-1099-5</t>
        </is>
      </c>
      <c r="K2338" s="23" t="inlineStr">
        <is>
          <t>70x90 1/32</t>
        </is>
      </c>
      <c r="L2338" s="23" t="inlineStr">
        <is>
          <t>мяг</t>
        </is>
      </c>
      <c r="M2338" s="23" t="n">
        <v>351</v>
      </c>
      <c r="N2338" s="23" t="n">
        <v>2004</v>
      </c>
      <c r="O2338" s="23" t="n">
        <v>138</v>
      </c>
      <c r="P2338" s="23" t="n"/>
      <c r="Q2338" s="23" t="n"/>
      <c r="R2338" s="25" t="inlineStr">
        <is>
          <t>Вечеринка в узком кругу в честь помолвки хозяина дома заканчивается... его смертью. Неизвестный злоумышленник отравил незадачливого жениха. Кому мог помешать безо-бидный зануда Аркадий?</t>
        </is>
      </c>
      <c r="S2338" s="26">
        <f>HYPERLINK("http://www.cnpol.ru/covers/4926.jpg","фото на сайте")</f>
        <v/>
      </c>
    </row>
    <row r="2339" ht="50.1" customHeight="1" s="3">
      <c r="A2339" s="23" t="n"/>
      <c r="B2339" s="24" t="inlineStr">
        <is>
          <t>7554</t>
        </is>
      </c>
      <c r="C2339" s="23" t="inlineStr">
        <is>
          <t>М КТ</t>
        </is>
      </c>
      <c r="D2339" s="23" t="inlineStr">
        <is>
          <t>Павлова Инна</t>
        </is>
      </c>
      <c r="E2339" s="23" t="inlineStr">
        <is>
          <t>Как важно быть красоткой</t>
        </is>
      </c>
      <c r="F2339" s="23" t="inlineStr">
        <is>
          <t>        </t>
        </is>
      </c>
      <c r="G2339" s="23" t="n">
        <v>168</v>
      </c>
      <c r="H2339" s="23" t="n">
        <v>10</v>
      </c>
      <c r="I2339" s="23" t="n">
        <v>24</v>
      </c>
      <c r="J2339" s="23" t="inlineStr">
        <is>
          <t>5-9524-1099-5</t>
        </is>
      </c>
      <c r="K2339" s="23" t="inlineStr">
        <is>
          <t>70x90 1/32</t>
        </is>
      </c>
      <c r="L2339" s="23" t="inlineStr">
        <is>
          <t>мяг</t>
        </is>
      </c>
      <c r="M2339" s="23" t="n">
        <v>351</v>
      </c>
      <c r="N2339" s="23" t="n">
        <v>2008</v>
      </c>
      <c r="O2339" s="23" t="n">
        <v>146</v>
      </c>
      <c r="P2339" s="23" t="n"/>
      <c r="Q2339" s="23" t="n"/>
      <c r="R2339" s="25" t="inlineStr">
        <is>
          <t>Вечеринка в узком кругу в честь помолвки хозяина дома заканчивается... его смертью. Неизвестный злоумышленник отравил незадачливого жениха. Кому мог помешать безо-бидный зануда Аркадий?</t>
        </is>
      </c>
      <c r="S2339" s="26">
        <f>HYPERLINK("http://www.cnpol.ru/covers/7554.jpg","фото на сайте")</f>
        <v/>
      </c>
    </row>
    <row r="2340" ht="50.1" customHeight="1" s="3">
      <c r="A2340" s="23" t="n"/>
      <c r="B2340" s="24" t="inlineStr">
        <is>
          <t>10146</t>
        </is>
      </c>
      <c r="C2340" s="23" t="inlineStr">
        <is>
          <t>М КТ</t>
        </is>
      </c>
      <c r="D2340" s="23" t="inlineStr">
        <is>
          <t>Берзина Н.</t>
        </is>
      </c>
      <c r="E2340" s="23" t="inlineStr">
        <is>
          <t>По ком звонят колокольчики</t>
        </is>
      </c>
      <c r="F2340" s="23" t="inlineStr">
        <is>
          <t>        </t>
        </is>
      </c>
      <c r="G2340" s="23" t="n">
        <v>168</v>
      </c>
      <c r="H2340" s="23" t="n">
        <v>10</v>
      </c>
      <c r="I2340" s="23" t="n">
        <v>20</v>
      </c>
      <c r="J2340" s="23" t="inlineStr">
        <is>
          <t>978-5-9524-3330-4</t>
        </is>
      </c>
      <c r="K2340" s="23" t="inlineStr">
        <is>
          <t>70x90 1/32</t>
        </is>
      </c>
      <c r="L2340" s="23" t="inlineStr">
        <is>
          <t>мяг</t>
        </is>
      </c>
      <c r="M2340" s="23" t="n">
        <v>319</v>
      </c>
      <c r="N2340" s="23" t="n">
        <v>2008</v>
      </c>
      <c r="O2340" s="23" t="n">
        <v>132</v>
      </c>
      <c r="P2340" s="23" t="n"/>
      <c r="Q2340" s="23" t="n"/>
      <c r="R2340" s="25" t="n"/>
      <c r="S2340" s="26">
        <f>HYPERLINK("http://www.cnpol.ru/covers/10146.jpg","фото на сайте")</f>
        <v/>
      </c>
    </row>
    <row r="2341" ht="50.1" customHeight="1" s="3">
      <c r="A2341" s="23" t="n"/>
      <c r="B2341" s="24" t="inlineStr">
        <is>
          <t>7691</t>
        </is>
      </c>
      <c r="C2341" s="23" t="inlineStr">
        <is>
          <t>М КТ</t>
        </is>
      </c>
      <c r="D2341" s="23" t="inlineStr">
        <is>
          <t>Успенская С.</t>
        </is>
      </c>
      <c r="E2341" s="23" t="inlineStr">
        <is>
          <t>Посмертная маска любви</t>
        </is>
      </c>
      <c r="F2341" s="23" t="inlineStr">
        <is>
          <t>        </t>
        </is>
      </c>
      <c r="G2341" s="23" t="n">
        <v>168</v>
      </c>
      <c r="H2341" s="23" t="n">
        <v>10</v>
      </c>
      <c r="I2341" s="23" t="n">
        <v>20</v>
      </c>
      <c r="J2341" s="23" t="inlineStr">
        <is>
          <t>5-9524-1027-8</t>
        </is>
      </c>
      <c r="K2341" s="23" t="inlineStr">
        <is>
          <t>70x90 1/32</t>
        </is>
      </c>
      <c r="L2341" s="23" t="inlineStr">
        <is>
          <t>мяг</t>
        </is>
      </c>
      <c r="M2341" s="23" t="n">
        <v>425</v>
      </c>
      <c r="N2341" s="23" t="n">
        <v>2008</v>
      </c>
      <c r="O2341" s="23" t="n">
        <v>184</v>
      </c>
      <c r="P2341" s="23" t="n"/>
      <c r="Q2341" s="23" t="n"/>
      <c r="R2341" s="25" t="n"/>
      <c r="S2341" s="26">
        <f>HYPERLINK("http://www.cnpol.ru/covers/7691.jpg","фото на сайте")</f>
        <v/>
      </c>
    </row>
    <row r="2342" ht="50.1" customHeight="1" s="3">
      <c r="A2342" s="23" t="n"/>
      <c r="B2342" s="24" t="inlineStr">
        <is>
          <t>11104</t>
        </is>
      </c>
      <c r="C2342" s="23" t="inlineStr">
        <is>
          <t>М КТ</t>
        </is>
      </c>
      <c r="D2342" s="23" t="inlineStr">
        <is>
          <t>Зорина Н., Зорин Н.</t>
        </is>
      </c>
      <c r="E2342" s="23" t="inlineStr">
        <is>
          <t>Приговор, который нельзя обжаловать</t>
        </is>
      </c>
      <c r="F2342" s="23" t="inlineStr">
        <is>
          <t>        </t>
        </is>
      </c>
      <c r="G2342" s="23" t="n">
        <v>168</v>
      </c>
      <c r="H2342" s="23" t="n">
        <v>10</v>
      </c>
      <c r="I2342" s="23" t="n">
        <v>24</v>
      </c>
      <c r="J2342" s="23" t="inlineStr">
        <is>
          <t>978-5-9524-4105-7</t>
        </is>
      </c>
      <c r="K2342" s="23" t="inlineStr">
        <is>
          <t>70x90 1/32</t>
        </is>
      </c>
      <c r="L2342" s="23" t="inlineStr">
        <is>
          <t>мяг</t>
        </is>
      </c>
      <c r="M2342" s="23" t="n">
        <v>318</v>
      </c>
      <c r="N2342" s="23" t="n">
        <v>2009</v>
      </c>
      <c r="O2342" s="23" t="n">
        <v>134</v>
      </c>
      <c r="P2342" s="23" t="n"/>
      <c r="Q2342" s="23" t="n"/>
      <c r="R2342" s="25" t="n"/>
      <c r="S2342" s="26">
        <f>HYPERLINK("http://www.cnpol.ru/covers/11104.jpg","фото на сайте")</f>
        <v/>
      </c>
    </row>
    <row r="2343" ht="50.1" customHeight="1" s="3">
      <c r="A2343" s="23" t="n"/>
      <c r="B2343" s="24" t="inlineStr">
        <is>
          <t>10626</t>
        </is>
      </c>
      <c r="C2343" s="23" t="inlineStr">
        <is>
          <t>М КТ</t>
        </is>
      </c>
      <c r="D2343" s="23" t="inlineStr">
        <is>
          <t>Зорина Н., Зорин Н.</t>
        </is>
      </c>
      <c r="E2343" s="23" t="inlineStr">
        <is>
          <t>Сестра моя - смерть</t>
        </is>
      </c>
      <c r="F2343" s="23" t="inlineStr">
        <is>
          <t>        </t>
        </is>
      </c>
      <c r="G2343" s="23" t="n">
        <v>168</v>
      </c>
      <c r="H2343" s="23" t="n">
        <v>10</v>
      </c>
      <c r="I2343" s="23" t="n">
        <v>20</v>
      </c>
      <c r="J2343" s="23" t="inlineStr">
        <is>
          <t>978-5-9524-3829-3</t>
        </is>
      </c>
      <c r="K2343" s="23" t="inlineStr">
        <is>
          <t>70x90 1/32</t>
        </is>
      </c>
      <c r="L2343" s="23" t="inlineStr">
        <is>
          <t>мяг</t>
        </is>
      </c>
      <c r="M2343" s="23" t="n">
        <v>351</v>
      </c>
      <c r="N2343" s="23" t="n">
        <v>2008</v>
      </c>
      <c r="O2343" s="23" t="n">
        <v>142</v>
      </c>
      <c r="P2343" s="23" t="n"/>
      <c r="Q2343" s="23" t="n"/>
      <c r="R2343" s="25" t="n"/>
      <c r="S2343" s="26">
        <f>HYPERLINK("http://www.cnpol.ru/covers/10626.jpg","фото на сайте")</f>
        <v/>
      </c>
    </row>
    <row r="2344" ht="50.1" customHeight="1" s="3">
      <c r="A2344" s="23" t="n"/>
      <c r="B2344" s="24" t="inlineStr">
        <is>
          <t>10103</t>
        </is>
      </c>
      <c r="C2344" s="23" t="inlineStr">
        <is>
          <t>М КТ</t>
        </is>
      </c>
      <c r="D2344" s="23" t="inlineStr">
        <is>
          <t>Берзина Н.</t>
        </is>
      </c>
      <c r="E2344" s="23" t="inlineStr">
        <is>
          <t>Смерть не берет выходных</t>
        </is>
      </c>
      <c r="F2344" s="23" t="inlineStr">
        <is>
          <t>        </t>
        </is>
      </c>
      <c r="G2344" s="23" t="n">
        <v>168</v>
      </c>
      <c r="H2344" s="23" t="n">
        <v>10</v>
      </c>
      <c r="I2344" s="23" t="n">
        <v>20</v>
      </c>
      <c r="J2344" s="23" t="inlineStr">
        <is>
          <t>978-5-9524-3259-8</t>
        </is>
      </c>
      <c r="K2344" s="23" t="inlineStr">
        <is>
          <t>70x90 1/32</t>
        </is>
      </c>
      <c r="L2344" s="23" t="inlineStr">
        <is>
          <t>мяг</t>
        </is>
      </c>
      <c r="M2344" s="23" t="n">
        <v>302</v>
      </c>
      <c r="N2344" s="23" t="n">
        <v>2008</v>
      </c>
      <c r="O2344" s="23" t="n">
        <v>124</v>
      </c>
      <c r="P2344" s="23" t="n"/>
      <c r="Q2344" s="23" t="n"/>
      <c r="R2344" s="25" t="n"/>
      <c r="S2344" s="26">
        <f>HYPERLINK("http://www.cnpol.ru/covers/10103.jpg","фото на сайте")</f>
        <v/>
      </c>
    </row>
    <row r="2345" ht="50.1" customHeight="1" s="3">
      <c r="A2345" s="23" t="n"/>
      <c r="B2345" s="24" t="inlineStr">
        <is>
          <t>6128</t>
        </is>
      </c>
      <c r="C2345" s="23" t="inlineStr">
        <is>
          <t>М КТ</t>
        </is>
      </c>
      <c r="D2345" s="23" t="inlineStr">
        <is>
          <t>Вадченко Н.</t>
        </is>
      </c>
      <c r="E2345" s="23" t="inlineStr">
        <is>
          <t>Час абсента</t>
        </is>
      </c>
      <c r="F2345" s="23" t="inlineStr">
        <is>
          <t>        </t>
        </is>
      </c>
      <c r="G2345" s="23" t="n">
        <v>168</v>
      </c>
      <c r="H2345" s="23" t="n">
        <v>10</v>
      </c>
      <c r="I2345" s="23" t="n">
        <v>16</v>
      </c>
      <c r="J2345" s="23" t="inlineStr">
        <is>
          <t>5-9524-1643-8</t>
        </is>
      </c>
      <c r="K2345" s="23" t="inlineStr">
        <is>
          <t>70x90 1/32</t>
        </is>
      </c>
      <c r="L2345" s="23" t="inlineStr">
        <is>
          <t>мяг</t>
        </is>
      </c>
      <c r="M2345" s="23" t="n">
        <v>414</v>
      </c>
      <c r="N2345" s="23" t="n">
        <v>2005</v>
      </c>
      <c r="O2345" s="23" t="n">
        <v>170</v>
      </c>
      <c r="P2345" s="23" t="n"/>
      <c r="Q2345" s="23" t="n"/>
      <c r="R2345" s="25" t="n"/>
      <c r="S2345" s="26">
        <f>HYPERLINK("http://www.cnpol.ru/covers/6128.jpg","фото на сайте")</f>
        <v/>
      </c>
    </row>
    <row r="2346" ht="50.1" customHeight="1" s="3">
      <c r="A2346" s="23" t="n"/>
      <c r="B2346" s="24" t="inlineStr">
        <is>
          <t>5114</t>
        </is>
      </c>
      <c r="C2346" s="23" t="inlineStr">
        <is>
          <t>М КУНЦ</t>
        </is>
      </c>
      <c r="D2346" s="23" t="inlineStr">
        <is>
          <t>Кунц Дин</t>
        </is>
      </c>
      <c r="E2346" s="23" t="inlineStr">
        <is>
          <t>Мутанты</t>
        </is>
      </c>
      <c r="F2346" s="23" t="inlineStr">
        <is>
          <t>        </t>
        </is>
      </c>
      <c r="G2346" s="23" t="n">
        <v>115</v>
      </c>
      <c r="H2346" s="23" t="n">
        <v>10</v>
      </c>
      <c r="I2346" s="23" t="n">
        <v>24</v>
      </c>
      <c r="J2346" s="23" t="inlineStr">
        <is>
          <t>5-9524-1248-3</t>
        </is>
      </c>
      <c r="K2346" s="23" t="inlineStr">
        <is>
          <t>70x90 1/32</t>
        </is>
      </c>
      <c r="L2346" s="23" t="inlineStr">
        <is>
          <t>мяг</t>
        </is>
      </c>
      <c r="M2346" s="23" t="n">
        <v>255</v>
      </c>
      <c r="N2346" s="23" t="n">
        <v>2004</v>
      </c>
      <c r="O2346" s="23" t="n">
        <v>106</v>
      </c>
      <c r="P2346" s="23" t="n"/>
      <c r="Q2346" s="23" t="n"/>
      <c r="R2346" s="25" t="n"/>
      <c r="S2346" s="26">
        <f>HYPERLINK("http://www.cnpol.ru/covers/5114.jpg","фото на сайте")</f>
        <v/>
      </c>
    </row>
    <row r="2347" ht="50.1" customHeight="1" s="3">
      <c r="A2347" s="23" t="n"/>
      <c r="B2347" s="24" t="inlineStr">
        <is>
          <t>5118</t>
        </is>
      </c>
      <c r="C2347" s="23" t="inlineStr">
        <is>
          <t>М КУНЦ</t>
        </is>
      </c>
      <c r="D2347" s="23" t="inlineStr">
        <is>
          <t>Кунц Дин</t>
        </is>
      </c>
      <c r="E2347" s="23" t="inlineStr">
        <is>
          <t>Человек страха</t>
        </is>
      </c>
      <c r="F2347" s="23" t="inlineStr">
        <is>
          <t>        </t>
        </is>
      </c>
      <c r="G2347" s="23" t="n">
        <v>115</v>
      </c>
      <c r="H2347" s="23" t="n">
        <v>10</v>
      </c>
      <c r="I2347" s="23" t="n">
        <v>24</v>
      </c>
      <c r="J2347" s="23" t="inlineStr">
        <is>
          <t>5-9524-1247-5</t>
        </is>
      </c>
      <c r="K2347" s="23" t="inlineStr">
        <is>
          <t>70x90 1/32</t>
        </is>
      </c>
      <c r="L2347" s="23" t="inlineStr">
        <is>
          <t>мяг</t>
        </is>
      </c>
      <c r="M2347" s="23" t="n">
        <v>253</v>
      </c>
      <c r="N2347" s="23" t="n">
        <v>2004</v>
      </c>
      <c r="O2347" s="23" t="n">
        <v>106</v>
      </c>
      <c r="P2347" s="23" t="n"/>
      <c r="Q2347" s="23" t="n"/>
      <c r="R2347" s="25" t="n"/>
      <c r="S2347" s="26">
        <f>HYPERLINK("http://www.cnpol.ru/covers/5118.jpg","фото на сайте")</f>
        <v/>
      </c>
    </row>
    <row r="2348" ht="50.1" customHeight="1" s="3">
      <c r="A2348" s="23" t="n"/>
      <c r="B2348" s="24" t="inlineStr">
        <is>
          <t>2498</t>
        </is>
      </c>
      <c r="C2348" s="23" t="inlineStr">
        <is>
          <t>М ЛВ</t>
        </is>
      </c>
      <c r="D2348" s="23" t="inlineStr">
        <is>
          <t>Ламур Л.</t>
        </is>
      </c>
      <c r="E2348" s="23" t="inlineStr">
        <is>
          <t>Киллоу</t>
        </is>
      </c>
      <c r="F2348" s="23" t="inlineStr">
        <is>
          <t>        </t>
        </is>
      </c>
      <c r="G2348" s="23" t="n">
        <v>97</v>
      </c>
      <c r="H2348" s="23" t="n">
        <v>10</v>
      </c>
      <c r="I2348" s="23" t="n">
        <v>40</v>
      </c>
      <c r="J2348" s="23" t="inlineStr">
        <is>
          <t>5-227-01202-4</t>
        </is>
      </c>
      <c r="K2348" s="23" t="inlineStr">
        <is>
          <t>70x90 1/32</t>
        </is>
      </c>
      <c r="L2348" s="23" t="inlineStr">
        <is>
          <t>мяг</t>
        </is>
      </c>
      <c r="M2348" s="23" t="n">
        <v>204</v>
      </c>
      <c r="N2348" s="23" t="n">
        <v>2001</v>
      </c>
      <c r="O2348" s="23" t="n">
        <v>88</v>
      </c>
      <c r="P2348" s="23" t="n"/>
      <c r="Q2348" s="23" t="n"/>
      <c r="R2348" s="25" t="inlineStr">
        <is>
          <t>Тесно стало на берегах реки Каухаус. Угроза передела земли срывала многих переселенцев с обжитого места и гнала дальше на Запад в поисках лучшей жизни. Семейство Киллоу тоже решило попытать счастья в новых краях, хотя путешествие грозило множеством лишений и опасностей. Неприятности начались еще до отъезда - Киллоу обнаружили, что соседи воруют коров из их стада. Но не на тех напали! Отважные мужчины и храбрые женщины защитят свою собственность и преодолеют все преграды на пути к счастливой и богатой жизни!</t>
        </is>
      </c>
      <c r="S2348" s="26">
        <f>HYPERLINK("http://www.cnpol.ru/covers/2498.jpg","фото на сайте")</f>
        <v/>
      </c>
    </row>
    <row r="2349" ht="50.1" customHeight="1" s="3">
      <c r="A2349" s="23" t="n"/>
      <c r="B2349" s="24" t="inlineStr">
        <is>
          <t>2374</t>
        </is>
      </c>
      <c r="C2349" s="23" t="inlineStr">
        <is>
          <t>М ЛВ</t>
        </is>
      </c>
      <c r="D2349" s="23" t="inlineStr">
        <is>
          <t>Ламур Л.</t>
        </is>
      </c>
      <c r="E2349" s="23" t="inlineStr">
        <is>
          <t>След кайова</t>
        </is>
      </c>
      <c r="F2349" s="23" t="inlineStr">
        <is>
          <t>        </t>
        </is>
      </c>
      <c r="G2349" s="23" t="n">
        <v>97</v>
      </c>
      <c r="H2349" s="23" t="n">
        <v>10</v>
      </c>
      <c r="I2349" s="23" t="n">
        <v>40</v>
      </c>
      <c r="J2349" s="23" t="inlineStr">
        <is>
          <t>5-227-01103-6</t>
        </is>
      </c>
      <c r="K2349" s="23" t="inlineStr">
        <is>
          <t>70x90 1/32</t>
        </is>
      </c>
      <c r="L2349" s="23" t="inlineStr">
        <is>
          <t>мяг</t>
        </is>
      </c>
      <c r="M2349" s="23" t="n">
        <v>235</v>
      </c>
      <c r="N2349" s="23" t="n">
        <v>2001</v>
      </c>
      <c r="O2349" s="23" t="n">
        <v>108</v>
      </c>
      <c r="P2349" s="23" t="n"/>
      <c r="Q2349" s="23" t="n"/>
      <c r="R2349" s="25" t="n"/>
      <c r="S2349" s="26">
        <f>HYPERLINK("http://www.cnpol.ru/covers/2374.jpg","фото на сайте")</f>
        <v/>
      </c>
    </row>
    <row r="2350" ht="50.1" customHeight="1" s="3">
      <c r="A2350" s="23" t="n"/>
      <c r="B2350" s="24" t="inlineStr">
        <is>
          <t>2203</t>
        </is>
      </c>
      <c r="C2350" s="23" t="inlineStr">
        <is>
          <t>М ЛВ</t>
        </is>
      </c>
      <c r="D2350" s="23" t="inlineStr">
        <is>
          <t>Ламур Л.</t>
        </is>
      </c>
      <c r="E2350" s="23" t="inlineStr">
        <is>
          <t>Такер</t>
        </is>
      </c>
      <c r="F2350" s="23" t="inlineStr">
        <is>
          <t>        </t>
        </is>
      </c>
      <c r="G2350" s="23" t="n">
        <v>97</v>
      </c>
      <c r="H2350" s="23" t="n">
        <v>10</v>
      </c>
      <c r="I2350" s="23" t="n">
        <v>40</v>
      </c>
      <c r="J2350" s="23" t="inlineStr">
        <is>
          <t>5-227-00926-0</t>
        </is>
      </c>
      <c r="K2350" s="23" t="inlineStr">
        <is>
          <t>70x90 1/32</t>
        </is>
      </c>
      <c r="L2350" s="23" t="inlineStr">
        <is>
          <t>мяг</t>
        </is>
      </c>
      <c r="M2350" s="23" t="n">
        <v>252</v>
      </c>
      <c r="N2350" s="23" t="n">
        <v>2000</v>
      </c>
      <c r="O2350" s="23" t="n">
        <v>110</v>
      </c>
      <c r="P2350" s="23" t="n"/>
      <c r="Q2350" s="23" t="n"/>
      <c r="R2350" s="25" t="n"/>
      <c r="S2350" s="26">
        <f>HYPERLINK("http://www.cnpol.ru/covers/2203.jpg","фото на сайте")</f>
        <v/>
      </c>
    </row>
    <row r="2351" ht="50.1" customHeight="1" s="3">
      <c r="A2351" s="23" t="n"/>
      <c r="B2351" s="24" t="inlineStr">
        <is>
          <t>15252</t>
        </is>
      </c>
      <c r="C2351" s="23" t="inlineStr">
        <is>
          <t>М ЛОУРЕНС</t>
        </is>
      </c>
      <c r="D2351" s="23" t="inlineStr">
        <is>
          <t>Лоуренс С.</t>
        </is>
      </c>
      <c r="E2351" s="23" t="inlineStr">
        <is>
          <t>Леди с серьезными намерениями</t>
        </is>
      </c>
      <c r="F2351" s="23" t="inlineStr">
        <is>
          <t>        </t>
        </is>
      </c>
      <c r="G2351" s="23" t="n">
        <v>177</v>
      </c>
      <c r="H2351" s="23" t="n">
        <v>10</v>
      </c>
      <c r="I2351" s="23" t="n">
        <v>20</v>
      </c>
      <c r="J2351" s="23" t="inlineStr">
        <is>
          <t>978-5-227-05243-8</t>
        </is>
      </c>
      <c r="K2351" s="23" t="inlineStr">
        <is>
          <t>70x100 1/32</t>
        </is>
      </c>
      <c r="L2351" s="23" t="inlineStr">
        <is>
          <t>мяг</t>
        </is>
      </c>
      <c r="M2351" s="23" t="n">
        <v>347</v>
      </c>
      <c r="N2351" s="23" t="n">
        <v>2014</v>
      </c>
      <c r="O2351" s="23" t="n">
        <v>166</v>
      </c>
      <c r="P2351" s="23" t="n"/>
      <c r="Q2351" s="23" t="n"/>
      <c r="R2351" s="25" t="inlineStr">
        <is>
          <t>София – девушка благородная, но небогатая, поэтому муж ей нужен обязательно состоятельный. А Джек Лестер, в которого она влюбилась с первого взгляда, хоть и необыкновенно хорош собой, имеет репутацию волокиты и сам без гроша. Конечно же ему нужна богатая невеста. Так, во всяком случае, думает София. Ей и невдомек, что синеглазый повеса без ума от нее. Вот только как завоевать эту леди с серьезными намерениями? Джек, прежде не знавший поражений на любовном фронте, не на шутку озадачен и встревожен…</t>
        </is>
      </c>
      <c r="S2351" s="26">
        <f>HYPERLINK("http://www.cnpol.ru/covers/15252.jpg","фото на сайте")</f>
        <v/>
      </c>
    </row>
    <row r="2352" ht="50.1" customHeight="1" s="3">
      <c r="A2352" s="23" t="n"/>
      <c r="B2352" s="24" t="inlineStr">
        <is>
          <t>15446</t>
        </is>
      </c>
      <c r="C2352" s="23" t="inlineStr">
        <is>
          <t>М ЛОУРЕНС</t>
        </is>
      </c>
      <c r="D2352" s="23" t="inlineStr">
        <is>
          <t>Лоуренс С.</t>
        </is>
      </c>
      <c r="E2352" s="23" t="inlineStr">
        <is>
          <t>Прекрасная Юнона</t>
        </is>
      </c>
      <c r="F2352" s="23" t="inlineStr">
        <is>
          <t>        </t>
        </is>
      </c>
      <c r="G2352" s="23" t="n">
        <v>177</v>
      </c>
      <c r="H2352" s="23" t="n">
        <v>10</v>
      </c>
      <c r="I2352" s="23" t="n">
        <v>30</v>
      </c>
      <c r="J2352" s="23" t="inlineStr">
        <is>
          <t>978-5-227-05444-9</t>
        </is>
      </c>
      <c r="K2352" s="23" t="inlineStr">
        <is>
          <t>70x100 1/32</t>
        </is>
      </c>
      <c r="L2352" s="23" t="inlineStr">
        <is>
          <t>мяг</t>
        </is>
      </c>
      <c r="M2352" s="23" t="n">
        <v>283</v>
      </c>
      <c r="N2352" s="23" t="n">
        <v>2014</v>
      </c>
      <c r="O2352" s="23" t="n">
        <v>134</v>
      </c>
      <c r="P2352" s="23" t="n"/>
      <c r="Q2352" s="23" t="n"/>
      <c r="R2352" s="25" t="n"/>
      <c r="S2352" s="26">
        <f>HYPERLINK("http://www.cnpol.ru/covers/15446.jpg","фото на сайте")</f>
        <v/>
      </c>
    </row>
    <row r="2353" ht="50.1" customHeight="1" s="3">
      <c r="A2353" s="23" t="n"/>
      <c r="B2353" s="24" t="inlineStr">
        <is>
          <t>18012</t>
        </is>
      </c>
      <c r="C2353" s="23" t="inlineStr">
        <is>
          <t>М ЛОУРЕНС НОВ</t>
        </is>
      </c>
      <c r="D2353" s="23" t="inlineStr">
        <is>
          <t>Лоуренс С.</t>
        </is>
      </c>
      <c r="E2353" s="23" t="inlineStr">
        <is>
          <t>Капитан "Корсара"</t>
        </is>
      </c>
      <c r="F2353" s="23" t="inlineStr">
        <is>
          <t>        </t>
        </is>
      </c>
      <c r="G2353" s="23" t="n">
        <v>402</v>
      </c>
      <c r="H2353" s="23" t="n">
        <v>10</v>
      </c>
      <c r="I2353" s="23" t="n">
        <v>12</v>
      </c>
      <c r="J2353" s="23" t="inlineStr">
        <is>
          <t>978-5-227-08104-9</t>
        </is>
      </c>
      <c r="K2353" s="23" t="inlineStr">
        <is>
          <t>84x108 1/32</t>
        </is>
      </c>
      <c r="L2353" s="23" t="inlineStr">
        <is>
          <t>Интегр</t>
        </is>
      </c>
      <c r="M2353" s="23" t="n">
        <v>384</v>
      </c>
      <c r="N2353" s="23" t="n">
        <v>2018</v>
      </c>
      <c r="O2353" s="23" t="n">
        <v>216</v>
      </c>
      <c r="P2353" s="23" t="n"/>
      <c r="Q2353" s="23" t="n"/>
      <c r="R2353" s="25" t="n"/>
      <c r="S2353" s="26">
        <f>HYPERLINK("http://www.cnpol.ru/covers/18012.jpg","фото на сайте")</f>
        <v/>
      </c>
    </row>
    <row r="2354" ht="50.1" customHeight="1" s="3">
      <c r="A2354" s="23" t="n"/>
      <c r="B2354" s="24" t="inlineStr">
        <is>
          <t>17939</t>
        </is>
      </c>
      <c r="C2354" s="23" t="inlineStr">
        <is>
          <t>М ЛОУРЕНС НОВ</t>
        </is>
      </c>
      <c r="D2354" s="23" t="inlineStr">
        <is>
          <t>Лоуренс С.</t>
        </is>
      </c>
      <c r="E2354" s="23" t="inlineStr">
        <is>
          <t>Ловушка для капитана</t>
        </is>
      </c>
      <c r="F2354" s="23" t="inlineStr">
        <is>
          <t>        </t>
        </is>
      </c>
      <c r="G2354" s="23" t="n">
        <v>402</v>
      </c>
      <c r="H2354" s="23" t="n">
        <v>10</v>
      </c>
      <c r="I2354" s="23" t="n">
        <v>12</v>
      </c>
      <c r="J2354" s="23" t="inlineStr">
        <is>
          <t>978-5-227-08030-1</t>
        </is>
      </c>
      <c r="K2354" s="23" t="inlineStr">
        <is>
          <t>84x108 1/32</t>
        </is>
      </c>
      <c r="L2354" s="23" t="inlineStr">
        <is>
          <t>Интегр</t>
        </is>
      </c>
      <c r="M2354" s="23" t="n">
        <v>384</v>
      </c>
      <c r="N2354" s="23" t="n">
        <v>2018</v>
      </c>
      <c r="O2354" s="23" t="n">
        <v>222</v>
      </c>
      <c r="P2354" s="23" t="n"/>
      <c r="Q2354" s="23" t="n"/>
      <c r="R2354" s="25" t="inlineStr">
        <is>
          <t>Капитан Калеб Фробишер, младший и самый отчаянный из братьев, самовольно отправляется на поиски тайного алмазного рудника в джунглях Западной Африки, где трудятся люди, похищенные бандой работорговцев. Он руководствуется сведениями и картами, ­добытыми его братьями, Декланом и Робертом. Возглавляемый ­Калебом отряд идет в джунгли и после поисков выходит к руднику. Капитан разрабатывает дерзкий план освобождения пленников, однако, увлекшись одной из похищенных девушек, прекрасной и независимой Кэтрин Фортескью, сам попадает в ловушку…</t>
        </is>
      </c>
      <c r="S2354" s="26">
        <f>HYPERLINK("http://www.cnpol.ru/covers/17939.jpg","фото на сайте")</f>
        <v/>
      </c>
    </row>
    <row r="2355" ht="50.1" customHeight="1" s="3">
      <c r="A2355" s="23" t="n"/>
      <c r="B2355" s="24" t="inlineStr">
        <is>
          <t>17874</t>
        </is>
      </c>
      <c r="C2355" s="23" t="inlineStr">
        <is>
          <t>М ЛОУРЕНС НОВ</t>
        </is>
      </c>
      <c r="D2355" s="23" t="inlineStr">
        <is>
          <t>Лоуренс С.</t>
        </is>
      </c>
      <c r="E2355" s="23" t="inlineStr">
        <is>
          <t>По желанию дамы</t>
        </is>
      </c>
      <c r="F2355" s="23" t="inlineStr">
        <is>
          <t>        </t>
        </is>
      </c>
      <c r="G2355" s="23" t="n">
        <v>351</v>
      </c>
      <c r="H2355" s="23" t="n">
        <v>10</v>
      </c>
      <c r="I2355" s="23" t="n">
        <v>14</v>
      </c>
      <c r="J2355" s="23" t="inlineStr">
        <is>
          <t>978-5-227-07795-0</t>
        </is>
      </c>
      <c r="K2355" s="23" t="inlineStr">
        <is>
          <t>84x108 1/32</t>
        </is>
      </c>
      <c r="L2355" s="23" t="inlineStr">
        <is>
          <t>Интегр</t>
        </is>
      </c>
      <c r="M2355" s="23" t="n">
        <v>288</v>
      </c>
      <c r="N2355" s="23" t="n">
        <v>2017</v>
      </c>
      <c r="O2355" s="23" t="n">
        <v>168</v>
      </c>
      <c r="P2355" s="23" t="n"/>
      <c r="Q2355" s="23" t="n"/>
      <c r="R2355" s="25" t="n"/>
      <c r="S2355" s="26">
        <f>HYPERLINK("http://www.cnpol.ru/covers/17874.jpg","фото на сайте")</f>
        <v/>
      </c>
    </row>
    <row r="2356" ht="50.1" customHeight="1" s="3">
      <c r="A2356" s="23" t="n"/>
      <c r="B2356" s="24" t="inlineStr">
        <is>
          <t>17875</t>
        </is>
      </c>
      <c r="C2356" s="23" t="inlineStr">
        <is>
          <t>М ЛОУРЕНС НОВ</t>
        </is>
      </c>
      <c r="D2356" s="23" t="inlineStr">
        <is>
          <t>Лоуренс С.</t>
        </is>
      </c>
      <c r="E2356" s="23" t="inlineStr">
        <is>
          <t>Сердце пирата</t>
        </is>
      </c>
      <c r="F2356" s="23" t="inlineStr">
        <is>
          <t>        </t>
        </is>
      </c>
      <c r="G2356" s="23" t="n">
        <v>324</v>
      </c>
      <c r="H2356" s="23" t="n">
        <v>10</v>
      </c>
      <c r="I2356" s="23" t="n">
        <v>8</v>
      </c>
      <c r="J2356" s="23" t="inlineStr">
        <is>
          <t>978-5-227-08002-8</t>
        </is>
      </c>
      <c r="K2356" s="23" t="inlineStr">
        <is>
          <t>84x108 1/32</t>
        </is>
      </c>
      <c r="L2356" s="23" t="inlineStr">
        <is>
          <t>Интегр</t>
        </is>
      </c>
      <c r="M2356" s="23" t="n">
        <v>480</v>
      </c>
      <c r="N2356" s="23" t="n">
        <v>2017</v>
      </c>
      <c r="O2356" s="23" t="n">
        <v>292</v>
      </c>
      <c r="P2356" s="23" t="n"/>
      <c r="Q2356" s="23" t="n"/>
      <c r="R2356" s="25" t="n"/>
      <c r="S2356" s="26">
        <f>HYPERLINK("http://www.cnpol.ru/covers/17875.jpg","фото на сайте")</f>
        <v/>
      </c>
    </row>
    <row r="2357" ht="50.1" customHeight="1" s="3">
      <c r="A2357" s="23" t="n"/>
      <c r="B2357" s="24" t="inlineStr">
        <is>
          <t>15340</t>
        </is>
      </c>
      <c r="C2357" s="23" t="inlineStr">
        <is>
          <t>М МАРТИН</t>
        </is>
      </c>
      <c r="D2357" s="23" t="inlineStr">
        <is>
          <t>Мартин К.</t>
        </is>
      </c>
      <c r="E2357" s="23" t="inlineStr">
        <is>
          <t>Аромат роз</t>
        </is>
      </c>
      <c r="F2357" s="23" t="inlineStr">
        <is>
          <t>        </t>
        </is>
      </c>
      <c r="G2357" s="23" t="n">
        <v>266</v>
      </c>
      <c r="H2357" s="23" t="n">
        <v>10</v>
      </c>
      <c r="I2357" s="23" t="n">
        <v>16</v>
      </c>
      <c r="J2357" s="23" t="inlineStr">
        <is>
          <t>978-5-227-05275-9</t>
        </is>
      </c>
      <c r="K2357" s="23" t="inlineStr">
        <is>
          <t>84x108 1/32 (обл)</t>
        </is>
      </c>
      <c r="L2357" s="23" t="inlineStr">
        <is>
          <t>мяг</t>
        </is>
      </c>
      <c r="M2357" s="23" t="n">
        <v>414</v>
      </c>
      <c r="N2357" s="23" t="n">
        <v>2014</v>
      </c>
      <c r="O2357" s="23" t="n">
        <v>242</v>
      </c>
      <c r="P2357" s="23" t="n"/>
      <c r="Q2357" s="23" t="n"/>
      <c r="R2357" s="25" t="inlineStr">
        <is>
          <t>На благотворительном вечере Элизабет Коннерс, профессиональный психолог и красивая женщина, встретила своего старого знакомого Зака Харкорта. В юности он был отпетым типом: употреблял алкоголь, наркотики, два года провел в тюрьме, но пользовался большим успехом у женщин. Лиз, относясь к Заку с недоверием, однако, не успела оглянуться, как влюбилась в него, и небезответно. Оказалось, что он совершенно переменился: стал серьезным, надежным, неравнодушным к чужим бедам человеком. Именно Зак помог Элизабет в раскрытии страшных преступлений, связанных с домом, принадлежащим семье Харкорт. Одна беда: похоже, этот мужчина не готов к серьезным отношениям…</t>
        </is>
      </c>
      <c r="S2357" s="26">
        <f>HYPERLINK("http://www.cnpol.ru/covers/15340.jpg","фото на сайте")</f>
        <v/>
      </c>
    </row>
    <row r="2358" ht="50.1" customHeight="1" s="3">
      <c r="A2358" s="23" t="n"/>
      <c r="B2358" s="24" t="inlineStr">
        <is>
          <t>15341</t>
        </is>
      </c>
      <c r="C2358" s="23" t="inlineStr">
        <is>
          <t>М МАРТИН</t>
        </is>
      </c>
      <c r="D2358" s="23" t="inlineStr">
        <is>
          <t>Мартин К.</t>
        </is>
      </c>
      <c r="E2358" s="23" t="inlineStr">
        <is>
          <t>Пик Ангела</t>
        </is>
      </c>
      <c r="F2358" s="23" t="inlineStr">
        <is>
          <t>        </t>
        </is>
      </c>
      <c r="G2358" s="23" t="n">
        <v>266</v>
      </c>
      <c r="H2358" s="23" t="n">
        <v>10</v>
      </c>
      <c r="I2358" s="23" t="n">
        <v>16</v>
      </c>
      <c r="J2358" s="23" t="inlineStr">
        <is>
          <t>978-5-227-05312-1</t>
        </is>
      </c>
      <c r="K2358" s="23" t="inlineStr">
        <is>
          <t>82x108 1/32</t>
        </is>
      </c>
      <c r="L2358" s="23" t="inlineStr">
        <is>
          <t>мяг</t>
        </is>
      </c>
      <c r="M2358" s="23" t="n">
        <v>351</v>
      </c>
      <c r="N2358" s="23" t="n">
        <v>2014</v>
      </c>
      <c r="O2358" s="23" t="n">
        <v>210</v>
      </c>
      <c r="P2358" s="23" t="n"/>
      <c r="Q2358" s="23" t="n"/>
      <c r="R2358" s="25" t="n"/>
      <c r="S2358" s="26">
        <f>HYPERLINK("http://www.cnpol.ru/covers/15341.jpg","фото на сайте")</f>
        <v/>
      </c>
    </row>
    <row r="2359" ht="50.1" customHeight="1" s="3">
      <c r="A2359" s="23" t="n"/>
      <c r="B2359" s="24" t="inlineStr">
        <is>
          <t>12339</t>
        </is>
      </c>
      <c r="C2359" s="23" t="inlineStr">
        <is>
          <t>М МБ</t>
        </is>
      </c>
      <c r="D2359" s="23" t="inlineStr">
        <is>
          <t>Джеймс П.</t>
        </is>
      </c>
      <c r="E2359" s="23" t="inlineStr">
        <is>
          <t>Алхимик кн.1</t>
        </is>
      </c>
      <c r="F2359" s="23" t="n">
        <v>1</v>
      </c>
      <c r="G2359" s="23" t="n">
        <v>186</v>
      </c>
      <c r="H2359" s="23" t="n">
        <v>10</v>
      </c>
      <c r="I2359" s="23" t="n">
        <v>24</v>
      </c>
      <c r="J2359" s="23" t="inlineStr">
        <is>
          <t>978-5-227-02508-1</t>
        </is>
      </c>
      <c r="K2359" s="23" t="inlineStr">
        <is>
          <t>70x100 1/32</t>
        </is>
      </c>
      <c r="L2359" s="23" t="inlineStr">
        <is>
          <t>мяг</t>
        </is>
      </c>
      <c r="M2359" s="23" t="n">
        <v>447</v>
      </c>
      <c r="N2359" s="23" t="n">
        <v>2010</v>
      </c>
      <c r="O2359" s="23" t="n">
        <v>202</v>
      </c>
      <c r="P2359" s="23" t="n"/>
      <c r="Q2359" s="23" t="n"/>
      <c r="R2359" s="25" t="inlineStr">
        <is>
          <t>Сбылась мечта Монти, дочери гениального ученого Дика Баннермана, - отец согласился на более чем заманчивое предложение одной из самых крупных фармацевтических фирм "Бендикс Шер". Теперь им не нужно ломать голову, где достать деньги на исследования. На роскошных условиях в фирму принят весь коллектив лаборатории Баннермана. Казалось бы, все складывается прекрасно, но при странных обстоятельствах один за другим стали погибать люди, и началось это сразу же после попытки Монти и ее друга Коннора Моллоя выяснить, что за страшный заряд несет в себе лекарство от бесплодия и почему женщины, принимавшие его, погибают в родах, а младенцы появляются на свет не способными к жизни уродами...</t>
        </is>
      </c>
      <c r="S2359" s="26">
        <f>HYPERLINK("http://www.cnpol.ru/covers/12339.jpg","фото на сайте")</f>
        <v/>
      </c>
    </row>
    <row r="2360" ht="50.1" customHeight="1" s="3">
      <c r="A2360" s="23" t="n"/>
      <c r="B2360" s="24" t="inlineStr">
        <is>
          <t>12720</t>
        </is>
      </c>
      <c r="C2360" s="23" t="inlineStr">
        <is>
          <t>М МБ</t>
        </is>
      </c>
      <c r="D2360" s="23" t="inlineStr">
        <is>
          <t>Джеймс П.</t>
        </is>
      </c>
      <c r="E2360" s="23" t="inlineStr">
        <is>
          <t>Зона теней</t>
        </is>
      </c>
      <c r="F2360" s="23" t="inlineStr">
        <is>
          <t>        </t>
        </is>
      </c>
      <c r="G2360" s="23" t="n">
        <v>186</v>
      </c>
      <c r="H2360" s="23" t="n">
        <v>10</v>
      </c>
      <c r="I2360" s="23" t="n">
        <v>24</v>
      </c>
      <c r="J2360" s="23" t="inlineStr">
        <is>
          <t>978-5-227-02945-4</t>
        </is>
      </c>
      <c r="K2360" s="23" t="inlineStr">
        <is>
          <t>70x100 1/32</t>
        </is>
      </c>
      <c r="L2360" s="23" t="inlineStr">
        <is>
          <t>мяг</t>
        </is>
      </c>
      <c r="M2360" s="23" t="n">
        <v>382</v>
      </c>
      <c r="N2360" s="23" t="n">
        <v>2011</v>
      </c>
      <c r="O2360" s="23" t="n">
        <v>176</v>
      </c>
      <c r="P2360" s="23" t="n"/>
      <c r="Q2360" s="23" t="n"/>
      <c r="R2360" s="25" t="inlineStr">
        <is>
          <t>Гибель сына Фабиана разрушила спокойную и размеренную жизнь успешной издательницы Алекс Хайтауэр. Ее стали одолевать страхи, видения и навязчивые идеи. Ощущение присутствия Фабиана не покидало ее ни на миг. Алекс с каждым днем все больше погружалась в омут безумия. И чтобы обрести покой, она решилась в конце концов на встречу с потусторонним миром...</t>
        </is>
      </c>
      <c r="S2360" s="26">
        <f>HYPERLINK("http://www.cnpol.ru/covers/12720.jpg","фото на сайте")</f>
        <v/>
      </c>
    </row>
    <row r="2361" ht="50.1" customHeight="1" s="3">
      <c r="A2361" s="23" t="n"/>
      <c r="B2361" s="24" t="inlineStr">
        <is>
          <t>11528</t>
        </is>
      </c>
      <c r="C2361" s="23" t="inlineStr">
        <is>
          <t>М МБ</t>
        </is>
      </c>
      <c r="D2361" s="23" t="inlineStr">
        <is>
          <t>Леонард Э.</t>
        </is>
      </c>
      <c r="E2361" s="23" t="inlineStr">
        <is>
          <t>Киллер</t>
        </is>
      </c>
      <c r="F2361" s="23" t="inlineStr">
        <is>
          <t>        </t>
        </is>
      </c>
      <c r="G2361" s="23" t="n">
        <v>186</v>
      </c>
      <c r="H2361" s="23" t="n">
        <v>10</v>
      </c>
      <c r="I2361" s="23" t="n">
        <v>20</v>
      </c>
      <c r="J2361" s="23" t="inlineStr">
        <is>
          <t>978-5-9524-4694-6</t>
        </is>
      </c>
      <c r="K2361" s="23" t="inlineStr">
        <is>
          <t>70x100 1/32</t>
        </is>
      </c>
      <c r="L2361" s="23" t="inlineStr">
        <is>
          <t>мяг</t>
        </is>
      </c>
      <c r="M2361" s="23" t="n">
        <v>286</v>
      </c>
      <c r="N2361" s="23" t="n">
        <v>2009</v>
      </c>
      <c r="O2361" s="23" t="n">
        <v>134</v>
      </c>
      <c r="P2361" s="23" t="n"/>
      <c r="Q2361" s="23" t="n"/>
      <c r="R2361" s="25" t="inlineStr">
        <is>
          <t>Черный Дрозд - киллер. По его собственному признанию, он "отстреливает людей. Иногда за бабки, иногда просто так". Однажды, когда Черный Дрозд и его дружок Ричи отправились на дело - забрать у некоего бизнесмена 10 тысяч долларов, - осуществить задуманное им помешали Кармен и Уэйн Колсоны. С этого момента они обречены, так как становятся очередной мишенью профессионального убийцы.</t>
        </is>
      </c>
      <c r="S2361" s="26">
        <f>HYPERLINK("http://www.cnpol.ru/covers/11528.jpg","фото на сайте")</f>
        <v/>
      </c>
    </row>
    <row r="2362" ht="50.1" customHeight="1" s="3">
      <c r="A2362" s="23" t="n"/>
      <c r="B2362" s="24" t="inlineStr">
        <is>
          <t>11153</t>
        </is>
      </c>
      <c r="C2362" s="23" t="inlineStr">
        <is>
          <t>М МБ</t>
        </is>
      </c>
      <c r="D2362" s="23" t="inlineStr">
        <is>
          <t>Джеймс П.</t>
        </is>
      </c>
      <c r="E2362" s="23" t="inlineStr">
        <is>
          <t>Одержимый</t>
        </is>
      </c>
      <c r="F2362" s="23" t="inlineStr">
        <is>
          <t>        </t>
        </is>
      </c>
      <c r="G2362" s="23" t="n">
        <v>186</v>
      </c>
      <c r="H2362" s="23" t="n">
        <v>10</v>
      </c>
      <c r="I2362" s="23" t="n">
        <v>20</v>
      </c>
      <c r="J2362" s="23" t="inlineStr">
        <is>
          <t>978-5-9524-4279-5</t>
        </is>
      </c>
      <c r="K2362" s="23" t="inlineStr">
        <is>
          <t>70x100 1/32</t>
        </is>
      </c>
      <c r="L2362" s="23" t="inlineStr">
        <is>
          <t>мяг</t>
        </is>
      </c>
      <c r="M2362" s="23" t="n">
        <v>444</v>
      </c>
      <c r="N2362" s="23" t="n">
        <v>2009</v>
      </c>
      <c r="O2362" s="23" t="n">
        <v>198</v>
      </c>
      <c r="P2362" s="23" t="n"/>
      <c r="Q2362" s="23" t="n"/>
      <c r="R2362" s="25" t="n"/>
      <c r="S2362" s="26">
        <f>HYPERLINK("http://www.cnpol.ru/covers/11153.jpg","фото на сайте")</f>
        <v/>
      </c>
    </row>
    <row r="2363" ht="50.1" customHeight="1" s="3">
      <c r="A2363" s="23" t="n"/>
      <c r="B2363" s="24" t="inlineStr">
        <is>
          <t>12719</t>
        </is>
      </c>
      <c r="C2363" s="23" t="inlineStr">
        <is>
          <t>М МБ</t>
        </is>
      </c>
      <c r="D2363" s="23" t="inlineStr">
        <is>
          <t>Джеймс П.</t>
        </is>
      </c>
      <c r="E2363" s="23" t="inlineStr">
        <is>
          <t>Одержимый</t>
        </is>
      </c>
      <c r="F2363" s="23" t="inlineStr">
        <is>
          <t>        </t>
        </is>
      </c>
      <c r="G2363" s="23" t="n">
        <v>186</v>
      </c>
      <c r="H2363" s="23" t="n">
        <v>10</v>
      </c>
      <c r="I2363" s="23" t="n">
        <v>20</v>
      </c>
      <c r="J2363" s="23" t="inlineStr">
        <is>
          <t>978-5-227-02943-0</t>
        </is>
      </c>
      <c r="K2363" s="23" t="inlineStr">
        <is>
          <t>70x100 1/32</t>
        </is>
      </c>
      <c r="L2363" s="23" t="inlineStr">
        <is>
          <t>мяг</t>
        </is>
      </c>
      <c r="M2363" s="23" t="n">
        <v>444</v>
      </c>
      <c r="N2363" s="23" t="n">
        <v>2011</v>
      </c>
      <c r="O2363" s="23" t="n">
        <v>208</v>
      </c>
      <c r="P2363" s="23" t="n"/>
      <c r="Q2363" s="23" t="n"/>
      <c r="R2363" s="25" t="n"/>
      <c r="S2363" s="26">
        <f>HYPERLINK("http://www.cnpol.ru/covers/12719.jpg","фото на сайте")</f>
        <v/>
      </c>
    </row>
    <row r="2364" ht="50.1" customHeight="1" s="3">
      <c r="A2364" s="23" t="n"/>
      <c r="B2364" s="24" t="inlineStr">
        <is>
          <t>11326</t>
        </is>
      </c>
      <c r="C2364" s="23" t="inlineStr">
        <is>
          <t>М МБ</t>
        </is>
      </c>
      <c r="D2364" s="23" t="inlineStr">
        <is>
          <t>Джеймс П.</t>
        </is>
      </c>
      <c r="E2364" s="23" t="inlineStr">
        <is>
          <t>Пророчество</t>
        </is>
      </c>
      <c r="F2364" s="23" t="inlineStr">
        <is>
          <t>        </t>
        </is>
      </c>
      <c r="G2364" s="23" t="n">
        <v>150</v>
      </c>
      <c r="H2364" s="23" t="n">
        <v>10</v>
      </c>
      <c r="I2364" s="23" t="n">
        <v>14</v>
      </c>
      <c r="J2364" s="23" t="inlineStr">
        <is>
          <t>978-5-9524-4410-2</t>
        </is>
      </c>
      <c r="K2364" s="23" t="inlineStr">
        <is>
          <t>70x100 1/32</t>
        </is>
      </c>
      <c r="L2364" s="23" t="inlineStr">
        <is>
          <t>мяг</t>
        </is>
      </c>
      <c r="M2364" s="23" t="n">
        <v>413</v>
      </c>
      <c r="N2364" s="23" t="n">
        <v>2009</v>
      </c>
      <c r="O2364" s="23" t="n">
        <v>162</v>
      </c>
      <c r="P2364" s="23" t="n"/>
      <c r="Q2364" s="23" t="n"/>
      <c r="R2364" s="25" t="n"/>
      <c r="S2364" s="26">
        <f>HYPERLINK("http://www.cnpol.ru/covers/11326.jpg","фото на сайте")</f>
        <v/>
      </c>
    </row>
    <row r="2365" ht="50.1" customHeight="1" s="3">
      <c r="A2365" s="23" t="n"/>
      <c r="B2365" s="24" t="inlineStr">
        <is>
          <t>11613</t>
        </is>
      </c>
      <c r="C2365" s="23" t="inlineStr">
        <is>
          <t>М МБ</t>
        </is>
      </c>
      <c r="D2365" s="23" t="inlineStr">
        <is>
          <t>Джеймс П.</t>
        </is>
      </c>
      <c r="E2365" s="23" t="inlineStr">
        <is>
          <t>Пророчество</t>
        </is>
      </c>
      <c r="F2365" s="23" t="inlineStr">
        <is>
          <t>        </t>
        </is>
      </c>
      <c r="G2365" s="23" t="n">
        <v>186</v>
      </c>
      <c r="H2365" s="23" t="n">
        <v>10</v>
      </c>
      <c r="I2365" s="23" t="n">
        <v>14</v>
      </c>
      <c r="J2365" s="23" t="inlineStr">
        <is>
          <t>978-5-9524-4720-2</t>
        </is>
      </c>
      <c r="K2365" s="23" t="inlineStr">
        <is>
          <t>70x100 1/32</t>
        </is>
      </c>
      <c r="L2365" s="23" t="inlineStr">
        <is>
          <t>мяг</t>
        </is>
      </c>
      <c r="M2365" s="23" t="n">
        <v>413</v>
      </c>
      <c r="N2365" s="23" t="n">
        <v>2009</v>
      </c>
      <c r="O2365" s="23" t="n">
        <v>182</v>
      </c>
      <c r="P2365" s="23" t="n"/>
      <c r="Q2365" s="23" t="n"/>
      <c r="R2365" s="25" t="n"/>
      <c r="S2365" s="26">
        <f>HYPERLINK("http://www.cnpol.ru/covers/11613.jpg","фото на сайте")</f>
        <v/>
      </c>
    </row>
    <row r="2366" ht="50.1" customHeight="1" s="3">
      <c r="A2366" s="23" t="n"/>
      <c r="B2366" s="24" t="inlineStr">
        <is>
          <t>11390</t>
        </is>
      </c>
      <c r="C2366" s="23" t="inlineStr">
        <is>
          <t>М МБ</t>
        </is>
      </c>
      <c r="D2366" s="23" t="inlineStr">
        <is>
          <t>Джеймс П.</t>
        </is>
      </c>
      <c r="E2366" s="23" t="inlineStr">
        <is>
          <t>Прыжок над пропастью</t>
        </is>
      </c>
      <c r="F2366" s="23" t="inlineStr">
        <is>
          <t>        </t>
        </is>
      </c>
      <c r="G2366" s="23" t="n">
        <v>150</v>
      </c>
      <c r="H2366" s="23" t="n">
        <v>10</v>
      </c>
      <c r="I2366" s="23" t="n">
        <v>20</v>
      </c>
      <c r="J2366" s="23" t="inlineStr">
        <is>
          <t>978-5-9524-4278-8</t>
        </is>
      </c>
      <c r="K2366" s="23" t="inlineStr">
        <is>
          <t>70x100 1/32</t>
        </is>
      </c>
      <c r="L2366" s="23" t="inlineStr">
        <is>
          <t>мяг</t>
        </is>
      </c>
      <c r="M2366" s="23" t="n">
        <v>446</v>
      </c>
      <c r="N2366" s="23" t="n">
        <v>2009</v>
      </c>
      <c r="O2366" s="23" t="n">
        <v>174</v>
      </c>
      <c r="P2366" s="23" t="n"/>
      <c r="Q2366" s="23" t="n"/>
      <c r="R2366" s="25" t="n"/>
      <c r="S2366" s="26">
        <f>HYPERLINK("http://www.cnpol.ru/covers/11390.jpg","фото на сайте")</f>
        <v/>
      </c>
    </row>
    <row r="2367" ht="50.1" customHeight="1" s="3">
      <c r="A2367" s="23" t="n"/>
      <c r="B2367" s="24" t="inlineStr">
        <is>
          <t>10978</t>
        </is>
      </c>
      <c r="C2367" s="23" t="inlineStr">
        <is>
          <t>М МБ</t>
        </is>
      </c>
      <c r="D2367" s="23" t="inlineStr">
        <is>
          <t>Джеймс П.</t>
        </is>
      </c>
      <c r="E2367" s="23" t="inlineStr">
        <is>
          <t>Убийственно красиво</t>
        </is>
      </c>
      <c r="F2367" s="23" t="inlineStr">
        <is>
          <t>        </t>
        </is>
      </c>
      <c r="G2367" s="23" t="n">
        <v>186</v>
      </c>
      <c r="H2367" s="23" t="n">
        <v>10</v>
      </c>
      <c r="I2367" s="23" t="n">
        <v>14</v>
      </c>
      <c r="J2367" s="23" t="inlineStr">
        <is>
          <t>978-595--24-4125-5</t>
        </is>
      </c>
      <c r="K2367" s="23" t="inlineStr">
        <is>
          <t>70x100 1/32</t>
        </is>
      </c>
      <c r="L2367" s="23" t="inlineStr">
        <is>
          <t>мяг</t>
        </is>
      </c>
      <c r="M2367" s="23" t="n">
        <v>447</v>
      </c>
      <c r="N2367" s="23" t="n">
        <v>2009</v>
      </c>
      <c r="O2367" s="23" t="n">
        <v>206</v>
      </c>
      <c r="P2367" s="23" t="n"/>
      <c r="Q2367" s="23" t="n"/>
      <c r="R2367" s="25" t="n"/>
      <c r="S2367" s="26">
        <f>HYPERLINK("http://www.cnpol.ru/covers/10978.jpg","фото на сайте")</f>
        <v/>
      </c>
    </row>
    <row r="2368" ht="50.1" customHeight="1" s="3">
      <c r="A2368" s="23" t="n"/>
      <c r="B2368" s="24" t="inlineStr">
        <is>
          <t>10975</t>
        </is>
      </c>
      <c r="C2368" s="23" t="inlineStr">
        <is>
          <t>М МБ</t>
        </is>
      </c>
      <c r="D2368" s="23" t="inlineStr">
        <is>
          <t>Джеймс П.</t>
        </is>
      </c>
      <c r="E2368" s="23" t="inlineStr">
        <is>
          <t>Убийственно просто</t>
        </is>
      </c>
      <c r="F2368" s="23" t="inlineStr">
        <is>
          <t>        </t>
        </is>
      </c>
      <c r="G2368" s="23" t="n">
        <v>150</v>
      </c>
      <c r="H2368" s="23" t="n">
        <v>10</v>
      </c>
      <c r="I2368" s="23" t="n">
        <v>18</v>
      </c>
      <c r="J2368" s="23" t="inlineStr">
        <is>
          <t>978-5-9524-4122-4</t>
        </is>
      </c>
      <c r="K2368" s="23" t="inlineStr">
        <is>
          <t>70x100 1/32</t>
        </is>
      </c>
      <c r="L2368" s="23" t="inlineStr">
        <is>
          <t>мяг</t>
        </is>
      </c>
      <c r="M2368" s="23" t="n">
        <v>415</v>
      </c>
      <c r="N2368" s="23" t="n">
        <v>2009</v>
      </c>
      <c r="O2368" s="23" t="n">
        <v>188</v>
      </c>
      <c r="P2368" s="23" t="n"/>
      <c r="Q2368" s="23" t="n"/>
      <c r="R2368" s="25" t="n"/>
      <c r="S2368" s="26">
        <f>HYPERLINK("http://www.cnpol.ru/covers/10975.jpg","фото на сайте")</f>
        <v/>
      </c>
    </row>
    <row r="2369" ht="50.1" customHeight="1" s="3">
      <c r="A2369" s="23" t="n"/>
      <c r="B2369" s="24" t="inlineStr">
        <is>
          <t>15343</t>
        </is>
      </c>
      <c r="C2369" s="23" t="inlineStr">
        <is>
          <t>М МБ DETECTIVE</t>
        </is>
      </c>
      <c r="D2369" s="23" t="inlineStr">
        <is>
          <t>Шрайбер Д.</t>
        </is>
      </c>
      <c r="E2369" s="23" t="inlineStr">
        <is>
          <t>Без окон, без дверей</t>
        </is>
      </c>
      <c r="F2369" s="23" t="inlineStr">
        <is>
          <t>        </t>
        </is>
      </c>
      <c r="G2369" s="23" t="n">
        <v>196</v>
      </c>
      <c r="H2369" s="23" t="n">
        <v>10</v>
      </c>
      <c r="I2369" s="23" t="n">
        <v>24</v>
      </c>
      <c r="J2369" s="23" t="inlineStr">
        <is>
          <t>978-5-227-05382-4</t>
        </is>
      </c>
      <c r="K2369" s="23" t="inlineStr">
        <is>
          <t>70x100 1/32</t>
        </is>
      </c>
      <c r="L2369" s="23" t="inlineStr">
        <is>
          <t>мяг</t>
        </is>
      </c>
      <c r="M2369" s="23" t="n">
        <v>286</v>
      </c>
      <c r="N2369" s="23" t="n">
        <v>2014</v>
      </c>
      <c r="O2369" s="23" t="n">
        <v>132</v>
      </c>
      <c r="P2369" s="23" t="n"/>
      <c r="Q2369" s="23" t="n"/>
      <c r="R2369" s="25" t="inlineStr">
        <is>
          <t>Скотт Маст приехал в родной городок на похороны отца, обстоятельства смерти которого темны и дают основание думать о возможном самоубийстве. Случайно Скотт обнаруживает рукопись романа, принадлежащего перу отца. В нем повествуется о некоем Круглом доме, где происходят необъяснимые и страшные вещи. Вскоре выясняется, что Круглый дом существует в реальности, и Скотт поселяется в нем, заинтригованный его тайной. Обстоятельства складываются так, что Скотт понимает: разгадав эту тайну, он избавит себя и своих родных от старинного родового проклятия. Если же нет, семью ничто не спасет — фатальный конец предрешен…</t>
        </is>
      </c>
      <c r="S2369" s="26">
        <f>HYPERLINK("http://www.cnpol.ru/covers/15343.jpg","фото на сайте")</f>
        <v/>
      </c>
    </row>
    <row r="2370" ht="50.1" customHeight="1" s="3">
      <c r="A2370" s="23" t="n"/>
      <c r="B2370" s="24" t="inlineStr">
        <is>
          <t>14517</t>
        </is>
      </c>
      <c r="C2370" s="23" t="inlineStr">
        <is>
          <t>М МБ DETECTIVE</t>
        </is>
      </c>
      <c r="D2370" s="23" t="inlineStr">
        <is>
          <t>Скоттолини Л.</t>
        </is>
      </c>
      <c r="E2370" s="23" t="inlineStr">
        <is>
          <t>Вглядись в его лицо</t>
        </is>
      </c>
      <c r="F2370" s="23" t="inlineStr">
        <is>
          <t>        </t>
        </is>
      </c>
      <c r="G2370" s="23" t="n">
        <v>266</v>
      </c>
      <c r="H2370" s="23" t="n">
        <v>10</v>
      </c>
      <c r="I2370" s="23" t="n">
        <v>24</v>
      </c>
      <c r="J2370" s="23" t="inlineStr">
        <is>
          <t>978-5-227-04507-2</t>
        </is>
      </c>
      <c r="K2370" s="23" t="inlineStr">
        <is>
          <t>70x100 1/32</t>
        </is>
      </c>
      <c r="L2370" s="23" t="inlineStr">
        <is>
          <t>мяг</t>
        </is>
      </c>
      <c r="M2370" s="23" t="n">
        <v>445</v>
      </c>
      <c r="N2370" s="23" t="n">
        <v>2013</v>
      </c>
      <c r="O2370" s="23" t="n">
        <v>202</v>
      </c>
      <c r="P2370" s="23" t="n"/>
      <c r="Q2370" s="23" t="n"/>
      <c r="R2370" s="25" t="inlineStr">
        <is>
          <t>Элен Глисон, молодая, красивая, талантливая жерналистка, усыновила малыша, перенесшего операцию на сердце. Прошло два года. Уилл здоров, весел, обожает свою приемную маму. И вдруг все в одночасье изменилось: Элен вынула из почтового ящика листовку с объявлением о похищенном ребенке, за любые сведения о котором родители готовы выплатить миллион долларов. На фотографии - малыш, как две капли воды похожий на Уилла. Зная, что родная мать официально отказалась от мальчика и, значит, он не может считаться пропавшим, Элен начинает расследование. Однако все свидетели, владеющие информацией, погибают при странных обстоятельствах. Элен с ужасом понимает, что следующей жертвой станет она.</t>
        </is>
      </c>
      <c r="S2370" s="26">
        <f>HYPERLINK("http://www.cnpol.ru/covers/14517.jpg","фото на сайте")</f>
        <v/>
      </c>
    </row>
    <row r="2371" ht="50.1" customHeight="1" s="3">
      <c r="A2371" s="23" t="n"/>
      <c r="B2371" s="24" t="inlineStr">
        <is>
          <t>14400</t>
        </is>
      </c>
      <c r="C2371" s="23" t="inlineStr">
        <is>
          <t>М МБ DETECTIVE</t>
        </is>
      </c>
      <c r="D2371" s="23" t="inlineStr">
        <is>
          <t>Стивен Дж. Кеннел</t>
        </is>
      </c>
      <c r="E2371" s="23" t="inlineStr">
        <is>
          <t>На острие ножа</t>
        </is>
      </c>
      <c r="F2371" s="23" t="inlineStr">
        <is>
          <t>        </t>
        </is>
      </c>
      <c r="G2371" s="23" t="n">
        <v>266</v>
      </c>
      <c r="H2371" s="23" t="n">
        <v>10</v>
      </c>
      <c r="I2371" s="23" t="n">
        <v>24</v>
      </c>
      <c r="J2371" s="23" t="inlineStr">
        <is>
          <t>978-5-227-04434-1</t>
        </is>
      </c>
      <c r="K2371" s="23" t="inlineStr">
        <is>
          <t>70x100 1/32</t>
        </is>
      </c>
      <c r="L2371" s="23" t="inlineStr">
        <is>
          <t>мяг</t>
        </is>
      </c>
      <c r="M2371" s="23" t="n">
        <v>288</v>
      </c>
      <c r="N2371" s="23" t="n">
        <v>2013</v>
      </c>
      <c r="O2371" s="23" t="n">
        <v>134</v>
      </c>
      <c r="P2371" s="23" t="n"/>
      <c r="Q2371" s="23" t="n"/>
      <c r="R2371" s="25" t="n"/>
      <c r="S2371" s="26">
        <f>HYPERLINK("http://www.cnpol.ru/covers/14400.jpg","фото на сайте")</f>
        <v/>
      </c>
    </row>
    <row r="2372" ht="50.1" customHeight="1" s="3">
      <c r="A2372" s="23" t="n"/>
      <c r="B2372" s="24" t="inlineStr">
        <is>
          <t>15035</t>
        </is>
      </c>
      <c r="C2372" s="23" t="inlineStr">
        <is>
          <t>М МБ DETECTIVE</t>
        </is>
      </c>
      <c r="D2372" s="23" t="inlineStr">
        <is>
          <t>Холдефер Ч.</t>
        </is>
      </c>
      <c r="E2372" s="23" t="inlineStr">
        <is>
          <t>Наемник</t>
        </is>
      </c>
      <c r="F2372" s="23" t="inlineStr">
        <is>
          <t>        </t>
        </is>
      </c>
      <c r="G2372" s="23" t="n">
        <v>196</v>
      </c>
      <c r="H2372" s="23" t="n">
        <v>10</v>
      </c>
      <c r="I2372" s="23" t="n">
        <v>32</v>
      </c>
      <c r="J2372" s="23" t="inlineStr">
        <is>
          <t>978-5-227-05005-2</t>
        </is>
      </c>
      <c r="K2372" s="23" t="inlineStr">
        <is>
          <t>70x100 1/32</t>
        </is>
      </c>
      <c r="L2372" s="23" t="inlineStr">
        <is>
          <t>мяг</t>
        </is>
      </c>
      <c r="M2372" s="23" t="n">
        <v>287</v>
      </c>
      <c r="N2372" s="23" t="n">
        <v>2014</v>
      </c>
      <c r="O2372" s="23" t="n">
        <v>134</v>
      </c>
      <c r="P2372" s="23" t="n"/>
      <c r="Q2372" s="23" t="n"/>
      <c r="R2372" s="25" t="n"/>
      <c r="S2372" s="26">
        <f>HYPERLINK("http://www.cnpol.ru/covers/15035.jpg","фото на сайте")</f>
        <v/>
      </c>
    </row>
    <row r="2373" ht="50.1" customHeight="1" s="3">
      <c r="A2373" s="23" t="n"/>
      <c r="B2373" s="24" t="inlineStr">
        <is>
          <t>10326</t>
        </is>
      </c>
      <c r="C2373" s="23" t="inlineStr">
        <is>
          <t>М МЖ+</t>
        </is>
      </c>
      <c r="D2373" s="23" t="inlineStr">
        <is>
          <t>Ульянина И.</t>
        </is>
      </c>
      <c r="E2373" s="23" t="inlineStr">
        <is>
          <t>Все девушки любят богатых</t>
        </is>
      </c>
      <c r="F2373" s="23" t="inlineStr">
        <is>
          <t>        </t>
        </is>
      </c>
      <c r="G2373" s="23" t="n">
        <v>150</v>
      </c>
      <c r="H2373" s="23" t="n">
        <v>10</v>
      </c>
      <c r="I2373" s="23" t="n">
        <v>24</v>
      </c>
      <c r="J2373" s="23" t="inlineStr">
        <is>
          <t>978-5-9524-3499-8</t>
        </is>
      </c>
      <c r="K2373" s="23" t="inlineStr">
        <is>
          <t>70x90 1/32</t>
        </is>
      </c>
      <c r="L2373" s="23" t="inlineStr">
        <is>
          <t>мяг</t>
        </is>
      </c>
      <c r="M2373" s="23" t="n">
        <v>351</v>
      </c>
      <c r="N2373" s="23" t="n">
        <v>2008</v>
      </c>
      <c r="O2373" s="23" t="inlineStr">
        <is>
          <t>     </t>
        </is>
      </c>
      <c r="P2373" s="23" t="n"/>
      <c r="Q2373" s="23" t="n"/>
      <c r="R2373" s="25" t="inlineStr">
        <is>
          <t>Яркая и сексапильная Марина Никольская могла влюбиться без памяти, а затем внезапно и окончательно охладеть. Мужчины готовы были для нее на все. Но ранний брак принес одни разочарования. К столичному банкиру, зрелому и основательному господину, Марина испытывала двойственное чувство: то тянулась к нему, то тяготилась зависимостью от сильной личности. Он решительно втянул ее в орбиту своей жизни, амбиций, желаний, друзей и недугов. Молодая женщина получила полный набор приключений и опасностей, но ни на миг не пожалела о неожиданном жизненном опыте. К тому же теперь Марина Никольская точно знала, кто тот мужчина, от которого она хочет услышать слова любви...</t>
        </is>
      </c>
      <c r="S2373" s="26">
        <f>HYPERLINK("http://www.cnpol.ru/covers/10326.jpg","фото на сайте")</f>
        <v/>
      </c>
    </row>
    <row r="2374" ht="50.1" customHeight="1" s="3">
      <c r="A2374" s="23" t="n"/>
      <c r="B2374" s="24" t="inlineStr">
        <is>
          <t>8665</t>
        </is>
      </c>
      <c r="C2374" s="23" t="inlineStr">
        <is>
          <t>М МЖ+</t>
        </is>
      </c>
      <c r="D2374" s="23" t="inlineStr">
        <is>
          <t>Ульянина И.</t>
        </is>
      </c>
      <c r="E2374" s="23" t="inlineStr">
        <is>
          <t>Все турки любят русских девушек</t>
        </is>
      </c>
      <c r="F2374" s="23" t="inlineStr">
        <is>
          <t>        </t>
        </is>
      </c>
      <c r="G2374" s="23" t="n">
        <v>150</v>
      </c>
      <c r="H2374" s="23" t="n">
        <v>10</v>
      </c>
      <c r="I2374" s="23" t="n">
        <v>20</v>
      </c>
      <c r="J2374" s="23" t="inlineStr">
        <is>
          <t>978-5-9524-2924-6</t>
        </is>
      </c>
      <c r="K2374" s="23" t="inlineStr">
        <is>
          <t>70x90 1/32</t>
        </is>
      </c>
      <c r="L2374" s="23" t="inlineStr">
        <is>
          <t>мяг</t>
        </is>
      </c>
      <c r="M2374" s="23" t="n">
        <v>318</v>
      </c>
      <c r="N2374" s="23" t="n">
        <v>2008</v>
      </c>
      <c r="O2374" s="23" t="n">
        <v>134</v>
      </c>
      <c r="P2374" s="23" t="n"/>
      <c r="Q2374" s="23" t="n"/>
      <c r="R2374" s="25" t="inlineStr">
        <is>
          <t>Первый серьезный роман Марины окончился страшным разочарованием: настойчивому поклоннику нужна была не она, а место в фирме отца, крупного бизнесмена... На турецком курорте, куда девушка отправилась залечивать сердечные раны, она сразу постаралась отстраниться от атмосферы любовного угара с его мишурными чувствами протяженностью в туристский заезд.</t>
        </is>
      </c>
      <c r="S2374" s="26">
        <f>HYPERLINK("http://www.cnpol.ru/covers/8665.jpg","фото на сайте")</f>
        <v/>
      </c>
    </row>
    <row r="2375" ht="50.1" customHeight="1" s="3">
      <c r="A2375" s="23" t="n"/>
      <c r="B2375" s="24" t="inlineStr">
        <is>
          <t>10716</t>
        </is>
      </c>
      <c r="C2375" s="23" t="inlineStr">
        <is>
          <t>М МЖ+</t>
        </is>
      </c>
      <c r="D2375" s="23" t="inlineStr">
        <is>
          <t>Ульянина И.</t>
        </is>
      </c>
      <c r="E2375" s="23" t="inlineStr">
        <is>
          <t>Жена моего любовника</t>
        </is>
      </c>
      <c r="F2375" s="23" t="inlineStr">
        <is>
          <t>        </t>
        </is>
      </c>
      <c r="G2375" s="23" t="n">
        <v>150</v>
      </c>
      <c r="H2375" s="23" t="n">
        <v>10</v>
      </c>
      <c r="I2375" s="23" t="n">
        <v>24</v>
      </c>
      <c r="J2375" s="23" t="inlineStr">
        <is>
          <t>978-5-9524-3832-3</t>
        </is>
      </c>
      <c r="K2375" s="23" t="inlineStr">
        <is>
          <t>70x90 1/32</t>
        </is>
      </c>
      <c r="L2375" s="23" t="inlineStr">
        <is>
          <t>мяг</t>
        </is>
      </c>
      <c r="M2375" s="23" t="n">
        <v>318</v>
      </c>
      <c r="N2375" s="23" t="n">
        <v>2008</v>
      </c>
      <c r="O2375" s="23" t="n">
        <v>132</v>
      </c>
      <c r="P2375" s="23" t="n"/>
      <c r="Q2375" s="23" t="n"/>
      <c r="R2375" s="25" t="inlineStr">
        <is>
          <t>Катю Макееву долгие пять лет мучил вопрос: почему Сергей оставил ее? Видимо, только она считала, что их страстный роман больше чем курортное приключение. Пока девушка тосковала и терзалась, ее бывший возлюбленный женился и обзавелся двоими детьми. Случайно встретив его, Катя решила еще раз попытать счастье. Оказалось, что у любимого темное прошлое и весьма противоречивое настоящее. А тут еще и проблемы ненавистной соперницы, жены ее любовника…</t>
        </is>
      </c>
      <c r="S2375" s="26">
        <f>HYPERLINK("http://www.cnpol.ru/covers/10716.jpg","фото на сайте")</f>
        <v/>
      </c>
    </row>
    <row r="2376" ht="50.1" customHeight="1" s="3">
      <c r="A2376" s="23" t="n"/>
      <c r="B2376" s="24" t="inlineStr">
        <is>
          <t>12930</t>
        </is>
      </c>
      <c r="C2376" s="23" t="inlineStr">
        <is>
          <t>М МОР</t>
        </is>
      </c>
      <c r="D2376" s="23" t="inlineStr">
        <is>
          <t>Харви К. Дж.</t>
        </is>
      </c>
      <c r="E2376" s="23" t="inlineStr">
        <is>
          <t>Жертва</t>
        </is>
      </c>
      <c r="F2376" s="23" t="inlineStr">
        <is>
          <t>        </t>
        </is>
      </c>
      <c r="G2376" s="23" t="n">
        <v>213</v>
      </c>
      <c r="H2376" s="23" t="n">
        <v>10</v>
      </c>
      <c r="I2376" s="23" t="n">
        <v>10</v>
      </c>
      <c r="J2376" s="23" t="inlineStr">
        <is>
          <t>978-5-227-03108-2</t>
        </is>
      </c>
      <c r="K2376" s="23" t="inlineStr">
        <is>
          <t>75x100 1/32</t>
        </is>
      </c>
      <c r="L2376" s="23" t="inlineStr">
        <is>
          <t>мяг</t>
        </is>
      </c>
      <c r="M2376" s="23" t="n">
        <v>286</v>
      </c>
      <c r="N2376" s="23" t="n">
        <v>2011</v>
      </c>
      <c r="O2376" s="23" t="n">
        <v>144</v>
      </c>
      <c r="P2376" s="23" t="n"/>
      <c r="Q2376" s="23" t="n"/>
      <c r="R2376" s="25" t="inlineStr">
        <is>
          <t>Стэн Ньюлэнд — канадский бизнесмен, занимающийся съемками и тиражированием садопорнофильмов с реальными убийствами. Он назначил двадцать тысяч долларов за голову своего подчиненного Дэниела Ринга — киллера, который решил самовольно выйти из игры. Спасаясь от шефа, Ринг приезжает в Нью-Йорк, где неожиданно сталкивается с девушкой из своих снов — Алексис Ив, красивой молодой сотрудницей рекламного агентства. Теперь героев связывают непостижимые мистические узы, и ужас неотступно следует за ними...</t>
        </is>
      </c>
      <c r="S2376" s="26">
        <f>HYPERLINK("http://www.cnpol.ru/covers/12930.jpg","фото на сайте")</f>
        <v/>
      </c>
    </row>
    <row r="2377" ht="50.1" customHeight="1" s="3">
      <c r="A2377" s="23" t="n"/>
      <c r="B2377" s="24" t="inlineStr">
        <is>
          <t>13465</t>
        </is>
      </c>
      <c r="C2377" s="23" t="inlineStr">
        <is>
          <t>М МОР</t>
        </is>
      </c>
      <c r="D2377" s="23" t="inlineStr">
        <is>
          <t>Мейер Д.</t>
        </is>
      </c>
      <c r="E2377" s="23" t="inlineStr">
        <is>
          <t>Остаться в живых</t>
        </is>
      </c>
      <c r="F2377" s="23" t="inlineStr">
        <is>
          <t>        </t>
        </is>
      </c>
      <c r="G2377" s="23" t="n">
        <v>213</v>
      </c>
      <c r="H2377" s="23" t="n">
        <v>10</v>
      </c>
      <c r="I2377" s="23" t="n">
        <v>8</v>
      </c>
      <c r="J2377" s="23" t="inlineStr">
        <is>
          <t>978-5-227-03601-8</t>
        </is>
      </c>
      <c r="K2377" s="23" t="inlineStr">
        <is>
          <t>75x100 1/32</t>
        </is>
      </c>
      <c r="L2377" s="23" t="inlineStr">
        <is>
          <t>мяг</t>
        </is>
      </c>
      <c r="M2377" s="23" t="n">
        <v>415</v>
      </c>
      <c r="N2377" s="23" t="n">
        <v>2012</v>
      </c>
      <c r="O2377" s="23" t="n">
        <v>202</v>
      </c>
      <c r="P2377" s="23" t="n"/>
      <c r="Q2377" s="23" t="n"/>
      <c r="R2377" s="25" t="n"/>
      <c r="S2377" s="26">
        <f>HYPERLINK("http://www.cnpol.ru/covers/13465.jpg","фото на сайте")</f>
        <v/>
      </c>
    </row>
    <row r="2378" ht="50.1" customHeight="1" s="3">
      <c r="A2378" s="23" t="n"/>
      <c r="B2378" s="24" t="inlineStr">
        <is>
          <t>13018</t>
        </is>
      </c>
      <c r="C2378" s="23" t="inlineStr">
        <is>
          <t>М МОР</t>
        </is>
      </c>
      <c r="D2378" s="23" t="inlineStr">
        <is>
          <t>Литтл Бентли</t>
        </is>
      </c>
      <c r="E2378" s="23" t="inlineStr">
        <is>
          <t>Письма, несущие смерть</t>
        </is>
      </c>
      <c r="F2378" s="23" t="inlineStr">
        <is>
          <t>        </t>
        </is>
      </c>
      <c r="G2378" s="23" t="n">
        <v>213</v>
      </c>
      <c r="H2378" s="23" t="n">
        <v>10</v>
      </c>
      <c r="I2378" s="23" t="n">
        <v>10</v>
      </c>
      <c r="J2378" s="23" t="inlineStr">
        <is>
          <t>978-5-227-03141-9</t>
        </is>
      </c>
      <c r="K2378" s="23" t="inlineStr">
        <is>
          <t>75x100 1/32</t>
        </is>
      </c>
      <c r="L2378" s="23" t="inlineStr">
        <is>
          <t>мяг</t>
        </is>
      </c>
      <c r="M2378" s="23" t="n">
        <v>350</v>
      </c>
      <c r="N2378" s="23" t="n">
        <v>2011</v>
      </c>
      <c r="O2378" s="23" t="n">
        <v>174</v>
      </c>
      <c r="P2378" s="23" t="n"/>
      <c r="Q2378" s="23" t="n"/>
      <c r="R2378" s="25" t="n"/>
      <c r="S2378" s="26">
        <f>HYPERLINK("http://www.cnpol.ru/covers/13018.jpg","фото на сайте")</f>
        <v/>
      </c>
    </row>
    <row r="2379" ht="50.1" customHeight="1" s="3">
      <c r="A2379" s="23" t="n"/>
      <c r="B2379" s="24" t="inlineStr">
        <is>
          <t>13192</t>
        </is>
      </c>
      <c r="C2379" s="23" t="inlineStr">
        <is>
          <t>М МОР</t>
        </is>
      </c>
      <c r="D2379" s="23" t="inlineStr">
        <is>
          <t>Хаслэм К.</t>
        </is>
      </c>
      <c r="E2379" s="23" t="inlineStr">
        <is>
          <t>Стриптиз-клуб "Аллигатор"</t>
        </is>
      </c>
      <c r="F2379" s="23" t="inlineStr">
        <is>
          <t>        </t>
        </is>
      </c>
      <c r="G2379" s="23" t="n">
        <v>213</v>
      </c>
      <c r="H2379" s="23" t="n">
        <v>10</v>
      </c>
      <c r="I2379" s="23" t="n">
        <v>12</v>
      </c>
      <c r="J2379" s="23" t="inlineStr">
        <is>
          <t>978-5-227-03345-1</t>
        </is>
      </c>
      <c r="K2379" s="23" t="inlineStr">
        <is>
          <t>75x100 1/32</t>
        </is>
      </c>
      <c r="L2379" s="23" t="inlineStr">
        <is>
          <t>мяг</t>
        </is>
      </c>
      <c r="M2379" s="23" t="n">
        <v>318</v>
      </c>
      <c r="N2379" s="23" t="n">
        <v>2012</v>
      </c>
      <c r="O2379" s="23" t="n">
        <v>170</v>
      </c>
      <c r="P2379" s="23" t="n"/>
      <c r="Q2379" s="23" t="n"/>
      <c r="R2379" s="25" t="n"/>
      <c r="S2379" s="26">
        <f>HYPERLINK("http://www.cnpol.ru/covers/13192.jpg","фото на сайте")</f>
        <v/>
      </c>
    </row>
    <row r="2380" ht="50.1" customHeight="1" s="3">
      <c r="A2380" s="23" t="n"/>
      <c r="B2380" s="24" t="inlineStr">
        <is>
          <t>13094</t>
        </is>
      </c>
      <c r="C2380" s="23" t="inlineStr">
        <is>
          <t>М МОР</t>
        </is>
      </c>
      <c r="D2380" s="23" t="inlineStr">
        <is>
          <t>Хаслэм К.</t>
        </is>
      </c>
      <c r="E2380" s="23" t="inlineStr">
        <is>
          <t>Эль Сид</t>
        </is>
      </c>
      <c r="F2380" s="23" t="inlineStr">
        <is>
          <t>        </t>
        </is>
      </c>
      <c r="G2380" s="23" t="n">
        <v>213</v>
      </c>
      <c r="H2380" s="23" t="n">
        <v>10</v>
      </c>
      <c r="I2380" s="23" t="n">
        <v>10</v>
      </c>
      <c r="J2380" s="23" t="inlineStr">
        <is>
          <t>978-5-227-03184-6</t>
        </is>
      </c>
      <c r="K2380" s="23" t="inlineStr">
        <is>
          <t>75x100 1/32</t>
        </is>
      </c>
      <c r="L2380" s="23" t="inlineStr">
        <is>
          <t>мяг</t>
        </is>
      </c>
      <c r="M2380" s="23" t="n">
        <v>415</v>
      </c>
      <c r="N2380" s="23" t="n">
        <v>2011</v>
      </c>
      <c r="O2380" s="23" t="n">
        <v>200</v>
      </c>
      <c r="P2380" s="23" t="n"/>
      <c r="Q2380" s="23" t="n"/>
      <c r="R2380" s="25" t="n"/>
      <c r="S2380" s="26">
        <f>HYPERLINK("http://www.cnpol.ru/covers/13094.jpg","фото на сайте")</f>
        <v/>
      </c>
    </row>
    <row r="2381" ht="50.1" customHeight="1" s="3">
      <c r="A2381" s="23" t="n"/>
      <c r="B2381" s="24" t="inlineStr">
        <is>
          <t>1806</t>
        </is>
      </c>
      <c r="C2381" s="23" t="inlineStr">
        <is>
          <t>М МП</t>
        </is>
      </c>
      <c r="D2381" s="23" t="inlineStr">
        <is>
          <t>Ботуин</t>
        </is>
      </c>
      <c r="E2381" s="23" t="inlineStr">
        <is>
          <t>Не бойтесь дон жуана</t>
        </is>
      </c>
      <c r="F2381" s="23" t="inlineStr">
        <is>
          <t>        </t>
        </is>
      </c>
      <c r="G2381" s="23" t="n">
        <v>88</v>
      </c>
      <c r="H2381" s="23" t="n">
        <v>10</v>
      </c>
      <c r="I2381" s="23" t="n">
        <v>22</v>
      </c>
      <c r="J2381" s="23" t="inlineStr">
        <is>
          <t>5-227-00598-2</t>
        </is>
      </c>
      <c r="K2381" s="23" t="inlineStr">
        <is>
          <t>84x108 1/32 (обл)</t>
        </is>
      </c>
      <c r="L2381" s="23" t="inlineStr">
        <is>
          <t>мяг</t>
        </is>
      </c>
      <c r="M2381" s="23" t="n">
        <v>315</v>
      </c>
      <c r="N2381" s="23" t="n">
        <v>2000</v>
      </c>
      <c r="O2381" s="23" t="n">
        <v>198</v>
      </c>
      <c r="P2381" s="23" t="n"/>
      <c r="Q2381" s="23" t="n"/>
      <c r="R2381" s="25" t="n"/>
      <c r="S2381" s="26">
        <f>HYPERLINK("http://www.cnpol.ru/covers/1806.jpg","фото на сайте")</f>
        <v/>
      </c>
    </row>
    <row r="2382" ht="50.1" customHeight="1" s="3">
      <c r="A2382" s="23" t="n"/>
      <c r="B2382" s="24" t="inlineStr">
        <is>
          <t>6181</t>
        </is>
      </c>
      <c r="C2382" s="23" t="inlineStr">
        <is>
          <t>М ПК</t>
        </is>
      </c>
      <c r="D2382" s="23" t="inlineStr">
        <is>
          <t>Алькаев</t>
        </is>
      </c>
      <c r="E2382" s="23" t="inlineStr">
        <is>
          <t>Блюда из птицы</t>
        </is>
      </c>
      <c r="F2382" s="23" t="inlineStr">
        <is>
          <t>        </t>
        </is>
      </c>
      <c r="G2382" s="23" t="n">
        <v>150</v>
      </c>
      <c r="H2382" s="23" t="n">
        <v>10</v>
      </c>
      <c r="I2382" s="23" t="n">
        <v>28</v>
      </c>
      <c r="J2382" s="23" t="inlineStr">
        <is>
          <t>5-9524-1978-X</t>
        </is>
      </c>
      <c r="K2382" s="23" t="inlineStr">
        <is>
          <t>84x108 1/32 (обл)</t>
        </is>
      </c>
      <c r="L2382" s="23" t="inlineStr">
        <is>
          <t>мяг</t>
        </is>
      </c>
      <c r="M2382" s="23" t="n">
        <v>255</v>
      </c>
      <c r="N2382" s="23" t="n">
        <v>2005</v>
      </c>
      <c r="O2382" s="23" t="n">
        <v>136</v>
      </c>
      <c r="P2382" s="23" t="n"/>
      <c r="Q2382" s="23" t="n"/>
      <c r="R2382" s="25" t="inlineStr">
        <is>
          <t>В этой книге собраны разнообразные рецепты блюд из птицы. Вы узнаете, как приготовить традиционные и экзотические блюда, благодаря которым вы не только разнообразите свое меню, но и получите истинное удовольствие от создания изысканных кушаний.</t>
        </is>
      </c>
      <c r="S2382" s="26">
        <f>HYPERLINK("http://www.cnpol.ru/covers/6181.jpg","фото на сайте")</f>
        <v/>
      </c>
    </row>
    <row r="2383" ht="50.1" customHeight="1" s="3">
      <c r="A2383" s="23" t="n"/>
      <c r="B2383" s="24" t="inlineStr">
        <is>
          <t>4186</t>
        </is>
      </c>
      <c r="C2383" s="23" t="inlineStr">
        <is>
          <t>М ПК</t>
        </is>
      </c>
      <c r="D2383" s="23" t="inlineStr">
        <is>
          <t>Берсеньева</t>
        </is>
      </c>
      <c r="E2383" s="23" t="inlineStr">
        <is>
          <t>Православные посты и трапезы</t>
        </is>
      </c>
      <c r="F2383" s="23" t="inlineStr">
        <is>
          <t>        </t>
        </is>
      </c>
      <c r="G2383" s="23" t="n">
        <v>48</v>
      </c>
      <c r="H2383" s="23" t="n">
        <v>10</v>
      </c>
      <c r="I2383" s="23" t="n">
        <v>44</v>
      </c>
      <c r="J2383" s="23" t="inlineStr">
        <is>
          <t>5-9524-0558-4</t>
        </is>
      </c>
      <c r="K2383" s="23" t="inlineStr">
        <is>
          <t>84x108 1/32 (обл)</t>
        </is>
      </c>
      <c r="L2383" s="23" t="inlineStr">
        <is>
          <t>мяг</t>
        </is>
      </c>
      <c r="M2383" s="23" t="inlineStr">
        <is>
          <t>    </t>
        </is>
      </c>
      <c r="N2383" s="23" t="inlineStr">
        <is>
          <t>    </t>
        </is>
      </c>
      <c r="O2383" s="23" t="inlineStr">
        <is>
          <t>     </t>
        </is>
      </c>
      <c r="P2383" s="23" t="n"/>
      <c r="Q2383" s="23" t="n"/>
      <c r="R2383" s="25" t="n"/>
      <c r="S2383" s="26">
        <f>HYPERLINK("http://www.cnpol.ru/covers/4186.jpg","фото на сайте")</f>
        <v/>
      </c>
    </row>
    <row r="2384" ht="50.1" customHeight="1" s="3">
      <c r="A2384" s="23" t="n"/>
      <c r="B2384" s="24" t="inlineStr">
        <is>
          <t>10490</t>
        </is>
      </c>
      <c r="C2384" s="23" t="inlineStr">
        <is>
          <t>М ПК</t>
        </is>
      </c>
      <c r="D2384" s="23" t="inlineStr">
        <is>
          <t>Лазерсон И.И.,  Спичка М.А.</t>
        </is>
      </c>
      <c r="E2384" s="23" t="inlineStr">
        <is>
          <t>Скорая кулинарная помощь</t>
        </is>
      </c>
      <c r="F2384" s="23" t="n">
        <v>2</v>
      </c>
      <c r="G2384" s="23" t="n">
        <v>134</v>
      </c>
      <c r="H2384" s="23" t="n">
        <v>10</v>
      </c>
      <c r="I2384" s="23" t="n">
        <v>22</v>
      </c>
      <c r="J2384" s="23" t="inlineStr">
        <is>
          <t>978-5-9524-3668-8</t>
        </is>
      </c>
      <c r="K2384" s="23" t="inlineStr">
        <is>
          <t>84x108 1/32 (обл)</t>
        </is>
      </c>
      <c r="L2384" s="23" t="inlineStr">
        <is>
          <t>мяг</t>
        </is>
      </c>
      <c r="M2384" s="23" t="n">
        <v>191</v>
      </c>
      <c r="N2384" s="23" t="n">
        <v>2008</v>
      </c>
      <c r="O2384" s="23" t="n">
        <v>118</v>
      </c>
      <c r="P2384" s="23" t="n"/>
      <c r="Q2384" s="23" t="n"/>
      <c r="R2384" s="25" t="n"/>
      <c r="S2384" s="26">
        <f>HYPERLINK("http://www.cnpol.ru/covers/10490.jpg","фото на сайте")</f>
        <v/>
      </c>
    </row>
    <row r="2385" ht="50.1" customHeight="1" s="3">
      <c r="A2385" s="23" t="n"/>
      <c r="B2385" s="24" t="inlineStr">
        <is>
          <t>10491</t>
        </is>
      </c>
      <c r="C2385" s="23" t="inlineStr">
        <is>
          <t>М ПК</t>
        </is>
      </c>
      <c r="D2385" s="23" t="inlineStr">
        <is>
          <t>Лазерсон И.И.,  Спичка М.А.</t>
        </is>
      </c>
      <c r="E2385" s="23" t="inlineStr">
        <is>
          <t>Скорая кулинарная помощь</t>
        </is>
      </c>
      <c r="F2385" s="23" t="n">
        <v>3</v>
      </c>
      <c r="G2385" s="23" t="n">
        <v>134</v>
      </c>
      <c r="H2385" s="23" t="n">
        <v>10</v>
      </c>
      <c r="I2385" s="23" t="n">
        <v>22</v>
      </c>
      <c r="J2385" s="23" t="inlineStr">
        <is>
          <t>978-5-9524-3669-5</t>
        </is>
      </c>
      <c r="K2385" s="23" t="inlineStr">
        <is>
          <t>84x108 1/32 (обл)</t>
        </is>
      </c>
      <c r="L2385" s="23" t="inlineStr">
        <is>
          <t>мяг</t>
        </is>
      </c>
      <c r="M2385" s="23" t="n">
        <v>191</v>
      </c>
      <c r="N2385" s="23" t="n">
        <v>2008</v>
      </c>
      <c r="O2385" s="23" t="n">
        <v>120</v>
      </c>
      <c r="P2385" s="23" t="n"/>
      <c r="Q2385" s="23" t="n"/>
      <c r="R2385" s="25" t="n"/>
      <c r="S2385" s="26">
        <f>HYPERLINK("http://www.cnpol.ru/covers/10491.jpg","фото на сайте")</f>
        <v/>
      </c>
    </row>
    <row r="2386" ht="50.1" customHeight="1" s="3">
      <c r="A2386" s="23" t="n"/>
      <c r="B2386" s="24" t="inlineStr">
        <is>
          <t>10124</t>
        </is>
      </c>
      <c r="C2386" s="23" t="inlineStr">
        <is>
          <t>М ПРОФРОМ</t>
        </is>
      </c>
      <c r="D2386" s="23" t="inlineStr">
        <is>
          <t>Малюгин А.</t>
        </is>
      </c>
      <c r="E2386" s="23" t="inlineStr">
        <is>
          <t>Аферисты BIGЛАЖАTOUR или Как развести клиента на бабло</t>
        </is>
      </c>
      <c r="F2386" s="23" t="inlineStr">
        <is>
          <t>        </t>
        </is>
      </c>
      <c r="G2386" s="23" t="n">
        <v>158</v>
      </c>
      <c r="H2386" s="23" t="n">
        <v>10</v>
      </c>
      <c r="I2386" s="23" t="n">
        <v>32</v>
      </c>
      <c r="J2386" s="23" t="inlineStr">
        <is>
          <t>978-5-9524-3225-3</t>
        </is>
      </c>
      <c r="K2386" s="23" t="inlineStr">
        <is>
          <t>70x90 1/32</t>
        </is>
      </c>
      <c r="L2386" s="23" t="inlineStr">
        <is>
          <t>мяг</t>
        </is>
      </c>
      <c r="M2386" s="23" t="n">
        <v>270</v>
      </c>
      <c r="N2386" s="23" t="n">
        <v>2008</v>
      </c>
      <c r="O2386" s="23" t="n">
        <v>112</v>
      </c>
      <c r="P2386" s="23" t="n"/>
      <c r="Q2386" s="23" t="n"/>
      <c r="R2386" s="25" t="inlineStr">
        <is>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is>
      </c>
      <c r="S2386" s="26">
        <f>HYPERLINK("http://www.cnpol.ru/covers/10124.jpg","фото на сайте")</f>
        <v/>
      </c>
    </row>
    <row r="2387" ht="50.1" customHeight="1" s="3">
      <c r="A2387" s="23" t="n"/>
      <c r="B2387" s="24" t="inlineStr">
        <is>
          <t>16407</t>
        </is>
      </c>
      <c r="C2387" s="23" t="inlineStr">
        <is>
          <t>М ПС Ф</t>
        </is>
      </c>
      <c r="D2387" s="23" t="inlineStr">
        <is>
          <t>Коровина Е.А.</t>
        </is>
      </c>
      <c r="E2387" s="23" t="inlineStr">
        <is>
          <t>115 способов разбогатеть, или Секреты денежного изобилия. Маленькая книга, приносящая большие деньги</t>
        </is>
      </c>
      <c r="F2387" s="23" t="inlineStr">
        <is>
          <t>        </t>
        </is>
      </c>
      <c r="G2387" s="23" t="n">
        <v>268</v>
      </c>
      <c r="H2387" s="23" t="n">
        <v>10</v>
      </c>
      <c r="I2387" s="23" t="n">
        <v>20</v>
      </c>
      <c r="J2387" s="23" t="inlineStr">
        <is>
          <t>978-5-227-06328-1</t>
        </is>
      </c>
      <c r="K2387" s="23" t="inlineStr">
        <is>
          <t>70x100 1/32</t>
        </is>
      </c>
      <c r="L2387" s="23" t="inlineStr">
        <is>
          <t>мяг</t>
        </is>
      </c>
      <c r="M2387" s="23" t="n">
        <v>320</v>
      </c>
      <c r="N2387" s="23" t="n">
        <v>2015</v>
      </c>
      <c r="O2387" s="23" t="n">
        <v>150</v>
      </c>
      <c r="P2387" s="23" t="n"/>
      <c r="Q2387" s="23" t="n"/>
      <c r="R2387" s="25" t="inlineStr">
        <is>
          <t>В книге Елены Коровиной собраны разнообразные рецепты, советы и всяческие "магические примочки", которые позволят вам выстоять и победить в самых сложных условиях и непредсказуемых ситуациях. Автор отсылает читателя к средствам, проверенным веками, способным "перезагрузить" действительность так, чтобы поменять минус на плюс и начать новый успешный отрезок жизненного пути. Прочитав эту книгу, вы освоите азы антибюрократической магии, повернете в свою сторону денежный поток и, главное, научитесь управлять энергетическими потоками Силы, Удачи и Везения.</t>
        </is>
      </c>
      <c r="S2387" s="26">
        <f>HYPERLINK("http://www.cnpol.ru/covers/16407.jpg","фото на сайте")</f>
        <v/>
      </c>
    </row>
    <row r="2388" ht="50.1" customHeight="1" s="3">
      <c r="A2388" s="23" t="n"/>
      <c r="B2388" s="24" t="inlineStr">
        <is>
          <t>20951</t>
        </is>
      </c>
      <c r="C2388" s="23" t="inlineStr">
        <is>
          <t>М ПС Ф</t>
        </is>
      </c>
      <c r="D2388" s="23" t="inlineStr">
        <is>
          <t>Коровина Е.А.</t>
        </is>
      </c>
      <c r="E2388" s="23" t="inlineStr">
        <is>
          <t>Взломай код своей судьбы, или Матрица исполнения желаний</t>
        </is>
      </c>
      <c r="F2388" s="23" t="inlineStr">
        <is>
          <t>        </t>
        </is>
      </c>
      <c r="G2388" s="23" t="n">
        <v>268</v>
      </c>
      <c r="H2388" s="23" t="n">
        <v>10</v>
      </c>
      <c r="I2388" s="23" t="n">
        <v>18</v>
      </c>
      <c r="J2388" s="23" t="inlineStr">
        <is>
          <t>978-5-227-10550-9</t>
        </is>
      </c>
      <c r="K2388" s="23" t="inlineStr">
        <is>
          <t>70x100 1/32</t>
        </is>
      </c>
      <c r="L2388" s="23" t="inlineStr">
        <is>
          <t>мяг</t>
        </is>
      </c>
      <c r="M2388" s="23" t="n">
        <v>320</v>
      </c>
      <c r="N2388" s="23" t="n">
        <v>2024</v>
      </c>
      <c r="O2388" s="23" t="n">
        <v>148</v>
      </c>
      <c r="P2388" s="23" t="n"/>
      <c r="Q2388" s="23" t="n"/>
      <c r="R2388" s="25" t="inlineStr">
        <is>
          <t>Новая книга Елены Коровиной о магической нумерологии — уникальное практическое руководство, которое поможет понять самого себя и окружающих, изменить жизнь к лучшему, достичь успеха и богатства, жить в радости и комфорте. Вы найдете свои личные счастливые числа, которые помогут вам в любой ситуации, вы поймете, как можно, просто работая с числами, стать управителем своей жизни, а самое главное — вы научитесь расшифровывать и вскрывать коды своей судьбы, а затем перепрограммировать их, тем самым перепрограммируя свою старую судьбу на новую — ту, которая вам необходима. Заманчиво? Тогда читайте и не откладывайте счастье на потом!</t>
        </is>
      </c>
      <c r="S2388" s="26">
        <f>HYPERLINK("http://www.cnpol.ru/covers/20951.jpg","фото на сайте")</f>
        <v/>
      </c>
    </row>
    <row r="2389" ht="50.1" customHeight="1" s="3">
      <c r="A2389" s="23" t="n"/>
      <c r="B2389" s="24" t="inlineStr">
        <is>
          <t>20716</t>
        </is>
      </c>
      <c r="C2389" s="23" t="inlineStr">
        <is>
          <t>М ПС Ф</t>
        </is>
      </c>
      <c r="D2389" s="23" t="inlineStr">
        <is>
          <t>Коровина Е.А.</t>
        </is>
      </c>
      <c r="E2389" s="23" t="inlineStr">
        <is>
          <t>Магическая нумерология, или как преодолеть любой кризис</t>
        </is>
      </c>
      <c r="F2389" s="23" t="inlineStr">
        <is>
          <t>        </t>
        </is>
      </c>
      <c r="G2389" s="23" t="n">
        <v>268</v>
      </c>
      <c r="H2389" s="23" t="n">
        <v>10</v>
      </c>
      <c r="I2389" s="23" t="n">
        <v>10</v>
      </c>
      <c r="J2389" s="23" t="inlineStr">
        <is>
          <t>978-5-227-10406-9</t>
        </is>
      </c>
      <c r="K2389" s="23" t="inlineStr">
        <is>
          <t>70x100 1/32</t>
        </is>
      </c>
      <c r="L2389" s="23" t="inlineStr">
        <is>
          <t>мяг</t>
        </is>
      </c>
      <c r="M2389" s="23" t="n">
        <v>315</v>
      </c>
      <c r="N2389" s="23" t="n">
        <v>2023</v>
      </c>
      <c r="O2389" s="23" t="n">
        <v>148</v>
      </c>
      <c r="P2389" s="23" t="n"/>
      <c r="Q2389" s="23" t="n"/>
      <c r="R2389" s="25" t="inlineStr">
        <is>
          <t>Эта книга о нумерологии и ее законах расскажет вам, как создать действующий Денежный талисман и личную Звезду защиты; как заставить денежный эгрегор работать на вас; как рассчитать свой личный звездный период, чтобы подключиться к энергии Высших сил; как перестать сомневаться и стать преуспевающим человеком. _x000D_
Вы научитесь создавать канал собственной связи со Вселенной и пользоваться защитой вашей Звезды, защищать себя от негативных факторов и воздействия окружающих, выходить победителем из любой ситуации, создавать такие условия, чтобы деньги сами текли к вам в руки.</t>
        </is>
      </c>
      <c r="S2389" s="26">
        <f>HYPERLINK("http://www.cnpol.ru/covers/20716.jpg","фото на сайте")</f>
        <v/>
      </c>
    </row>
    <row r="2390" ht="50.1" customHeight="1" s="3">
      <c r="A2390" s="23" t="n"/>
      <c r="B2390" s="24" t="inlineStr">
        <is>
          <t>20549</t>
        </is>
      </c>
      <c r="C2390" s="23" t="inlineStr">
        <is>
          <t>М ПС Ф</t>
        </is>
      </c>
      <c r="D2390" s="23" t="inlineStr">
        <is>
          <t>Коровина Е.А.</t>
        </is>
      </c>
      <c r="E2390" s="23" t="inlineStr">
        <is>
          <t>Нумерология успеха. Запусти колесо Фортуны</t>
        </is>
      </c>
      <c r="F2390" s="23" t="inlineStr">
        <is>
          <t>        </t>
        </is>
      </c>
      <c r="G2390" s="23" t="n">
        <v>268</v>
      </c>
      <c r="H2390" s="23" t="n">
        <v>10</v>
      </c>
      <c r="I2390" s="23" t="n">
        <v>20</v>
      </c>
      <c r="J2390" s="23" t="inlineStr">
        <is>
          <t>978-5-227-10234-8</t>
        </is>
      </c>
      <c r="K2390" s="23" t="inlineStr">
        <is>
          <t>70x100 1/32</t>
        </is>
      </c>
      <c r="L2390" s="23" t="inlineStr">
        <is>
          <t>мяг</t>
        </is>
      </c>
      <c r="M2390" s="23" t="n">
        <v>317</v>
      </c>
      <c r="N2390" s="23" t="n">
        <v>2023</v>
      </c>
      <c r="O2390" s="23" t="n">
        <v>148</v>
      </c>
      <c r="P2390" s="23" t="n"/>
      <c r="Q2390" s="23" t="n"/>
      <c r="R2390" s="25" t="n"/>
      <c r="S2390" s="26">
        <f>HYPERLINK("http://www.cnpol.ru/covers/20549.jpg","фото на сайте")</f>
        <v/>
      </c>
    </row>
    <row r="2391" ht="50.1" customHeight="1" s="3">
      <c r="A2391" s="23" t="inlineStr">
        <is>
          <t>Д</t>
        </is>
      </c>
      <c r="B2391" s="24" t="inlineStr">
        <is>
          <t>21341</t>
        </is>
      </c>
      <c r="C2391" s="23" t="inlineStr">
        <is>
          <t>М ПС Ф</t>
        </is>
      </c>
      <c r="D2391" s="23" t="inlineStr">
        <is>
          <t>Коровина Е.А.</t>
        </is>
      </c>
      <c r="E2391" s="23" t="inlineStr">
        <is>
          <t>Нумерология успеха. Запусти Колесо Фортуны</t>
        </is>
      </c>
      <c r="F2391" s="23" t="inlineStr">
        <is>
          <t>        </t>
        </is>
      </c>
      <c r="G2391" s="23" t="n">
        <v>284</v>
      </c>
      <c r="H2391" s="23" t="n">
        <v>10</v>
      </c>
      <c r="I2391" s="23" t="n">
        <v>20</v>
      </c>
      <c r="J2391" s="23" t="inlineStr">
        <is>
          <t>978-5-227-10234-8</t>
        </is>
      </c>
      <c r="K2391" s="23" t="inlineStr">
        <is>
          <t>70x100 1/32</t>
        </is>
      </c>
      <c r="L2391" s="23" t="inlineStr">
        <is>
          <t>мяг</t>
        </is>
      </c>
      <c r="M2391" s="23" t="n">
        <v>317</v>
      </c>
      <c r="N2391" s="23" t="n">
        <v>2024</v>
      </c>
      <c r="O2391" s="23" t="n">
        <v>148</v>
      </c>
      <c r="P2391" s="23" t="n"/>
      <c r="Q2391" s="23" t="n"/>
      <c r="R2391" s="25" t="inlineStr">
        <is>
          <t>Вы сможете с легкостью находить собственные ключи к успеху по кодам вашего дня рождения и имени, познаете собственные скрытые силы и сможете воспользоваться ими для достижения успеха, счастья, радости, но самое главное — вы научитесь строить свое личное Колесо Фортуны и запускать его в то самое время, когда захотите достичь успеха в любом деле._x000D_
Помните: числа правят миром! Просчитайте собственные власть, успех и удачу!</t>
        </is>
      </c>
      <c r="S2391" s="26">
        <f>HYPERLINK("http://www.cnpol.ru/covers/21341.jpg","фото на сайте")</f>
        <v/>
      </c>
    </row>
    <row r="2392" ht="50.1" customHeight="1" s="3">
      <c r="A2392" s="23" t="n"/>
      <c r="B2392" s="24" t="inlineStr">
        <is>
          <t>16191</t>
        </is>
      </c>
      <c r="C2392" s="23" t="inlineStr">
        <is>
          <t>М ПС Ф</t>
        </is>
      </c>
      <c r="D2392" s="23" t="inlineStr">
        <is>
          <t>Коровина Е.А.</t>
        </is>
      </c>
      <c r="E2392" s="23" t="inlineStr">
        <is>
          <t>Узнай свое будущее. Заставь Фортуну работать на себя</t>
        </is>
      </c>
      <c r="F2392" s="23" t="inlineStr">
        <is>
          <t>        </t>
        </is>
      </c>
      <c r="G2392" s="23" t="n">
        <v>268</v>
      </c>
      <c r="H2392" s="23" t="n">
        <v>10</v>
      </c>
      <c r="I2392" s="23" t="n">
        <v>20</v>
      </c>
      <c r="J2392" s="23" t="inlineStr">
        <is>
          <t>978-5-227-05872-0</t>
        </is>
      </c>
      <c r="K2392" s="23" t="inlineStr">
        <is>
          <t>70x100 1/32</t>
        </is>
      </c>
      <c r="L2392" s="23" t="inlineStr">
        <is>
          <t>мяг</t>
        </is>
      </c>
      <c r="M2392" s="23" t="n">
        <v>316</v>
      </c>
      <c r="N2392" s="23" t="n">
        <v>2015</v>
      </c>
      <c r="O2392" s="23" t="n">
        <v>152</v>
      </c>
      <c r="P2392" s="23" t="n"/>
      <c r="Q2392" s="23" t="n"/>
      <c r="R2392" s="25" t="n"/>
      <c r="S2392" s="26">
        <f>HYPERLINK("http://www.cnpol.ru/covers/16191.jpg","фото на сайте")</f>
        <v/>
      </c>
    </row>
    <row r="2393" ht="50.1" customHeight="1" s="3">
      <c r="A2393" s="23" t="n"/>
      <c r="B2393" s="24" t="inlineStr">
        <is>
          <t>20757</t>
        </is>
      </c>
      <c r="C2393" s="23" t="inlineStr">
        <is>
          <t>М ПС Ф</t>
        </is>
      </c>
      <c r="D2393" s="23" t="inlineStr">
        <is>
          <t>Коровина Е.А.</t>
        </is>
      </c>
      <c r="E2393" s="23" t="inlineStr">
        <is>
          <t>Узнай свое будущее. Заставь Фортуну работать на себя</t>
        </is>
      </c>
      <c r="F2393" s="23" t="inlineStr">
        <is>
          <t>        </t>
        </is>
      </c>
      <c r="G2393" s="23" t="n">
        <v>268</v>
      </c>
      <c r="H2393" s="23" t="n">
        <v>10</v>
      </c>
      <c r="I2393" s="23" t="n">
        <v>8</v>
      </c>
      <c r="J2393" s="23" t="inlineStr">
        <is>
          <t>978-5-227-09730-9</t>
        </is>
      </c>
      <c r="K2393" s="23" t="inlineStr">
        <is>
          <t>70x100 1/32</t>
        </is>
      </c>
      <c r="L2393" s="23" t="inlineStr">
        <is>
          <t>мяг</t>
        </is>
      </c>
      <c r="M2393" s="23" t="n">
        <v>320</v>
      </c>
      <c r="N2393" s="23" t="n">
        <v>2023</v>
      </c>
      <c r="O2393" s="23" t="n">
        <v>152</v>
      </c>
      <c r="P2393" s="23" t="n"/>
      <c r="Q2393" s="23" t="n"/>
      <c r="R2393" s="25" t="inlineStr">
        <is>
          <t>Книга Елены Коровиной — уникальное пособие по управлению пространством и временем с помощью чисел. Прочитав ее, вы узна­ете, как собрать бонусы, уготованные вам Судьбой, достичь поставленных целей и реализовать скрытые способности. Вы сможете заставить ­время работать на себя, сделать его надежным союзником на пути к Успеху._x000D_
Книга предназначена для всех, кто хочет увеличить потенциал своей жизненной энергии и выстроить собственную жизнь так, чтобы достичь внутренней и внешней гармонии.</t>
        </is>
      </c>
      <c r="S2393" s="26">
        <f>HYPERLINK("http://www.cnpol.ru/covers/20757.jpg","фото на сайте")</f>
        <v/>
      </c>
    </row>
    <row r="2394" ht="50.1" customHeight="1" s="3">
      <c r="A2394" s="23" t="n"/>
      <c r="B2394" s="24" t="inlineStr">
        <is>
          <t>8766</t>
        </is>
      </c>
      <c r="C2394" s="23" t="inlineStr">
        <is>
          <t>М РИ+</t>
        </is>
      </c>
      <c r="D2394" s="23" t="inlineStr">
        <is>
          <t>Лукьянова Н.</t>
        </is>
      </c>
      <c r="E2394" s="23" t="inlineStr">
        <is>
          <t>Исключение из правил</t>
        </is>
      </c>
      <c r="F2394" s="23" t="inlineStr">
        <is>
          <t>        </t>
        </is>
      </c>
      <c r="G2394" s="23" t="n">
        <v>168</v>
      </c>
      <c r="H2394" s="23" t="n">
        <v>10</v>
      </c>
      <c r="I2394" s="23" t="n">
        <v>28</v>
      </c>
      <c r="J2394" s="23" t="inlineStr">
        <is>
          <t>978-5-9524-3050-1</t>
        </is>
      </c>
      <c r="K2394" s="23" t="inlineStr">
        <is>
          <t>70x90 1/32</t>
        </is>
      </c>
      <c r="L2394" s="23" t="inlineStr">
        <is>
          <t>мяг</t>
        </is>
      </c>
      <c r="M2394" s="23" t="inlineStr">
        <is>
          <t>    </t>
        </is>
      </c>
      <c r="N2394" s="23" t="inlineStr">
        <is>
          <t>    </t>
        </is>
      </c>
      <c r="O2394" s="23" t="n">
        <v>126</v>
      </c>
      <c r="P2394" s="23" t="n"/>
      <c r="Q2394" s="23" t="n"/>
      <c r="R2394" s="25" t="n"/>
      <c r="S2394" s="26">
        <f>HYPERLINK("http://www.cnpol.ru/covers/8766.jpg","фото на сайте")</f>
        <v/>
      </c>
    </row>
    <row r="2395" ht="50.1" customHeight="1" s="3">
      <c r="A2395" s="23" t="n"/>
      <c r="B2395" s="24" t="inlineStr">
        <is>
          <t>72</t>
        </is>
      </c>
      <c r="C2395" s="23" t="inlineStr">
        <is>
          <t>М РИ+</t>
        </is>
      </c>
      <c r="D2395" s="23" t="inlineStr">
        <is>
          <t>Лукьянова Н.</t>
        </is>
      </c>
      <c r="E2395" s="23" t="inlineStr">
        <is>
          <t>На краю печальных истин</t>
        </is>
      </c>
      <c r="F2395" s="23" t="inlineStr">
        <is>
          <t>        </t>
        </is>
      </c>
      <c r="G2395" s="23" t="n">
        <v>168</v>
      </c>
      <c r="H2395" s="23" t="n">
        <v>10</v>
      </c>
      <c r="I2395" s="23" t="n">
        <v>28</v>
      </c>
      <c r="J2395" s="23" t="inlineStr">
        <is>
          <t>978-5-9524-3138-6</t>
        </is>
      </c>
      <c r="K2395" s="23" t="inlineStr">
        <is>
          <t>70x90 1/32</t>
        </is>
      </c>
      <c r="L2395" s="23" t="inlineStr">
        <is>
          <t>мяг</t>
        </is>
      </c>
      <c r="M2395" s="23" t="n">
        <v>270</v>
      </c>
      <c r="N2395" s="23" t="n">
        <v>2008</v>
      </c>
      <c r="O2395" s="23" t="n">
        <v>114</v>
      </c>
      <c r="P2395" s="23" t="n"/>
      <c r="Q2395" s="23" t="n"/>
      <c r="R2395" s="25" t="n"/>
      <c r="S2395" s="26">
        <f>HYPERLINK("http://www.cnpol.ru/covers/72.jpg","фото на сайте")</f>
        <v/>
      </c>
    </row>
    <row r="2396" ht="50.1" customHeight="1" s="3">
      <c r="A2396" s="23" t="n"/>
      <c r="B2396" s="24" t="inlineStr">
        <is>
          <t>7459</t>
        </is>
      </c>
      <c r="C2396" s="23" t="inlineStr">
        <is>
          <t>М РИ+</t>
        </is>
      </c>
      <c r="D2396" s="23" t="inlineStr">
        <is>
          <t>Гайворонская Е.</t>
        </is>
      </c>
      <c r="E2396" s="23" t="inlineStr">
        <is>
          <t>Пепел звезд</t>
        </is>
      </c>
      <c r="F2396" s="23" t="inlineStr">
        <is>
          <t>        </t>
        </is>
      </c>
      <c r="G2396" s="23" t="n">
        <v>168</v>
      </c>
      <c r="H2396" s="23" t="n">
        <v>10</v>
      </c>
      <c r="I2396" s="23" t="n">
        <v>24</v>
      </c>
      <c r="J2396" s="23" t="inlineStr">
        <is>
          <t>5-9524-2480-5</t>
        </is>
      </c>
      <c r="K2396" s="23" t="inlineStr">
        <is>
          <t>84x108 1/32 (обл)</t>
        </is>
      </c>
      <c r="L2396" s="23" t="inlineStr">
        <is>
          <t>мяг</t>
        </is>
      </c>
      <c r="M2396" s="23" t="n">
        <v>382</v>
      </c>
      <c r="N2396" s="23" t="n">
        <v>2007</v>
      </c>
      <c r="O2396" s="23" t="n">
        <v>160</v>
      </c>
      <c r="P2396" s="23" t="n"/>
      <c r="Q2396" s="23" t="n"/>
      <c r="R2396" s="25" t="n"/>
      <c r="S2396" s="26">
        <f>HYPERLINK("http://www.cnpol.ru/covers/7459.jpg","фото на сайте")</f>
        <v/>
      </c>
    </row>
    <row r="2397" ht="50.1" customHeight="1" s="3">
      <c r="A2397" s="23" t="n"/>
      <c r="B2397" s="24" t="inlineStr">
        <is>
          <t>12706</t>
        </is>
      </c>
      <c r="C2397" s="23" t="inlineStr">
        <is>
          <t>М РМБ</t>
        </is>
      </c>
      <c r="D2397" s="23" t="inlineStr">
        <is>
          <t>Паркс А.</t>
        </is>
      </c>
      <c r="E2397" s="23" t="inlineStr">
        <is>
          <t>Мужей много не бывает</t>
        </is>
      </c>
      <c r="F2397" s="23" t="inlineStr">
        <is>
          <t>        </t>
        </is>
      </c>
      <c r="G2397" s="23" t="n">
        <v>266</v>
      </c>
      <c r="H2397" s="23" t="n">
        <v>10</v>
      </c>
      <c r="I2397" s="23" t="n">
        <v>24</v>
      </c>
      <c r="J2397" s="23" t="inlineStr">
        <is>
          <t>978-5-227-02813-6</t>
        </is>
      </c>
      <c r="K2397" s="23" t="inlineStr">
        <is>
          <t>70x100 1/32</t>
        </is>
      </c>
      <c r="L2397" s="23" t="inlineStr">
        <is>
          <t>мяг</t>
        </is>
      </c>
      <c r="M2397" s="23" t="n">
        <v>382</v>
      </c>
      <c r="N2397" s="23" t="n">
        <v>2011</v>
      </c>
      <c r="O2397" s="23" t="n">
        <v>176</v>
      </c>
      <c r="P2397" s="23" t="n"/>
      <c r="Q2397" s="23" t="n"/>
      <c r="R2397" s="25" t="n"/>
      <c r="S2397" s="26">
        <f>HYPERLINK("http://www.cnpol.ru/covers/12706.jpg","фото на сайте")</f>
        <v/>
      </c>
    </row>
    <row r="2398" ht="50.1" customHeight="1" s="3">
      <c r="A2398" s="23" t="n"/>
      <c r="B2398" s="24" t="inlineStr">
        <is>
          <t>12056</t>
        </is>
      </c>
      <c r="C2398" s="23" t="inlineStr">
        <is>
          <t>М РМБ</t>
        </is>
      </c>
      <c r="D2398" s="23" t="inlineStr">
        <is>
          <t>Фэллон Д.</t>
        </is>
      </c>
      <c r="E2398" s="23" t="inlineStr">
        <is>
          <t>Ты свободен, милый!</t>
        </is>
      </c>
      <c r="F2398" s="23" t="inlineStr">
        <is>
          <t>        </t>
        </is>
      </c>
      <c r="G2398" s="23" t="n">
        <v>266</v>
      </c>
      <c r="H2398" s="23" t="n">
        <v>10</v>
      </c>
      <c r="I2398" s="23" t="n">
        <v>20</v>
      </c>
      <c r="J2398" s="23" t="inlineStr">
        <is>
          <t>978-5-227-02248-6</t>
        </is>
      </c>
      <c r="K2398" s="23" t="inlineStr">
        <is>
          <t>70x100 1/32</t>
        </is>
      </c>
      <c r="L2398" s="23" t="inlineStr">
        <is>
          <t>мяг</t>
        </is>
      </c>
      <c r="M2398" s="23" t="n">
        <v>382</v>
      </c>
      <c r="N2398" s="23" t="n">
        <v>2010</v>
      </c>
      <c r="O2398" s="23" t="n">
        <v>174</v>
      </c>
      <c r="P2398" s="23" t="n"/>
      <c r="Q2398" s="23" t="n"/>
      <c r="R2398" s="25" t="n"/>
      <c r="S2398" s="26">
        <f>HYPERLINK("http://www.cnpol.ru/covers/12056.jpg","фото на сайте")</f>
        <v/>
      </c>
    </row>
    <row r="2399" ht="50.1" customHeight="1" s="3">
      <c r="A2399" s="23" t="n"/>
      <c r="B2399" s="24" t="inlineStr">
        <is>
          <t>15283</t>
        </is>
      </c>
      <c r="C2399" s="23" t="inlineStr">
        <is>
          <t>М РОБЕРТС</t>
        </is>
      </c>
      <c r="D2399" s="23" t="inlineStr">
        <is>
          <t>Робертс Н.</t>
        </is>
      </c>
      <c r="E2399" s="23" t="inlineStr">
        <is>
          <t>Ангел Габриеля</t>
        </is>
      </c>
      <c r="F2399" s="23" t="inlineStr">
        <is>
          <t>        </t>
        </is>
      </c>
      <c r="G2399" s="23" t="n">
        <v>213</v>
      </c>
      <c r="H2399" s="23" t="n">
        <v>10</v>
      </c>
      <c r="I2399" s="23" t="n">
        <v>20</v>
      </c>
      <c r="J2399" s="23" t="inlineStr">
        <is>
          <t>978-5-227-05032-8</t>
        </is>
      </c>
      <c r="K2399" s="23" t="inlineStr">
        <is>
          <t>70x100 1/32</t>
        </is>
      </c>
      <c r="L2399" s="23" t="inlineStr">
        <is>
          <t>мяг</t>
        </is>
      </c>
      <c r="M2399" s="23" t="n">
        <v>315</v>
      </c>
      <c r="N2399" s="23" t="n">
        <v>2014</v>
      </c>
      <c r="O2399" s="23" t="n">
        <v>150</v>
      </c>
      <c r="P2399" s="23" t="n"/>
      <c r="Q2399" s="23" t="n"/>
      <c r="R2399" s="25" t="inlineStr">
        <is>
          <t>Лора, не так давно потерявшая мужа, вот-вот родит. Скрываясь от свекра и свекрови, которые хотят получить опеку над ее ребенком, она попадает в аварию на заброшенной дороге в Колорадо. Если бы не Габриель Брэдли - водитель встречной машины, - участь ее была бы плачевной. Габриель - живописец. Он ищет вдохновение вдалеке от цивилизации и людей. Предоставив кров нежданной гостье, он лишается привычного одиночества. Вынужденное соседство грозит разрушить его творческие планы. Но недовольство его мимолетно, потому что Лора - ангел красоты, которая не может не вдохновлять истинного художника...</t>
        </is>
      </c>
      <c r="S2399" s="26">
        <f>HYPERLINK("http://www.cnpol.ru/covers/15283.jpg","фото на сайте")</f>
        <v/>
      </c>
    </row>
    <row r="2400" ht="50.1" customHeight="1" s="3">
      <c r="A2400" s="23" t="n"/>
      <c r="B2400" s="24" t="inlineStr">
        <is>
          <t>12809</t>
        </is>
      </c>
      <c r="C2400" s="23" t="inlineStr">
        <is>
          <t>М РОБЕРТС</t>
        </is>
      </c>
      <c r="D2400" s="23" t="inlineStr">
        <is>
          <t>Робертс Н.</t>
        </is>
      </c>
      <c r="E2400" s="23" t="inlineStr">
        <is>
          <t>Время не властно</t>
        </is>
      </c>
      <c r="F2400" s="23" t="inlineStr">
        <is>
          <t>        </t>
        </is>
      </c>
      <c r="G2400" s="23" t="n">
        <v>203</v>
      </c>
      <c r="H2400" s="23" t="n">
        <v>10</v>
      </c>
      <c r="I2400" s="23" t="n">
        <v>28</v>
      </c>
      <c r="J2400" s="23" t="inlineStr">
        <is>
          <t>978-5-227-02951-5</t>
        </is>
      </c>
      <c r="K2400" s="23" t="inlineStr">
        <is>
          <t>70x100 1/32</t>
        </is>
      </c>
      <c r="L2400" s="23" t="inlineStr">
        <is>
          <t>мяг</t>
        </is>
      </c>
      <c r="M2400" s="23" t="n">
        <v>347</v>
      </c>
      <c r="N2400" s="23" t="n">
        <v>2011</v>
      </c>
      <c r="O2400" s="23" t="n">
        <v>166</v>
      </c>
      <c r="P2400" s="23" t="n"/>
      <c r="Q2400" s="23" t="n"/>
      <c r="R2400" s="25" t="inlineStr">
        <is>
          <t>Циничный Джейкоб Хорнблауэр отправился в прошлое следом за братом Калебом. Он хочет вернуть его домой, в будущее. Но встреча с необыкновенной девушкой, импульсивной и страстной Санни Стоун, меняет его планы. Способен ли мужчина, который не верит в любовь, понять, что страсть побеждает время?</t>
        </is>
      </c>
      <c r="S2400" s="26">
        <f>HYPERLINK("http://www.cnpol.ru/covers/12809.jpg","фото на сайте")</f>
        <v/>
      </c>
    </row>
    <row r="2401" ht="50.1" customHeight="1" s="3">
      <c r="A2401" s="23" t="n"/>
      <c r="B2401" s="24" t="inlineStr">
        <is>
          <t>13012</t>
        </is>
      </c>
      <c r="C2401" s="23" t="inlineStr">
        <is>
          <t>М РОБЕРТС</t>
        </is>
      </c>
      <c r="D2401" s="23" t="inlineStr">
        <is>
          <t>Робертс Н.</t>
        </is>
      </c>
      <c r="E2401" s="23" t="inlineStr">
        <is>
          <t>Время не властно</t>
        </is>
      </c>
      <c r="F2401" s="23" t="inlineStr">
        <is>
          <t>        </t>
        </is>
      </c>
      <c r="G2401" s="23" t="n">
        <v>150</v>
      </c>
      <c r="H2401" s="23" t="n">
        <v>10</v>
      </c>
      <c r="I2401" s="23" t="n">
        <v>28</v>
      </c>
      <c r="J2401" s="23" t="inlineStr">
        <is>
          <t>978-5-227-02951-5</t>
        </is>
      </c>
      <c r="K2401" s="23" t="inlineStr">
        <is>
          <t>70x100 1/32</t>
        </is>
      </c>
      <c r="L2401" s="23" t="inlineStr">
        <is>
          <t>мяг</t>
        </is>
      </c>
      <c r="M2401" s="23" t="n">
        <v>315</v>
      </c>
      <c r="N2401" s="23" t="n">
        <v>2011</v>
      </c>
      <c r="O2401" s="23" t="n">
        <v>166</v>
      </c>
      <c r="P2401" s="23" t="n"/>
      <c r="Q2401" s="23" t="n"/>
      <c r="R2401" s="25" t="inlineStr">
        <is>
          <t>Циничный Джейкоб Хорнблауэр отправился в прошлое следом за братом Калебом. Он хочет вернуть его домой, в будущее. Но встреча с необыкновенной девушкой, импульсивной и страстной Санни Стоун, меняет его планы. Способен ли мужчина, который не верит в любовь, понять, что страсть побеждает время?</t>
        </is>
      </c>
      <c r="S2401" s="26">
        <f>HYPERLINK("http://www.cnpol.ru/covers/13012.jpg","фото на сайте")</f>
        <v/>
      </c>
    </row>
    <row r="2402" ht="50.1" customHeight="1" s="3">
      <c r="A2402" s="23" t="n"/>
      <c r="B2402" s="24" t="inlineStr">
        <is>
          <t>15128</t>
        </is>
      </c>
      <c r="C2402" s="23" t="inlineStr">
        <is>
          <t>М РОБЕРТС</t>
        </is>
      </c>
      <c r="D2402" s="23" t="inlineStr">
        <is>
          <t>Робертс Н.</t>
        </is>
      </c>
      <c r="E2402" s="23" t="inlineStr">
        <is>
          <t>Время не властно</t>
        </is>
      </c>
      <c r="F2402" s="23" t="inlineStr">
        <is>
          <t>        </t>
        </is>
      </c>
      <c r="G2402" s="23" t="n">
        <v>203</v>
      </c>
      <c r="H2402" s="23" t="n">
        <v>10</v>
      </c>
      <c r="I2402" s="23" t="n">
        <v>40</v>
      </c>
      <c r="J2402" s="23" t="inlineStr">
        <is>
          <t>978-5-227-05208-7</t>
        </is>
      </c>
      <c r="K2402" s="23" t="inlineStr">
        <is>
          <t>70x100 1/32</t>
        </is>
      </c>
      <c r="L2402" s="23" t="inlineStr">
        <is>
          <t>мяг</t>
        </is>
      </c>
      <c r="M2402" s="23" t="n">
        <v>347</v>
      </c>
      <c r="N2402" s="23" t="n">
        <v>2014</v>
      </c>
      <c r="O2402" s="23" t="n">
        <v>164</v>
      </c>
      <c r="P2402" s="23" t="n"/>
      <c r="Q2402" s="23" t="n"/>
      <c r="R2402" s="25" t="inlineStr">
        <is>
          <t>Циничный Джейкоб Хорнблауэр отправился в прошлое следом за братом Калебом. Он хочет вернуть его домой, в будущее. Но встреча с необыкновенной девушкой, импульсивной и страстной Санни Стоун, меняет его планы. Способен ли мужчина, который не верит в любовь, понять, что страсть побеждает время?</t>
        </is>
      </c>
      <c r="S2402" s="26">
        <f>HYPERLINK("http://www.cnpol.ru/covers/15128.jpg","фото на сайте")</f>
        <v/>
      </c>
    </row>
    <row r="2403" ht="50.1" customHeight="1" s="3">
      <c r="A2403" s="23" t="n"/>
      <c r="B2403" s="24" t="inlineStr">
        <is>
          <t>14944</t>
        </is>
      </c>
      <c r="C2403" s="23" t="inlineStr">
        <is>
          <t>М РОБЕРТС</t>
        </is>
      </c>
      <c r="D2403" s="23" t="inlineStr">
        <is>
          <t>Робертс Н.</t>
        </is>
      </c>
      <c r="E2403" s="23" t="inlineStr">
        <is>
          <t>Завороженные. Дар Донованов</t>
        </is>
      </c>
      <c r="F2403" s="23" t="inlineStr">
        <is>
          <t>        </t>
        </is>
      </c>
      <c r="G2403" s="23" t="n">
        <v>203</v>
      </c>
      <c r="H2403" s="23" t="n">
        <v>10</v>
      </c>
      <c r="I2403" s="23" t="n">
        <v>32</v>
      </c>
      <c r="J2403" s="23" t="inlineStr">
        <is>
          <t>978-5-227-04884-4</t>
        </is>
      </c>
      <c r="K2403" s="23" t="inlineStr">
        <is>
          <t>70x100 1/32</t>
        </is>
      </c>
      <c r="L2403" s="23" t="inlineStr">
        <is>
          <t>мяг</t>
        </is>
      </c>
      <c r="M2403" s="23" t="n">
        <v>283</v>
      </c>
      <c r="N2403" s="23" t="n">
        <v>2014</v>
      </c>
      <c r="O2403" s="23" t="n">
        <v>134</v>
      </c>
      <c r="P2403" s="23" t="n"/>
      <c r="Q2403" s="23" t="n"/>
      <c r="R2403" s="25" t="inlineStr">
        <is>
          <t>Закончив поиски серийного убийцы в Чикаго, ясновидящий Себастьян Донован рассчитывает в спокойной обстановке восстановить свои силы. Однако, когда в городе похищают младенца, он не остается в стороне. Но только ли искреннее желание помочь несчастным родителям ребенка толкает его на расследование? Нет ли здесь затаенной потребности доказать златокудрой красавице Мэл Сазерленд, ведущей дело, что без его помощи она не справится?..</t>
        </is>
      </c>
      <c r="S2403" s="26">
        <f>HYPERLINK("http://www.cnpol.ru/covers/14944.jpg","фото на сайте")</f>
        <v/>
      </c>
    </row>
    <row r="2404" ht="50.1" customHeight="1" s="3">
      <c r="A2404" s="23" t="n"/>
      <c r="B2404" s="24" t="inlineStr">
        <is>
          <t>14941</t>
        </is>
      </c>
      <c r="C2404" s="23" t="inlineStr">
        <is>
          <t>М РОБЕРТС</t>
        </is>
      </c>
      <c r="D2404" s="23" t="inlineStr">
        <is>
          <t>Робертс Н.</t>
        </is>
      </c>
      <c r="E2404" s="23" t="inlineStr">
        <is>
          <t>Мятеж</t>
        </is>
      </c>
      <c r="F2404" s="23" t="inlineStr">
        <is>
          <t>        </t>
        </is>
      </c>
      <c r="G2404" s="23" t="n">
        <v>203</v>
      </c>
      <c r="H2404" s="23" t="n">
        <v>10</v>
      </c>
      <c r="I2404" s="23" t="n">
        <v>32</v>
      </c>
      <c r="J2404" s="23" t="inlineStr">
        <is>
          <t>978-5-227-04886-8</t>
        </is>
      </c>
      <c r="K2404" s="23" t="inlineStr">
        <is>
          <t>70x100 1/32</t>
        </is>
      </c>
      <c r="L2404" s="23" t="inlineStr">
        <is>
          <t>мяг</t>
        </is>
      </c>
      <c r="M2404" s="23" t="n">
        <v>346</v>
      </c>
      <c r="N2404" s="23" t="n">
        <v>2014</v>
      </c>
      <c r="O2404" s="23" t="n">
        <v>166</v>
      </c>
      <c r="P2404" s="23" t="n"/>
      <c r="Q2404" s="23" t="n"/>
      <c r="R2404" s="25" t="n"/>
      <c r="S2404" s="26">
        <f>HYPERLINK("http://www.cnpol.ru/covers/14941.jpg","фото на сайте")</f>
        <v/>
      </c>
    </row>
    <row r="2405" ht="50.1" customHeight="1" s="3">
      <c r="A2405" s="23" t="n"/>
      <c r="B2405" s="24" t="inlineStr">
        <is>
          <t>12799</t>
        </is>
      </c>
      <c r="C2405" s="23" t="inlineStr">
        <is>
          <t>М РОБЕРТС</t>
        </is>
      </c>
      <c r="D2405" s="23" t="inlineStr">
        <is>
          <t>Робертс Н.</t>
        </is>
      </c>
      <c r="E2405" s="23" t="inlineStr">
        <is>
          <t>Обманутое время</t>
        </is>
      </c>
      <c r="F2405" s="23" t="inlineStr">
        <is>
          <t>        </t>
        </is>
      </c>
      <c r="G2405" s="23" t="n">
        <v>203</v>
      </c>
      <c r="H2405" s="23" t="n">
        <v>10</v>
      </c>
      <c r="I2405" s="23" t="n">
        <v>28</v>
      </c>
      <c r="J2405" s="23" t="inlineStr">
        <is>
          <t>978-5-227-02960-7</t>
        </is>
      </c>
      <c r="K2405" s="23" t="inlineStr">
        <is>
          <t>70x100 1/32</t>
        </is>
      </c>
      <c r="L2405" s="23" t="inlineStr">
        <is>
          <t>мяг</t>
        </is>
      </c>
      <c r="M2405" s="23" t="n">
        <v>347</v>
      </c>
      <c r="N2405" s="23" t="n">
        <v>2011</v>
      </c>
      <c r="O2405" s="23" t="n">
        <v>168</v>
      </c>
      <c r="P2405" s="23" t="n"/>
      <c r="Q2405" s="23" t="n"/>
      <c r="R2405" s="25" t="n"/>
      <c r="S2405" s="26">
        <f>HYPERLINK("http://www.cnpol.ru/covers/12799.jpg","фото на сайте")</f>
        <v/>
      </c>
    </row>
    <row r="2406" ht="50.1" customHeight="1" s="3">
      <c r="A2406" s="23" t="n"/>
      <c r="B2406" s="24" t="inlineStr">
        <is>
          <t>12987</t>
        </is>
      </c>
      <c r="C2406" s="23" t="inlineStr">
        <is>
          <t>М РОБЕРТС</t>
        </is>
      </c>
      <c r="D2406" s="23" t="inlineStr">
        <is>
          <t>Робертс Н.</t>
        </is>
      </c>
      <c r="E2406" s="23" t="inlineStr">
        <is>
          <t>Обманутое время</t>
        </is>
      </c>
      <c r="F2406" s="23" t="inlineStr">
        <is>
          <t>        </t>
        </is>
      </c>
      <c r="G2406" s="23" t="n">
        <v>203</v>
      </c>
      <c r="H2406" s="23" t="n">
        <v>10</v>
      </c>
      <c r="I2406" s="23" t="n">
        <v>28</v>
      </c>
      <c r="J2406" s="23" t="inlineStr">
        <is>
          <t>978-5-227-02960-7</t>
        </is>
      </c>
      <c r="K2406" s="23" t="inlineStr">
        <is>
          <t>70x100 1/32</t>
        </is>
      </c>
      <c r="L2406" s="23" t="inlineStr">
        <is>
          <t>мяг</t>
        </is>
      </c>
      <c r="M2406" s="23" t="n">
        <v>347</v>
      </c>
      <c r="N2406" s="23" t="n">
        <v>2011</v>
      </c>
      <c r="O2406" s="23" t="n">
        <v>170</v>
      </c>
      <c r="P2406" s="23" t="n"/>
      <c r="Q2406" s="23" t="n"/>
      <c r="R2406" s="25" t="n"/>
      <c r="S2406" s="26">
        <f>HYPERLINK("http://www.cnpol.ru/covers/12987.jpg","фото на сайте")</f>
        <v/>
      </c>
    </row>
    <row r="2407" ht="50.1" customHeight="1" s="3">
      <c r="A2407" s="23" t="n"/>
      <c r="B2407" s="24" t="inlineStr">
        <is>
          <t>15164</t>
        </is>
      </c>
      <c r="C2407" s="23" t="inlineStr">
        <is>
          <t>М РОБЕРТС</t>
        </is>
      </c>
      <c r="D2407" s="23" t="inlineStr">
        <is>
          <t>Робертс Н.</t>
        </is>
      </c>
      <c r="E2407" s="23" t="inlineStr">
        <is>
          <t>Обманутое время</t>
        </is>
      </c>
      <c r="F2407" s="23" t="inlineStr">
        <is>
          <t>        </t>
        </is>
      </c>
      <c r="G2407" s="23" t="n">
        <v>150</v>
      </c>
      <c r="H2407" s="23" t="n">
        <v>10</v>
      </c>
      <c r="I2407" s="23" t="n">
        <v>40</v>
      </c>
      <c r="J2407" s="23" t="inlineStr">
        <is>
          <t>978-5-227-05031-1</t>
        </is>
      </c>
      <c r="K2407" s="23" t="inlineStr">
        <is>
          <t>75x100 1/32</t>
        </is>
      </c>
      <c r="L2407" s="23" t="inlineStr">
        <is>
          <t>мяг</t>
        </is>
      </c>
      <c r="M2407" s="23" t="n">
        <v>347</v>
      </c>
      <c r="N2407" s="23" t="n">
        <v>2014</v>
      </c>
      <c r="O2407" s="23" t="n">
        <v>162</v>
      </c>
      <c r="P2407" s="23" t="n"/>
      <c r="Q2407" s="23" t="n"/>
      <c r="R2407" s="25" t="n"/>
      <c r="S2407" s="26">
        <f>HYPERLINK("http://www.cnpol.ru/covers/15164.jpg","фото на сайте")</f>
        <v/>
      </c>
    </row>
    <row r="2408" ht="50.1" customHeight="1" s="3">
      <c r="A2408" s="23" t="n"/>
      <c r="B2408" s="24" t="inlineStr">
        <is>
          <t>15282</t>
        </is>
      </c>
      <c r="C2408" s="23" t="inlineStr">
        <is>
          <t>М РОБЕРТС</t>
        </is>
      </c>
      <c r="D2408" s="23" t="inlineStr">
        <is>
          <t>Робертс Н.</t>
        </is>
      </c>
      <c r="E2408" s="23" t="inlineStr">
        <is>
          <t>Плененные. Дар Донованов</t>
        </is>
      </c>
      <c r="F2408" s="23" t="inlineStr">
        <is>
          <t>        </t>
        </is>
      </c>
      <c r="G2408" s="23" t="n">
        <v>203</v>
      </c>
      <c r="H2408" s="23" t="n">
        <v>10</v>
      </c>
      <c r="I2408" s="23" t="n">
        <v>20</v>
      </c>
      <c r="J2408" s="23" t="inlineStr">
        <is>
          <t>978-5-227-05029-8</t>
        </is>
      </c>
      <c r="K2408" s="23" t="inlineStr">
        <is>
          <t>70x100 1/32</t>
        </is>
      </c>
      <c r="L2408" s="23" t="inlineStr">
        <is>
          <t>мяг</t>
        </is>
      </c>
      <c r="M2408" s="23" t="n">
        <v>315</v>
      </c>
      <c r="N2408" s="23" t="n">
        <v>2014</v>
      </c>
      <c r="O2408" s="23" t="n">
        <v>148</v>
      </c>
      <c r="P2408" s="23" t="n"/>
      <c r="Q2408" s="23" t="n"/>
      <c r="R2408" s="25" t="n"/>
      <c r="S2408" s="26">
        <f>HYPERLINK("http://www.cnpol.ru/covers/15282.jpg","фото на сайте")</f>
        <v/>
      </c>
    </row>
    <row r="2409" ht="50.1" customHeight="1" s="3">
      <c r="A2409" s="23" t="n"/>
      <c r="B2409" s="24" t="inlineStr">
        <is>
          <t>14834</t>
        </is>
      </c>
      <c r="C2409" s="23" t="inlineStr">
        <is>
          <t>М РОБЕРТС</t>
        </is>
      </c>
      <c r="D2409" s="23" t="inlineStr">
        <is>
          <t>Робертс Н.</t>
        </is>
      </c>
      <c r="E2409" s="23" t="inlineStr">
        <is>
          <t>Удивительная женщина</t>
        </is>
      </c>
      <c r="F2409" s="23" t="inlineStr">
        <is>
          <t>        </t>
        </is>
      </c>
      <c r="G2409" s="23" t="n">
        <v>203</v>
      </c>
      <c r="H2409" s="23" t="n">
        <v>10</v>
      </c>
      <c r="I2409" s="23" t="n">
        <v>32</v>
      </c>
      <c r="J2409" s="23" t="inlineStr">
        <is>
          <t>978-5-227-04743-4</t>
        </is>
      </c>
      <c r="K2409" s="23" t="inlineStr">
        <is>
          <t>70x100 1/32</t>
        </is>
      </c>
      <c r="L2409" s="23" t="inlineStr">
        <is>
          <t>мяг</t>
        </is>
      </c>
      <c r="M2409" s="23" t="n">
        <v>282</v>
      </c>
      <c r="N2409" s="23" t="n">
        <v>2014</v>
      </c>
      <c r="O2409" s="23" t="n">
        <v>136</v>
      </c>
      <c r="P2409" s="23" t="n"/>
      <c r="Q2409" s="23" t="n"/>
      <c r="R2409" s="25" t="n"/>
      <c r="S2409" s="26">
        <f>HYPERLINK("http://www.cnpol.ru/covers/14834.jpg","фото на сайте")</f>
        <v/>
      </c>
    </row>
    <row r="2410" ht="50.1" customHeight="1" s="3">
      <c r="A2410" s="23" t="n"/>
      <c r="B2410" s="24" t="inlineStr">
        <is>
          <t>17353</t>
        </is>
      </c>
      <c r="C2410" s="23" t="inlineStr">
        <is>
          <t>М РОБЕРТС НОВ</t>
        </is>
      </c>
      <c r="D2410" s="23" t="inlineStr">
        <is>
          <t>Робертс Н.</t>
        </is>
      </c>
      <c r="E2410" s="23" t="inlineStr">
        <is>
          <t>Ангел Габриеля</t>
        </is>
      </c>
      <c r="F2410" s="23" t="inlineStr">
        <is>
          <t>        </t>
        </is>
      </c>
      <c r="G2410" s="23" t="n">
        <v>248</v>
      </c>
      <c r="H2410" s="23" t="n">
        <v>10</v>
      </c>
      <c r="I2410" s="23" t="n">
        <v>20</v>
      </c>
      <c r="J2410" s="23" t="inlineStr">
        <is>
          <t>978-5-227-07240-5</t>
        </is>
      </c>
      <c r="K2410" s="23" t="inlineStr">
        <is>
          <t>70x100 1/32</t>
        </is>
      </c>
      <c r="L2410" s="23" t="inlineStr">
        <is>
          <t>мяг</t>
        </is>
      </c>
      <c r="M2410" s="23" t="n">
        <v>320</v>
      </c>
      <c r="N2410" s="23" t="n">
        <v>2017</v>
      </c>
      <c r="O2410" s="23" t="n">
        <v>148</v>
      </c>
      <c r="P2410" s="23" t="n"/>
      <c r="Q2410" s="23" t="n"/>
      <c r="R2410" s="25" t="inlineStr">
        <is>
          <t>Лора, не так давно потерявшая мужа, вот-вот родит. Скрываясь от свекра и свекрови, которые хотят получить опеку над ее ребенком, она попадает в аварию на заброшенной дороге в Колорадо. Если бы не Габриель Брэдли - водитель встречной машины, - участь ее была бы плачевной. Габриель - живописец. Он ищет вдохновение вдалеке от цивилизации и людей. Предоставив кров нежданной гостье, он лишается привычного одиночества. Вынужденное соседство грозит разрушить его творческие планы. Но недовольство его мимолетно, потому что Лора - ангел красоты, которая не может не вдохновлять истинного художника...</t>
        </is>
      </c>
      <c r="S2410" s="26">
        <f>HYPERLINK("http://www.cnpol.ru/covers/17353.jpg","фото на сайте")</f>
        <v/>
      </c>
    </row>
    <row r="2411" ht="50.1" customHeight="1" s="3">
      <c r="A2411" s="23" t="n"/>
      <c r="B2411" s="24" t="inlineStr">
        <is>
          <t>18257</t>
        </is>
      </c>
      <c r="C2411" s="23" t="inlineStr">
        <is>
          <t>М РОБЕРТС НОВ</t>
        </is>
      </c>
      <c r="D2411" s="23" t="inlineStr">
        <is>
          <t>Робертс Н.</t>
        </is>
      </c>
      <c r="E2411" s="23" t="inlineStr">
        <is>
          <t>Белладонна</t>
        </is>
      </c>
      <c r="F2411" s="23" t="inlineStr">
        <is>
          <t>        </t>
        </is>
      </c>
      <c r="G2411" s="23" t="n">
        <v>248</v>
      </c>
      <c r="H2411" s="23" t="n">
        <v>10</v>
      </c>
      <c r="I2411" s="23" t="n">
        <v>20</v>
      </c>
      <c r="J2411" s="23" t="inlineStr">
        <is>
          <t>978-5-227-08343-2</t>
        </is>
      </c>
      <c r="K2411" s="23" t="inlineStr">
        <is>
          <t>70x100 1/32</t>
        </is>
      </c>
      <c r="L2411" s="23" t="inlineStr">
        <is>
          <t>мяг</t>
        </is>
      </c>
      <c r="M2411" s="23" t="n">
        <v>320</v>
      </c>
      <c r="N2411" s="23" t="n">
        <v>2018</v>
      </c>
      <c r="O2411" s="23" t="n">
        <v>148</v>
      </c>
      <c r="P2411" s="23" t="n"/>
      <c r="Q2411" s="23" t="n"/>
      <c r="R2411" s="25" t="inlineStr">
        <is>
          <t>Кольт Найтшейд по прозвищу Белладонна разыскивает тринадцатилетнюю дочь своих друзей. Ему стало известно, что девочка попала в руки мерзавцев, снимающих жесткое порно. Кольт обращается к своему другу, начальнику полицейского участка, и тот представляет ему своего лучшего помощника, при виде которого у Белладонны, юриста и бывалого летчика, прошедшего войну, перехватывает дыхание. Лейтенант полиции Алтея Грейсон молода, умна, решительна и очень красива. Кольт восхищен, но сомневается в том, что в таком опасном предприятии от нее будет какой-нибудь толк…</t>
        </is>
      </c>
      <c r="S2411" s="26">
        <f>HYPERLINK("http://www.cnpol.ru/covers/18257.jpg","фото на сайте")</f>
        <v/>
      </c>
    </row>
    <row r="2412" ht="50.1" customHeight="1" s="3">
      <c r="A2412" s="23" t="n"/>
      <c r="B2412" s="24" t="inlineStr">
        <is>
          <t>18301</t>
        </is>
      </c>
      <c r="C2412" s="23" t="inlineStr">
        <is>
          <t>М РОБЕРТС НОВ</t>
        </is>
      </c>
      <c r="D2412" s="23" t="inlineStr">
        <is>
          <t>Робертс Н.</t>
        </is>
      </c>
      <c r="E2412" s="23" t="inlineStr">
        <is>
          <t>Большие тайны маленького отеля</t>
        </is>
      </c>
      <c r="F2412" s="23" t="inlineStr">
        <is>
          <t>        </t>
        </is>
      </c>
      <c r="G2412" s="23" t="n">
        <v>248</v>
      </c>
      <c r="H2412" s="23" t="n">
        <v>10</v>
      </c>
      <c r="I2412" s="23" t="n">
        <v>20</v>
      </c>
      <c r="J2412" s="23" t="inlineStr">
        <is>
          <t>978-5-227-08146-9</t>
        </is>
      </c>
      <c r="K2412" s="23" t="inlineStr">
        <is>
          <t>70x100 1/32</t>
        </is>
      </c>
      <c r="L2412" s="23" t="inlineStr">
        <is>
          <t>мяг</t>
        </is>
      </c>
      <c r="M2412" s="23" t="n">
        <v>320</v>
      </c>
      <c r="N2412" s="23" t="n">
        <v>2018</v>
      </c>
      <c r="O2412" s="23" t="n">
        <v>148</v>
      </c>
      <c r="P2412" s="23" t="n"/>
      <c r="Q2412" s="23" t="n"/>
      <c r="R2412" s="25" t="inlineStr">
        <is>
          <t>Тайный агент Роман Девинтер приехал на острова Сан Хуан по заданию ФБР. Поступил сигнал, что в маленькой провинциальной гостинице крутятся большие дела: кто­то проворачивает аферы с фальшивыми деньгами и помогает иностранцам, скрывающимся от закона, пересекать границу. Роман устроился в отель плотником и смог беспрепятственно наблюдать за делами хозяйки Черити Форд. Однако эта девушка явно была не похожа на преступницу, способную организовать подобные махинации. Черити думала только о работе! К тому же она была так очаровательна... Но если Черити невиновна, то кто же стоит за всем этим? Или она просто хорошая актриса?</t>
        </is>
      </c>
      <c r="S2412" s="26">
        <f>HYPERLINK("http://www.cnpol.ru/covers/18301.jpg","фото на сайте")</f>
        <v/>
      </c>
    </row>
    <row r="2413" ht="50.1" customHeight="1" s="3">
      <c r="A2413" s="23" t="n"/>
      <c r="B2413" s="24" t="inlineStr">
        <is>
          <t>17354</t>
        </is>
      </c>
      <c r="C2413" s="23" t="inlineStr">
        <is>
          <t>М РОБЕРТС НОВ</t>
        </is>
      </c>
      <c r="D2413" s="23" t="inlineStr">
        <is>
          <t>Робертс Н.</t>
        </is>
      </c>
      <c r="E2413" s="23" t="inlineStr">
        <is>
          <t>Влюбиться в Джеки</t>
        </is>
      </c>
      <c r="F2413" s="23" t="inlineStr">
        <is>
          <t>        </t>
        </is>
      </c>
      <c r="G2413" s="23" t="n">
        <v>248</v>
      </c>
      <c r="H2413" s="23" t="n">
        <v>10</v>
      </c>
      <c r="I2413" s="23" t="n">
        <v>20</v>
      </c>
      <c r="J2413" s="23" t="inlineStr">
        <is>
          <t>978-5-227-07238-2</t>
        </is>
      </c>
      <c r="K2413" s="23" t="inlineStr">
        <is>
          <t>70x100 1/32</t>
        </is>
      </c>
      <c r="L2413" s="23" t="inlineStr">
        <is>
          <t>мяг</t>
        </is>
      </c>
      <c r="M2413" s="23" t="n">
        <v>320</v>
      </c>
      <c r="N2413" s="23" t="n">
        <v>2017</v>
      </c>
      <c r="O2413" s="23" t="n">
        <v>148</v>
      </c>
      <c r="P2413" s="23" t="n"/>
      <c r="Q2413" s="23" t="n"/>
      <c r="R2413" s="25" t="inlineStr">
        <is>
          <t>В этот дом Джеки влюбилась с первого взгляда. Начинающая писательница уверена: в здешней удивительной обстановке грех не написать потрясающий роман. Но не успела она погрузиться в творческий экстаз, как появился хозяин дома. Оказывается, аренда — проделка афериста, и Джеки немедленно должна уехать. Напористость и обладание многими навыками, в том числе и кулинарными, помогли ей остаться в доме еще на две недели. Пусть хозяин бука, слишком погружен в свои дела и боится дать волю чувствам, но он нравится ей все больше и больше. Вроде и Джеки небезразлична ему. Тогда почему он не позволяет себе полюбить?</t>
        </is>
      </c>
      <c r="S2413" s="26">
        <f>HYPERLINK("http://www.cnpol.ru/covers/17354.jpg","фото на сайте")</f>
        <v/>
      </c>
    </row>
    <row r="2414" ht="50.1" customHeight="1" s="3">
      <c r="A2414" s="23" t="n"/>
      <c r="B2414" s="24" t="inlineStr">
        <is>
          <t>17461</t>
        </is>
      </c>
      <c r="C2414" s="23" t="inlineStr">
        <is>
          <t>М РОБЕРТС НОВ</t>
        </is>
      </c>
      <c r="D2414" s="23" t="inlineStr">
        <is>
          <t>Робертс Н.</t>
        </is>
      </c>
      <c r="E2414" s="23" t="inlineStr">
        <is>
          <t>Время не властно</t>
        </is>
      </c>
      <c r="F2414" s="23" t="inlineStr">
        <is>
          <t>        </t>
        </is>
      </c>
      <c r="G2414" s="23" t="n">
        <v>248</v>
      </c>
      <c r="H2414" s="23" t="n">
        <v>10</v>
      </c>
      <c r="I2414" s="23" t="n">
        <v>20</v>
      </c>
      <c r="J2414" s="23" t="inlineStr">
        <is>
          <t>978-5-227-07219-1</t>
        </is>
      </c>
      <c r="K2414" s="23" t="inlineStr">
        <is>
          <t>70x100 1/32</t>
        </is>
      </c>
      <c r="L2414" s="23" t="inlineStr">
        <is>
          <t>мяг</t>
        </is>
      </c>
      <c r="M2414" s="23" t="n">
        <v>352</v>
      </c>
      <c r="N2414" s="23" t="n">
        <v>2017</v>
      </c>
      <c r="O2414" s="23" t="n">
        <v>162</v>
      </c>
      <c r="P2414" s="23" t="n"/>
      <c r="Q2414" s="23" t="n"/>
      <c r="R2414" s="25" t="inlineStr">
        <is>
          <t>Циничный Джейкоб Хорнблауэр отправился в прошлое следом за братом Калебом. Он хочет вернуть его домой, в будущее. Но встреча с необыкновенной девушкой, импульсивной и страстной Санни Стоун, меняет его планы. Способен ли мужчина, который не верит в любовь, понять, что страсть побеждает время?</t>
        </is>
      </c>
      <c r="S2414" s="26">
        <f>HYPERLINK("http://www.cnpol.ru/covers/17461.jpg","фото на сайте")</f>
        <v/>
      </c>
    </row>
    <row r="2415" ht="50.1" customHeight="1" s="3">
      <c r="A2415" s="23" t="n"/>
      <c r="B2415" s="24" t="inlineStr">
        <is>
          <t>17569</t>
        </is>
      </c>
      <c r="C2415" s="23" t="inlineStr">
        <is>
          <t>М РОБЕРТС НОВ</t>
        </is>
      </c>
      <c r="D2415" s="23" t="inlineStr">
        <is>
          <t>Робертс Н.</t>
        </is>
      </c>
      <c r="E2415" s="23" t="inlineStr">
        <is>
          <t>Глубоко под кожей</t>
        </is>
      </c>
      <c r="F2415" s="23" t="inlineStr">
        <is>
          <t>        </t>
        </is>
      </c>
      <c r="G2415" s="23" t="n">
        <v>248</v>
      </c>
      <c r="H2415" s="23" t="n">
        <v>10</v>
      </c>
      <c r="I2415" s="23" t="n">
        <v>20</v>
      </c>
      <c r="J2415" s="23" t="inlineStr">
        <is>
          <t>978-5-227-07572-7</t>
        </is>
      </c>
      <c r="K2415" s="23" t="inlineStr">
        <is>
          <t>70x100 1/32</t>
        </is>
      </c>
      <c r="L2415" s="23" t="inlineStr">
        <is>
          <t>мяг</t>
        </is>
      </c>
      <c r="M2415" s="23" t="n">
        <v>320</v>
      </c>
      <c r="N2415" s="23" t="n">
        <v>2017</v>
      </c>
      <c r="O2415" s="23" t="n">
        <v>150</v>
      </c>
      <c r="P2415" s="23" t="n"/>
      <c r="Q2415" s="23" t="n"/>
      <c r="R2415" s="25" t="inlineStr">
        <is>
          <t>Звезда Голливуда Шантел О’Харли, блестящая, но одинокая, жизнь которой заполнена съемками, интервью, фотосессиями, подвергается преследованию поклонника-маньяка. Друзья рекомендуют ей обратиться в охранное агентство Квина Дорана. Отношения между капризной актрисой и бывшим детективом складываются непросто, каждый из них — сильная личность. Но вмешивается любовь...</t>
        </is>
      </c>
      <c r="S2415" s="26">
        <f>HYPERLINK("http://www.cnpol.ru/covers/17569.jpg","фото на сайте")</f>
        <v/>
      </c>
    </row>
    <row r="2416" ht="50.1" customHeight="1" s="3">
      <c r="A2416" s="23" t="n"/>
      <c r="B2416" s="24" t="inlineStr">
        <is>
          <t>18021</t>
        </is>
      </c>
      <c r="C2416" s="23" t="inlineStr">
        <is>
          <t>М РОБЕРТС НОВ</t>
        </is>
      </c>
      <c r="D2416" s="23" t="inlineStr">
        <is>
          <t>Робертс Н.</t>
        </is>
      </c>
      <c r="E2416" s="23" t="inlineStr">
        <is>
          <t>Драма по-королевски</t>
        </is>
      </c>
      <c r="F2416" s="23" t="inlineStr">
        <is>
          <t>        </t>
        </is>
      </c>
      <c r="G2416" s="23" t="n">
        <v>248</v>
      </c>
      <c r="H2416" s="23" t="n">
        <v>10</v>
      </c>
      <c r="I2416" s="23" t="n">
        <v>24</v>
      </c>
      <c r="J2416" s="23" t="inlineStr">
        <is>
          <t>978-5-227-08100-1</t>
        </is>
      </c>
      <c r="K2416" s="23" t="inlineStr">
        <is>
          <t>70x100 1/32</t>
        </is>
      </c>
      <c r="L2416" s="23" t="inlineStr">
        <is>
          <t>мяг</t>
        </is>
      </c>
      <c r="M2416" s="23" t="n">
        <v>288</v>
      </c>
      <c r="N2416" s="23" t="n">
        <v>2018</v>
      </c>
      <c r="O2416" s="23" t="n">
        <v>134</v>
      </c>
      <c r="P2416" s="23" t="n"/>
      <c r="Q2416" s="23" t="n"/>
      <c r="R2416" s="25" t="n"/>
      <c r="S2416" s="26">
        <f>HYPERLINK("http://www.cnpol.ru/covers/18021.jpg","фото на сайте")</f>
        <v/>
      </c>
    </row>
    <row r="2417" ht="50.1" customHeight="1" s="3">
      <c r="A2417" s="23" t="n"/>
      <c r="B2417" s="24" t="inlineStr">
        <is>
          <t>20470</t>
        </is>
      </c>
      <c r="C2417" s="23" t="inlineStr">
        <is>
          <t>М РОБЕРТС НОВ</t>
        </is>
      </c>
      <c r="D2417" s="23" t="inlineStr">
        <is>
          <t>Робертс Н.</t>
        </is>
      </c>
      <c r="E2417" s="23" t="inlineStr">
        <is>
          <t>Драма по-королевски</t>
        </is>
      </c>
      <c r="F2417" s="23" t="inlineStr">
        <is>
          <t>        </t>
        </is>
      </c>
      <c r="G2417" s="23" t="n">
        <v>248</v>
      </c>
      <c r="H2417" s="23" t="n">
        <v>10</v>
      </c>
      <c r="I2417" s="23" t="n">
        <v>10</v>
      </c>
      <c r="J2417" s="23" t="inlineStr">
        <is>
          <t>978-5-227-09856-6</t>
        </is>
      </c>
      <c r="K2417" s="23" t="inlineStr">
        <is>
          <t>70x100 1/32</t>
        </is>
      </c>
      <c r="L2417" s="23" t="inlineStr">
        <is>
          <t>мяг</t>
        </is>
      </c>
      <c r="M2417" s="23" t="n">
        <v>288</v>
      </c>
      <c r="N2417" s="23" t="n">
        <v>2022</v>
      </c>
      <c r="O2417" s="23" t="n">
        <v>134</v>
      </c>
      <c r="P2417" s="23" t="n"/>
      <c r="Q2417" s="23" t="n"/>
      <c r="R2417" s="25" t="inlineStr">
        <is>
          <t>Александр – наследный принц Кордины, небольшого, но сказочно прекрасного средиземноморского  княжества. Казалось бы, все в его власти, любое желание исполнимо. Вот только Ева Гамильтон, которую он впервые увидел несколько лет назад и с тех пор не может забыть, слишком независима, самостоятельна и свободолюбива, чтобы ей можно было приказывать. Ева – преуспевающий театральный продюсер и приехала в Кордину из Америки, чтобы поставить на сцене Королевского театра любовную драму. Увле­ченная работой, она не подозревает, в какую ловушку угодило ее сердце…</t>
        </is>
      </c>
      <c r="S2417" s="26">
        <f>HYPERLINK("http://www.cnpol.ru/covers/20470.jpg","фото на сайте")</f>
        <v/>
      </c>
    </row>
    <row r="2418" ht="50.1" customHeight="1" s="3">
      <c r="A2418" s="23" t="n"/>
      <c r="B2418" s="24" t="inlineStr">
        <is>
          <t>18630</t>
        </is>
      </c>
      <c r="C2418" s="23" t="inlineStr">
        <is>
          <t>М РОБЕРТС НОВ</t>
        </is>
      </c>
      <c r="D2418" s="23" t="inlineStr">
        <is>
          <t>Робертс Н.</t>
        </is>
      </c>
      <c r="E2418" s="23" t="inlineStr">
        <is>
          <t>Завороженные. Дар Донованов</t>
        </is>
      </c>
      <c r="F2418" s="23" t="inlineStr">
        <is>
          <t>        </t>
        </is>
      </c>
      <c r="G2418" s="23" t="n">
        <v>248</v>
      </c>
      <c r="H2418" s="23" t="n">
        <v>10</v>
      </c>
      <c r="I2418" s="23" t="n">
        <v>24</v>
      </c>
      <c r="J2418" s="23" t="inlineStr">
        <is>
          <t>978-5-227-08594-8</t>
        </is>
      </c>
      <c r="K2418" s="23" t="inlineStr">
        <is>
          <t>70x100 1/32</t>
        </is>
      </c>
      <c r="L2418" s="23" t="inlineStr">
        <is>
          <t>мяг</t>
        </is>
      </c>
      <c r="M2418" s="23" t="n">
        <v>288</v>
      </c>
      <c r="N2418" s="23" t="n">
        <v>2019</v>
      </c>
      <c r="O2418" s="23" t="n">
        <v>134</v>
      </c>
      <c r="P2418" s="23" t="n"/>
      <c r="Q2418" s="23" t="n"/>
      <c r="R2418" s="25" t="inlineStr">
        <is>
          <t>Закончив поиски серийного убийцы в Чикаго, ясновидящий Себастьян Донован рассчитывает в спокойной обстановке восстановить свои силы. Однако, когда в городе похищают младенца, он не остается в стороне. Но только ли искреннее желание помочь несчастным родителям ребенка толкает его на расследование? Нет ли здесь затаенной потребности доказать златокудрой красавице Мэл Сазерленд, ведущей дело, что без его помощи она не справится?..</t>
        </is>
      </c>
      <c r="S2418" s="26">
        <f>HYPERLINK("http://www.cnpol.ru/covers/18630.jpg","фото на сайте")</f>
        <v/>
      </c>
    </row>
    <row r="2419" ht="50.1" customHeight="1" s="3">
      <c r="A2419" s="23" t="n"/>
      <c r="B2419" s="24" t="inlineStr">
        <is>
          <t>18166</t>
        </is>
      </c>
      <c r="C2419" s="23" t="inlineStr">
        <is>
          <t>М РОБЕРТС НОВ</t>
        </is>
      </c>
      <c r="D2419" s="23" t="inlineStr">
        <is>
          <t>Робертс Н.</t>
        </is>
      </c>
      <c r="E2419" s="23" t="inlineStr">
        <is>
          <t>Искусство обмана</t>
        </is>
      </c>
      <c r="F2419" s="23" t="inlineStr">
        <is>
          <t>        </t>
        </is>
      </c>
      <c r="G2419" s="23" t="n">
        <v>248</v>
      </c>
      <c r="H2419" s="23" t="n">
        <v>10</v>
      </c>
      <c r="I2419" s="23" t="n">
        <v>26</v>
      </c>
      <c r="J2419" s="23" t="inlineStr">
        <is>
          <t>978-5-227-08213-8</t>
        </is>
      </c>
      <c r="K2419" s="23" t="inlineStr">
        <is>
          <t>70x100 1/32</t>
        </is>
      </c>
      <c r="L2419" s="23" t="inlineStr">
        <is>
          <t>мяг</t>
        </is>
      </c>
      <c r="M2419" s="23" t="n">
        <v>256</v>
      </c>
      <c r="N2419" s="23" t="n">
        <v>2018</v>
      </c>
      <c r="O2419" s="23" t="n">
        <v>122</v>
      </c>
      <c r="P2419" s="23" t="n"/>
      <c r="Q2419" s="23" t="n"/>
      <c r="R2419" s="25" t="inlineStr">
        <is>
          <t>Эксцентричная, неприступная, восхитительно прекрасная, загадочная Кирби… Перед изумленным взором Адама Хайнеса дочь выдающегося живописца Филиппа Фэйрчайлда предстает то в образе богемной художницы, то – великосветской дамы с безупречными манерами, то – экзотичной индийской принцессы. Раскрывать ее истинную суть не менее интересно, чем расследовать запутанную историю с шедеврами старых мастеров из коллекции ее чудаковатого, но безмерно талантливого отца.</t>
        </is>
      </c>
      <c r="S2419" s="26">
        <f>HYPERLINK("http://www.cnpol.ru/covers/18166.jpg","фото на сайте")</f>
        <v/>
      </c>
    </row>
    <row r="2420" ht="50.1" customHeight="1" s="3">
      <c r="A2420" s="23" t="n"/>
      <c r="B2420" s="24" t="inlineStr">
        <is>
          <t>18659</t>
        </is>
      </c>
      <c r="C2420" s="23" t="inlineStr">
        <is>
          <t>М РОБЕРТС НОВ</t>
        </is>
      </c>
      <c r="D2420" s="23" t="inlineStr">
        <is>
          <t>Робертс Н.</t>
        </is>
      </c>
      <c r="E2420" s="23" t="inlineStr">
        <is>
          <t>Капитан для Меган</t>
        </is>
      </c>
      <c r="F2420" s="23" t="inlineStr">
        <is>
          <t>        </t>
        </is>
      </c>
      <c r="G2420" s="23" t="n">
        <v>248</v>
      </c>
      <c r="H2420" s="23" t="n">
        <v>10</v>
      </c>
      <c r="I2420" s="23" t="n">
        <v>20</v>
      </c>
      <c r="J2420" s="23" t="inlineStr">
        <is>
          <t>978-5-227-08600-6</t>
        </is>
      </c>
      <c r="K2420" s="23" t="inlineStr">
        <is>
          <t>70x100 1/32</t>
        </is>
      </c>
      <c r="L2420" s="23" t="inlineStr">
        <is>
          <t>мяг</t>
        </is>
      </c>
      <c r="M2420" s="23" t="n">
        <v>320</v>
      </c>
      <c r="N2420" s="23" t="n">
        <v>2019</v>
      </c>
      <c r="O2420" s="23" t="n">
        <v>152</v>
      </c>
      <c r="P2420" s="23" t="n"/>
      <c r="Q2420" s="23" t="n"/>
      <c r="R2420" s="25" t="n"/>
      <c r="S2420" s="26">
        <f>HYPERLINK("http://www.cnpol.ru/covers/18659.jpg","фото на сайте")</f>
        <v/>
      </c>
    </row>
    <row r="2421" ht="50.1" customHeight="1" s="3">
      <c r="A2421" s="23" t="n"/>
      <c r="B2421" s="24" t="inlineStr">
        <is>
          <t>18991</t>
        </is>
      </c>
      <c r="C2421" s="23" t="inlineStr">
        <is>
          <t>М РОБЕРТС НОВ</t>
        </is>
      </c>
      <c r="D2421" s="23" t="inlineStr">
        <is>
          <t>Робертс Н.</t>
        </is>
      </c>
      <c r="E2421" s="23" t="inlineStr">
        <is>
          <t>Королевский роман</t>
        </is>
      </c>
      <c r="F2421" s="23" t="inlineStr">
        <is>
          <t>        </t>
        </is>
      </c>
      <c r="G2421" s="23" t="n">
        <v>248</v>
      </c>
      <c r="H2421" s="23" t="n">
        <v>10</v>
      </c>
      <c r="I2421" s="23" t="n">
        <v>24</v>
      </c>
      <c r="J2421" s="23" t="inlineStr">
        <is>
          <t>978-5-227-08141-4</t>
        </is>
      </c>
      <c r="K2421" s="23" t="inlineStr">
        <is>
          <t>70x100 1/32</t>
        </is>
      </c>
      <c r="L2421" s="23" t="inlineStr">
        <is>
          <t>мяг</t>
        </is>
      </c>
      <c r="M2421" s="23" t="n">
        <v>288</v>
      </c>
      <c r="N2421" s="23" t="n">
        <v>2019</v>
      </c>
      <c r="O2421" s="23" t="n">
        <v>134</v>
      </c>
      <c r="P2421" s="23" t="n"/>
      <c r="Q2421" s="23" t="n"/>
      <c r="R2421" s="25" t="inlineStr">
        <is>
          <t>Габриела — настоящая, а не сказочная принцесса. Ее отец — монарх небольшого прекрасного княжества Кордина, в котором кипят нешуточные страсти и зреют гнусные интриги. Жертвой их и становится Габриела. Чудом спасшаяся от похитителей, она теряет память, и, чтобы оградить дочь от повторного нападения, князь Арманд приглашает во дворец в качестве телохранителя близкого друга семьи Рива Макги. Верный чувству долга, Рив соглашается на эту роль, не ведая, что уготовила ему судьба…</t>
        </is>
      </c>
      <c r="S2421" s="26">
        <f>HYPERLINK("http://www.cnpol.ru/covers/18991.jpg","фото на сайте")</f>
        <v/>
      </c>
    </row>
    <row r="2422" ht="50.1" customHeight="1" s="3">
      <c r="A2422" s="23" t="n"/>
      <c r="B2422" s="24" t="inlineStr">
        <is>
          <t>18361</t>
        </is>
      </c>
      <c r="C2422" s="23" t="inlineStr">
        <is>
          <t>М РОБЕРТС НОВ</t>
        </is>
      </c>
      <c r="D2422" s="23" t="inlineStr">
        <is>
          <t>Робертс Н.</t>
        </is>
      </c>
      <c r="E2422" s="23" t="inlineStr">
        <is>
          <t>Любовь побеждает все</t>
        </is>
      </c>
      <c r="F2422" s="23" t="inlineStr">
        <is>
          <t>        </t>
        </is>
      </c>
      <c r="G2422" s="23" t="n">
        <v>248</v>
      </c>
      <c r="H2422" s="23" t="n">
        <v>10</v>
      </c>
      <c r="I2422" s="23" t="n">
        <v>20</v>
      </c>
      <c r="J2422" s="23" t="inlineStr">
        <is>
          <t>978-5-227-08400-2</t>
        </is>
      </c>
      <c r="K2422" s="23" t="inlineStr">
        <is>
          <t>70x100 1/32</t>
        </is>
      </c>
      <c r="L2422" s="23" t="inlineStr">
        <is>
          <t>мяг</t>
        </is>
      </c>
      <c r="M2422" s="23" t="n">
        <v>320</v>
      </c>
      <c r="N2422" s="23" t="n">
        <v>2018</v>
      </c>
      <c r="O2422" s="23" t="n">
        <v>150</v>
      </c>
      <c r="P2422" s="23" t="n"/>
      <c r="Q2422" s="23" t="n"/>
      <c r="R2422" s="25" t="inlineStr">
        <is>
          <t>Дэвид Бренди - успешный продюсер. Ради осуществления очередного амбициозного проекта он знакомится со знаменитым экстрасенсом Клариссой Дебасс. Однако вести дела ему приходится с ее агентом Эй Джи - расчетливой и достаточно циничной бизнес-леди. Неистребимый дух соревнования, свойственный Брейди и Эй Джи, сводит на нет любые попытки сближения. К чему приведет их нежелание дать волю своим чувствам? Даже Клариссе не под силу узнать ответ на этот вопрос...</t>
        </is>
      </c>
      <c r="S2422" s="26">
        <f>HYPERLINK("http://www.cnpol.ru/covers/18361.jpg","фото на сайте")</f>
        <v/>
      </c>
    </row>
    <row r="2423" ht="50.1" customHeight="1" s="3">
      <c r="A2423" s="23" t="n"/>
      <c r="B2423" s="24" t="inlineStr">
        <is>
          <t>17398</t>
        </is>
      </c>
      <c r="C2423" s="23" t="inlineStr">
        <is>
          <t>М РОБЕРТС НОВ</t>
        </is>
      </c>
      <c r="D2423" s="23" t="inlineStr">
        <is>
          <t>Робертс Н.</t>
        </is>
      </c>
      <c r="E2423" s="23" t="inlineStr">
        <is>
          <t>Мой герой</t>
        </is>
      </c>
      <c r="F2423" s="23" t="inlineStr">
        <is>
          <t>        </t>
        </is>
      </c>
      <c r="G2423" s="23" t="n">
        <v>248</v>
      </c>
      <c r="H2423" s="23" t="n">
        <v>10</v>
      </c>
      <c r="I2423" s="23" t="n">
        <v>20</v>
      </c>
      <c r="J2423" s="23" t="inlineStr">
        <is>
          <t>978-5-227-07220-7</t>
        </is>
      </c>
      <c r="K2423" s="23" t="inlineStr">
        <is>
          <t>70x100 1/32</t>
        </is>
      </c>
      <c r="L2423" s="23" t="inlineStr">
        <is>
          <t>мяг</t>
        </is>
      </c>
      <c r="M2423" s="23" t="n">
        <v>320</v>
      </c>
      <c r="N2423" s="23" t="n">
        <v>2017</v>
      </c>
      <c r="O2423" s="23" t="n">
        <v>148</v>
      </c>
      <c r="P2423" s="23" t="n"/>
      <c r="Q2423" s="23" t="n"/>
      <c r="R2423" s="25" t="n"/>
      <c r="S2423" s="26">
        <f>HYPERLINK("http://www.cnpol.ru/covers/17398.jpg","фото на сайте")</f>
        <v/>
      </c>
    </row>
    <row r="2424" ht="50.1" customHeight="1" s="3">
      <c r="A2424" s="23" t="n"/>
      <c r="B2424" s="24" t="inlineStr">
        <is>
          <t>18716</t>
        </is>
      </c>
      <c r="C2424" s="23" t="inlineStr">
        <is>
          <t>М РОБЕРТС НОВ</t>
        </is>
      </c>
      <c r="D2424" s="23" t="inlineStr">
        <is>
          <t>Робертс Н.</t>
        </is>
      </c>
      <c r="E2424" s="23" t="inlineStr">
        <is>
          <t>Мужчина для Аманды</t>
        </is>
      </c>
      <c r="F2424" s="23" t="inlineStr">
        <is>
          <t>        </t>
        </is>
      </c>
      <c r="G2424" s="23" t="n">
        <v>248</v>
      </c>
      <c r="H2424" s="23" t="n">
        <v>10</v>
      </c>
      <c r="I2424" s="23" t="n">
        <v>32</v>
      </c>
      <c r="J2424" s="23" t="inlineStr">
        <is>
          <t>978-5-227-08683-9</t>
        </is>
      </c>
      <c r="K2424" s="23" t="inlineStr">
        <is>
          <t>70x100 1/32</t>
        </is>
      </c>
      <c r="L2424" s="23" t="inlineStr">
        <is>
          <t>мяг</t>
        </is>
      </c>
      <c r="M2424" s="23" t="n">
        <v>224</v>
      </c>
      <c r="N2424" s="23" t="n">
        <v>2019</v>
      </c>
      <c r="O2424" s="23" t="n">
        <v>108</v>
      </c>
      <c r="P2424" s="23" t="n"/>
      <c r="Q2424" s="23" t="n"/>
      <c r="R2424" s="25" t="n"/>
      <c r="S2424" s="26">
        <f>HYPERLINK("http://www.cnpol.ru/covers/18716.jpg","фото на сайте")</f>
        <v/>
      </c>
    </row>
    <row r="2425" ht="50.1" customHeight="1" s="3">
      <c r="A2425" s="23" t="n"/>
      <c r="B2425" s="24" t="inlineStr">
        <is>
          <t>18503</t>
        </is>
      </c>
      <c r="C2425" s="23" t="inlineStr">
        <is>
          <t>М РОБЕРТС НОВ</t>
        </is>
      </c>
      <c r="D2425" s="23" t="inlineStr">
        <is>
          <t>Робертс Н.</t>
        </is>
      </c>
      <c r="E2425" s="23" t="inlineStr">
        <is>
          <t>Мятеж</t>
        </is>
      </c>
      <c r="F2425" s="23" t="inlineStr">
        <is>
          <t>        </t>
        </is>
      </c>
      <c r="G2425" s="23" t="n">
        <v>248</v>
      </c>
      <c r="H2425" s="23" t="n">
        <v>10</v>
      </c>
      <c r="I2425" s="23" t="n">
        <v>20</v>
      </c>
      <c r="J2425" s="23" t="inlineStr">
        <is>
          <t>978-5-227-08520-7</t>
        </is>
      </c>
      <c r="K2425" s="23" t="inlineStr">
        <is>
          <t>70x100 1/32</t>
        </is>
      </c>
      <c r="L2425" s="23" t="inlineStr">
        <is>
          <t>мяг</t>
        </is>
      </c>
      <c r="M2425" s="23" t="n">
        <v>352</v>
      </c>
      <c r="N2425" s="23" t="n">
        <v>2019</v>
      </c>
      <c r="O2425" s="23" t="n">
        <v>162</v>
      </c>
      <c r="P2425" s="23" t="n"/>
      <c r="Q2425" s="23" t="n"/>
      <c r="R2425" s="25" t="n"/>
      <c r="S2425" s="26">
        <f>HYPERLINK("http://www.cnpol.ru/covers/18503.jpg","фото на сайте")</f>
        <v/>
      </c>
    </row>
    <row r="2426" ht="50.1" customHeight="1" s="3">
      <c r="A2426" s="23" t="n"/>
      <c r="B2426" s="24" t="inlineStr">
        <is>
          <t>17661</t>
        </is>
      </c>
      <c r="C2426" s="23" t="inlineStr">
        <is>
          <t>М РОБЕРТС НОВ</t>
        </is>
      </c>
      <c r="D2426" s="23" t="inlineStr">
        <is>
          <t>Робертс Н.</t>
        </is>
      </c>
      <c r="E2426" s="23" t="inlineStr">
        <is>
          <t>Неотразимый принц</t>
        </is>
      </c>
      <c r="F2426" s="23" t="inlineStr">
        <is>
          <t>        </t>
        </is>
      </c>
      <c r="G2426" s="23" t="n">
        <v>248</v>
      </c>
      <c r="H2426" s="23" t="n">
        <v>10</v>
      </c>
      <c r="I2426" s="23" t="n">
        <v>20</v>
      </c>
      <c r="J2426" s="23" t="inlineStr">
        <is>
          <t>978-5-227-07629-8</t>
        </is>
      </c>
      <c r="K2426" s="23" t="inlineStr">
        <is>
          <t>70x100 1/32</t>
        </is>
      </c>
      <c r="L2426" s="23" t="inlineStr">
        <is>
          <t>мяг</t>
        </is>
      </c>
      <c r="M2426" s="23" t="n">
        <v>288</v>
      </c>
      <c r="N2426" s="23" t="n">
        <v>2017</v>
      </c>
      <c r="O2426" s="23" t="n">
        <v>134</v>
      </c>
      <c r="P2426" s="23" t="n"/>
      <c r="Q2426" s="23" t="n"/>
      <c r="R2426" s="25" t="n"/>
      <c r="S2426" s="26">
        <f>HYPERLINK("http://www.cnpol.ru/covers/17661.jpg","фото на сайте")</f>
        <v/>
      </c>
    </row>
    <row r="2427" ht="50.1" customHeight="1" s="3">
      <c r="A2427" s="23" t="n"/>
      <c r="B2427" s="24" t="inlineStr">
        <is>
          <t>18465</t>
        </is>
      </c>
      <c r="C2427" s="23" t="inlineStr">
        <is>
          <t>М РОБЕРТС НОВ</t>
        </is>
      </c>
      <c r="D2427" s="23" t="inlineStr">
        <is>
          <t>Робертс Н.</t>
        </is>
      </c>
      <c r="E2427" s="23" t="inlineStr">
        <is>
          <t>Ночная тень</t>
        </is>
      </c>
      <c r="F2427" s="23" t="inlineStr">
        <is>
          <t>        </t>
        </is>
      </c>
      <c r="G2427" s="23" t="n">
        <v>248</v>
      </c>
      <c r="H2427" s="23" t="n">
        <v>10</v>
      </c>
      <c r="I2427" s="23" t="n">
        <v>20</v>
      </c>
      <c r="J2427" s="23" t="inlineStr">
        <is>
          <t>978-5-227-08430-9</t>
        </is>
      </c>
      <c r="K2427" s="23" t="inlineStr">
        <is>
          <t>70x100 1/32</t>
        </is>
      </c>
      <c r="L2427" s="23" t="inlineStr">
        <is>
          <t>мяг</t>
        </is>
      </c>
      <c r="M2427" s="23" t="n">
        <v>320</v>
      </c>
      <c r="N2427" s="23" t="n">
        <v>2019</v>
      </c>
      <c r="O2427" s="23" t="n">
        <v>148</v>
      </c>
      <c r="P2427" s="23" t="n"/>
      <c r="Q2427" s="23" t="n"/>
      <c r="R2427" s="25" t="n"/>
      <c r="S2427" s="26">
        <f>HYPERLINK("http://www.cnpol.ru/covers/18465.jpg","фото на сайте")</f>
        <v/>
      </c>
    </row>
    <row r="2428" ht="50.1" customHeight="1" s="3">
      <c r="A2428" s="23" t="n"/>
      <c r="B2428" s="24" t="inlineStr">
        <is>
          <t>19197</t>
        </is>
      </c>
      <c r="C2428" s="23" t="inlineStr">
        <is>
          <t>М РОБЕРТС НОВ</t>
        </is>
      </c>
      <c r="D2428" s="23" t="inlineStr">
        <is>
          <t>Робертс Н.</t>
        </is>
      </c>
      <c r="E2428" s="23" t="inlineStr">
        <is>
          <t>Ночной дым</t>
        </is>
      </c>
      <c r="F2428" s="23" t="inlineStr">
        <is>
          <t>        </t>
        </is>
      </c>
      <c r="G2428" s="23" t="n">
        <v>249</v>
      </c>
      <c r="H2428" s="23" t="n">
        <v>10</v>
      </c>
      <c r="I2428" s="23" t="n">
        <v>20</v>
      </c>
      <c r="J2428" s="23" t="inlineStr">
        <is>
          <t>978-5-227-09093-5</t>
        </is>
      </c>
      <c r="K2428" s="23" t="inlineStr">
        <is>
          <t>70x100 1/32</t>
        </is>
      </c>
      <c r="L2428" s="23" t="inlineStr">
        <is>
          <t>мяг</t>
        </is>
      </c>
      <c r="M2428" s="23" t="n">
        <v>288</v>
      </c>
      <c r="N2428" s="23" t="n">
        <v>2020</v>
      </c>
      <c r="O2428" s="23" t="n">
        <v>136</v>
      </c>
      <c r="P2428" s="23" t="n"/>
      <c r="Q2428" s="23" t="n"/>
      <c r="R2428" s="25" t="n"/>
      <c r="S2428" s="26">
        <f>HYPERLINK("http://www.cnpol.ru/covers/19197.jpg","фото на сайте")</f>
        <v/>
      </c>
    </row>
    <row r="2429" ht="50.1" customHeight="1" s="3">
      <c r="A2429" s="23" t="n"/>
      <c r="B2429" s="24" t="inlineStr">
        <is>
          <t>17549</t>
        </is>
      </c>
      <c r="C2429" s="23" t="inlineStr">
        <is>
          <t>М РОБЕРТС НОВ</t>
        </is>
      </c>
      <c r="D2429" s="23" t="inlineStr">
        <is>
          <t>Робертс Н.</t>
        </is>
      </c>
      <c r="E2429" s="23" t="inlineStr">
        <is>
          <t>Ночной эфир</t>
        </is>
      </c>
      <c r="F2429" s="23" t="inlineStr">
        <is>
          <t>        </t>
        </is>
      </c>
      <c r="G2429" s="23" t="n">
        <v>248</v>
      </c>
      <c r="H2429" s="23" t="n">
        <v>10</v>
      </c>
      <c r="I2429" s="23" t="n">
        <v>20</v>
      </c>
      <c r="J2429" s="23" t="inlineStr">
        <is>
          <t>978-5-227-07571-0</t>
        </is>
      </c>
      <c r="K2429" s="23" t="inlineStr">
        <is>
          <t>70x100 1/32</t>
        </is>
      </c>
      <c r="L2429" s="23" t="inlineStr">
        <is>
          <t>мяг</t>
        </is>
      </c>
      <c r="M2429" s="23" t="n">
        <v>320</v>
      </c>
      <c r="N2429" s="23" t="n">
        <v>2017</v>
      </c>
      <c r="O2429" s="23" t="n">
        <v>150</v>
      </c>
      <c r="P2429" s="23" t="n"/>
      <c r="Q2429" s="23" t="n"/>
      <c r="R2429" s="25" t="n"/>
      <c r="S2429" s="26">
        <f>HYPERLINK("http://www.cnpol.ru/covers/17549.jpg","фото на сайте")</f>
        <v/>
      </c>
    </row>
    <row r="2430" ht="50.1" customHeight="1" s="3">
      <c r="A2430" s="23" t="n"/>
      <c r="B2430" s="24" t="inlineStr">
        <is>
          <t>20469</t>
        </is>
      </c>
      <c r="C2430" s="23" t="inlineStr">
        <is>
          <t>М РОБЕРТС НОВ</t>
        </is>
      </c>
      <c r="D2430" s="23" t="inlineStr">
        <is>
          <t>Робертс Н.</t>
        </is>
      </c>
      <c r="E2430" s="23" t="inlineStr">
        <is>
          <t>Обещание приключений</t>
        </is>
      </c>
      <c r="F2430" s="23" t="inlineStr">
        <is>
          <t>        </t>
        </is>
      </c>
      <c r="G2430" s="23" t="n">
        <v>248</v>
      </c>
      <c r="H2430" s="23" t="n">
        <v>10</v>
      </c>
      <c r="I2430" s="23" t="n">
        <v>10</v>
      </c>
      <c r="J2430" s="23" t="inlineStr">
        <is>
          <t>978-5-227-09948-8</t>
        </is>
      </c>
      <c r="K2430" s="23" t="inlineStr">
        <is>
          <t>70x100 1/32</t>
        </is>
      </c>
      <c r="L2430" s="23" t="inlineStr">
        <is>
          <t>мяг</t>
        </is>
      </c>
      <c r="M2430" s="23" t="n">
        <v>288</v>
      </c>
      <c r="N2430" s="23" t="n">
        <v>2022</v>
      </c>
      <c r="O2430" s="23" t="n">
        <v>134</v>
      </c>
      <c r="P2430" s="23" t="n"/>
      <c r="Q2430" s="23" t="n"/>
      <c r="R2430" s="25" t="inlineStr">
        <is>
          <t>Бросив учебу в престижном колледже, Сирена отправилась в плавание на круизном лайнере в качестве крупье казино. Красивая, умная, образованная девушка из богатой семьи жаждала приключений и независимости. Пока еще ни один мужчина не тронул сердце Сирены, но однажды за ее стол в зале казино сел настоящий игрок, властный, решительный и явно опытный соблазнитель. Используя все свои знания и умения, он затеял с Сиреной игру, нет, не в карты и не на деньги, это была игра двух сильных партнеров на счастье, в которой ни он, ни она не хотели признаться в том, что любят…</t>
        </is>
      </c>
      <c r="S2430" s="26">
        <f>HYPERLINK("http://www.cnpol.ru/covers/20469.jpg","фото на сайте")</f>
        <v/>
      </c>
    </row>
    <row r="2431" ht="50.1" customHeight="1" s="3">
      <c r="A2431" s="23" t="n"/>
      <c r="B2431" s="24" t="inlineStr">
        <is>
          <t>18911</t>
        </is>
      </c>
      <c r="C2431" s="23" t="inlineStr">
        <is>
          <t>М РОБЕРТС НОВ</t>
        </is>
      </c>
      <c r="D2431" s="23" t="inlineStr">
        <is>
          <t>Робертс Н.</t>
        </is>
      </c>
      <c r="E2431" s="23" t="inlineStr">
        <is>
          <t>Обманутое время</t>
        </is>
      </c>
      <c r="F2431" s="23" t="inlineStr">
        <is>
          <t>        </t>
        </is>
      </c>
      <c r="G2431" s="23" t="n">
        <v>248</v>
      </c>
      <c r="H2431" s="23" t="n">
        <v>10</v>
      </c>
      <c r="I2431" s="23" t="n">
        <v>20</v>
      </c>
      <c r="J2431" s="23" t="inlineStr">
        <is>
          <t>978-5-227-08892-5</t>
        </is>
      </c>
      <c r="K2431" s="23" t="inlineStr">
        <is>
          <t>70x100 1/32</t>
        </is>
      </c>
      <c r="L2431" s="23" t="inlineStr">
        <is>
          <t>мяг</t>
        </is>
      </c>
      <c r="M2431" s="23" t="n">
        <v>352</v>
      </c>
      <c r="N2431" s="23" t="n">
        <v>2019</v>
      </c>
      <c r="O2431" s="23" t="n">
        <v>162</v>
      </c>
      <c r="P2431" s="23" t="n"/>
      <c r="Q2431" s="23" t="n"/>
      <c r="R2431" s="25" t="n"/>
      <c r="S2431" s="26">
        <f>HYPERLINK("http://www.cnpol.ru/covers/18911.jpg","фото на сайте")</f>
        <v/>
      </c>
    </row>
    <row r="2432" ht="50.1" customHeight="1" s="3">
      <c r="A2432" s="23" t="n"/>
      <c r="B2432" s="24" t="inlineStr">
        <is>
          <t>18763</t>
        </is>
      </c>
      <c r="C2432" s="23" t="inlineStr">
        <is>
          <t>М РОБЕРТС НОВ</t>
        </is>
      </c>
      <c r="D2432" s="23" t="inlineStr">
        <is>
          <t>Робертс Н.</t>
        </is>
      </c>
      <c r="E2432" s="23" t="inlineStr">
        <is>
          <t>Очарованные. Дар Донованов</t>
        </is>
      </c>
      <c r="F2432" s="23" t="inlineStr">
        <is>
          <t>        </t>
        </is>
      </c>
      <c r="G2432" s="23" t="n">
        <v>248</v>
      </c>
      <c r="H2432" s="23" t="n">
        <v>10</v>
      </c>
      <c r="I2432" s="23" t="n">
        <v>20</v>
      </c>
      <c r="J2432" s="23" t="inlineStr">
        <is>
          <t>978-5-227-08714-0</t>
        </is>
      </c>
      <c r="K2432" s="23" t="inlineStr">
        <is>
          <t>70x100 1/32</t>
        </is>
      </c>
      <c r="L2432" s="23" t="inlineStr">
        <is>
          <t>мяг</t>
        </is>
      </c>
      <c r="M2432" s="23" t="n">
        <v>320</v>
      </c>
      <c r="N2432" s="23" t="n">
        <v>2019</v>
      </c>
      <c r="O2432" s="23" t="n">
        <v>144</v>
      </c>
      <c r="P2432" s="23" t="n"/>
      <c r="Q2432" s="23" t="n"/>
      <c r="R2432" s="25" t="n"/>
      <c r="S2432" s="26">
        <f>HYPERLINK("http://www.cnpol.ru/covers/18763.jpg","фото на сайте")</f>
        <v/>
      </c>
    </row>
    <row r="2433" ht="50.1" customHeight="1" s="3">
      <c r="A2433" s="23" t="n"/>
      <c r="B2433" s="24" t="inlineStr">
        <is>
          <t>18850</t>
        </is>
      </c>
      <c r="C2433" s="23" t="inlineStr">
        <is>
          <t>М РОБЕРТС НОВ</t>
        </is>
      </c>
      <c r="D2433" s="23" t="inlineStr">
        <is>
          <t>Робертс Н.</t>
        </is>
      </c>
      <c r="E2433" s="23" t="inlineStr">
        <is>
          <t>Первые впечатления</t>
        </is>
      </c>
      <c r="F2433" s="23" t="inlineStr">
        <is>
          <t>        </t>
        </is>
      </c>
      <c r="G2433" s="23" t="n">
        <v>248</v>
      </c>
      <c r="H2433" s="23" t="n">
        <v>10</v>
      </c>
      <c r="I2433" s="23" t="n">
        <v>20</v>
      </c>
      <c r="J2433" s="23" t="inlineStr">
        <is>
          <t>978-5-227-08826-0</t>
        </is>
      </c>
      <c r="K2433" s="23" t="inlineStr">
        <is>
          <t>70x100 1/32</t>
        </is>
      </c>
      <c r="L2433" s="23" t="inlineStr">
        <is>
          <t>мяг</t>
        </is>
      </c>
      <c r="M2433" s="23" t="n">
        <v>320</v>
      </c>
      <c r="N2433" s="23" t="n">
        <v>2019</v>
      </c>
      <c r="O2433" s="23" t="n">
        <v>144</v>
      </c>
      <c r="P2433" s="23" t="n"/>
      <c r="Q2433" s="23" t="n"/>
      <c r="R2433" s="25" t="n"/>
      <c r="S2433" s="26">
        <f>HYPERLINK("http://www.cnpol.ru/covers/18850.jpg","фото на сайте")</f>
        <v/>
      </c>
    </row>
    <row r="2434" ht="50.1" customHeight="1" s="3">
      <c r="A2434" s="23" t="n"/>
      <c r="B2434" s="24" t="inlineStr">
        <is>
          <t>18793</t>
        </is>
      </c>
      <c r="C2434" s="23" t="inlineStr">
        <is>
          <t>М РОБЕРТС НОВ</t>
        </is>
      </c>
      <c r="D2434" s="23" t="inlineStr">
        <is>
          <t>Робертс Н.</t>
        </is>
      </c>
      <c r="E2434" s="23" t="inlineStr">
        <is>
          <t>Плененные. Дар Донованов</t>
        </is>
      </c>
      <c r="F2434" s="23" t="inlineStr">
        <is>
          <t>        </t>
        </is>
      </c>
      <c r="G2434" s="23" t="n">
        <v>248</v>
      </c>
      <c r="H2434" s="23" t="n">
        <v>10</v>
      </c>
      <c r="I2434" s="23" t="n">
        <v>20</v>
      </c>
      <c r="J2434" s="23" t="inlineStr">
        <is>
          <t>978-5-227-08782-9</t>
        </is>
      </c>
      <c r="K2434" s="23" t="inlineStr">
        <is>
          <t>70x100 1/32</t>
        </is>
      </c>
      <c r="L2434" s="23" t="inlineStr">
        <is>
          <t>мяг</t>
        </is>
      </c>
      <c r="M2434" s="23" t="n">
        <v>320</v>
      </c>
      <c r="N2434" s="23" t="n">
        <v>2019</v>
      </c>
      <c r="O2434" s="23" t="n">
        <v>144</v>
      </c>
      <c r="P2434" s="23" t="n"/>
      <c r="Q2434" s="23" t="n"/>
      <c r="R2434" s="25" t="n"/>
      <c r="S2434" s="26">
        <f>HYPERLINK("http://www.cnpol.ru/covers/18793.jpg","фото на сайте")</f>
        <v/>
      </c>
    </row>
    <row r="2435" ht="50.1" customHeight="1" s="3">
      <c r="A2435" s="23" t="n"/>
      <c r="B2435" s="24" t="inlineStr">
        <is>
          <t>18416</t>
        </is>
      </c>
      <c r="C2435" s="23" t="inlineStr">
        <is>
          <t>М РОБЕРТС НОВ</t>
        </is>
      </c>
      <c r="D2435" s="23" t="inlineStr">
        <is>
          <t>Робертс Н.</t>
        </is>
      </c>
      <c r="E2435" s="23" t="inlineStr">
        <is>
          <t>Рискованное дело</t>
        </is>
      </c>
      <c r="F2435" s="23" t="inlineStr">
        <is>
          <t>        </t>
        </is>
      </c>
      <c r="G2435" s="23" t="n">
        <v>248</v>
      </c>
      <c r="H2435" s="23" t="n">
        <v>10</v>
      </c>
      <c r="I2435" s="23" t="n">
        <v>20</v>
      </c>
      <c r="J2435" s="23" t="inlineStr">
        <is>
          <t>978-5-227-08407-1</t>
        </is>
      </c>
      <c r="K2435" s="23" t="inlineStr">
        <is>
          <t>70x100 1/32</t>
        </is>
      </c>
      <c r="L2435" s="23" t="inlineStr">
        <is>
          <t>мяг</t>
        </is>
      </c>
      <c r="M2435" s="23" t="n">
        <v>352</v>
      </c>
      <c r="N2435" s="23" t="n">
        <v>2018</v>
      </c>
      <c r="O2435" s="23" t="n">
        <v>164</v>
      </c>
      <c r="P2435" s="23" t="n"/>
      <c r="Q2435" s="23" t="n"/>
      <c r="R2435" s="25" t="n"/>
      <c r="S2435" s="26">
        <f>HYPERLINK("http://www.cnpol.ru/covers/18416.jpg","фото на сайте")</f>
        <v/>
      </c>
    </row>
    <row r="2436" ht="50.1" customHeight="1" s="3">
      <c r="A2436" s="23" t="n"/>
      <c r="B2436" s="24" t="inlineStr">
        <is>
          <t>10601</t>
        </is>
      </c>
      <c r="C2436" s="23" t="inlineStr">
        <is>
          <t>М РУБЛЕВКА</t>
        </is>
      </c>
      <c r="D2436" s="23" t="inlineStr">
        <is>
          <t>Огородникова Т.</t>
        </is>
      </c>
      <c r="E2436" s="23" t="inlineStr">
        <is>
          <t>Топ 10 или мужчина моей мечты</t>
        </is>
      </c>
      <c r="F2436" s="23" t="inlineStr">
        <is>
          <t>        </t>
        </is>
      </c>
      <c r="G2436" s="23" t="n">
        <v>168</v>
      </c>
      <c r="H2436" s="23" t="n">
        <v>10</v>
      </c>
      <c r="I2436" s="23" t="n">
        <v>24</v>
      </c>
      <c r="J2436" s="23" t="inlineStr">
        <is>
          <t>978-5-9524-3820-0</t>
        </is>
      </c>
      <c r="K2436" s="23" t="inlineStr">
        <is>
          <t>70x90 1/32</t>
        </is>
      </c>
      <c r="L2436" s="23" t="inlineStr">
        <is>
          <t>мяг</t>
        </is>
      </c>
      <c r="M2436" s="23" t="n">
        <v>317</v>
      </c>
      <c r="N2436" s="23" t="n">
        <v>2008</v>
      </c>
      <c r="O2436" s="23" t="n">
        <v>132</v>
      </c>
      <c r="P2436" s="23" t="n"/>
      <c r="Q2436" s="23" t="n"/>
      <c r="R2436" s="25" t="n"/>
      <c r="S2436" s="26">
        <f>HYPERLINK("http://www.cnpol.ru/covers/10601.jpg","фото на сайте")</f>
        <v/>
      </c>
    </row>
    <row r="2437" ht="50.1" customHeight="1" s="3">
      <c r="A2437" s="23" t="n"/>
      <c r="B2437" s="24" t="inlineStr">
        <is>
          <t>10305</t>
        </is>
      </c>
      <c r="C2437" s="23" t="inlineStr">
        <is>
          <t>М РУБЛЕВКА</t>
        </is>
      </c>
      <c r="D2437" s="23" t="inlineStr">
        <is>
          <t>Солей Н.</t>
        </is>
      </c>
      <c r="E2437" s="23" t="inlineStr">
        <is>
          <t>Ход Корбюзье</t>
        </is>
      </c>
      <c r="F2437" s="23" t="inlineStr">
        <is>
          <t>        </t>
        </is>
      </c>
      <c r="G2437" s="23" t="n">
        <v>168</v>
      </c>
      <c r="H2437" s="23" t="n">
        <v>10</v>
      </c>
      <c r="I2437" s="23" t="n">
        <v>20</v>
      </c>
      <c r="J2437" s="23" t="inlineStr">
        <is>
          <t>978-5-9524-3235-2</t>
        </is>
      </c>
      <c r="K2437" s="23" t="inlineStr">
        <is>
          <t>70x90 1/32</t>
        </is>
      </c>
      <c r="L2437" s="23" t="inlineStr">
        <is>
          <t>мяг</t>
        </is>
      </c>
      <c r="M2437" s="23" t="n">
        <v>331</v>
      </c>
      <c r="N2437" s="23" t="n">
        <v>2008</v>
      </c>
      <c r="O2437" s="23" t="n">
        <v>136</v>
      </c>
      <c r="P2437" s="23" t="n"/>
      <c r="Q2437" s="23" t="n"/>
      <c r="R2437" s="25" t="n"/>
      <c r="S2437" s="26">
        <f>HYPERLINK("http://www.cnpol.ru/covers/10305.jpg","фото на сайте")</f>
        <v/>
      </c>
    </row>
    <row r="2438" ht="50.1" customHeight="1" s="3">
      <c r="A2438" s="23" t="inlineStr">
        <is>
          <t>Д</t>
        </is>
      </c>
      <c r="B2438" s="24" t="inlineStr">
        <is>
          <t>21429</t>
        </is>
      </c>
      <c r="C2438" s="23" t="inlineStr">
        <is>
          <t>М СМОЛЛ</t>
        </is>
      </c>
      <c r="D2438" s="23" t="inlineStr">
        <is>
          <t>Смолл Б.</t>
        </is>
      </c>
      <c r="E2438" s="23" t="inlineStr">
        <is>
          <t>Венец судьбы</t>
        </is>
      </c>
      <c r="F2438" s="23" t="inlineStr">
        <is>
          <t>        </t>
        </is>
      </c>
      <c r="G2438" s="23" t="n">
        <v>402</v>
      </c>
      <c r="H2438" s="23" t="n">
        <v>10</v>
      </c>
      <c r="I2438" s="23" t="n">
        <v>8</v>
      </c>
      <c r="J2438" s="23" t="inlineStr">
        <is>
          <t>978-5-227-10906-4</t>
        </is>
      </c>
      <c r="K2438" s="23" t="inlineStr">
        <is>
          <t>70x100 1/32</t>
        </is>
      </c>
      <c r="L2438" s="23" t="inlineStr">
        <is>
          <t>мяг</t>
        </is>
      </c>
      <c r="M2438" s="23" t="n">
        <v>415</v>
      </c>
      <c r="N2438" s="23" t="n">
        <v>2024</v>
      </c>
      <c r="O2438" s="23" t="n">
        <v>125</v>
      </c>
      <c r="P2438" s="23" t="n"/>
      <c r="Q2438" s="23" t="n"/>
      <c r="R2438" s="25" t="inlineStr">
        <is>
          <t>Прошло сто лет с тех пор, как фея Лара последний раз спасла мир Хетара от Тьмы. Ее молодость и красота вечны. Однако прошедшие годы унесли много ее друзей и родных. Ее влияние ослабевает. Тех, кто помнит ее подвиги, остается все меньше. Уже и ее правнук Кадарн, доминус Теры, отрицает магию. И все это время сын Лары, очаровательный, но гнусный Повелитель Сумерек Колгрим, терпеливо ждет своего часа. Но он не повторит ошибку своего отца, который развязал войну. Его путь более коварный и зловещий. Несмотря на свои могущественные силы, Лара боится, что мало что может сделать. Но пока не все потеряно, она будет пытаться выполнить древнее пророчество своей дочери Ануш и объединить весь мир Хетара. По мере того как Тьма наступает, Лара все больше и больше понимает, что нуждается в мудрости, любви и поддержке великого принца-тени Калига. И в главном испытании Лара и Калиг вместе на конец встретят предсказанную ей судьбу.</t>
        </is>
      </c>
      <c r="S2438" s="26">
        <f>HYPERLINK("http://www.cnpol.ru/covers/21429.jpg","фото на сайте")</f>
        <v/>
      </c>
    </row>
    <row r="2439" ht="50.1" customHeight="1" s="3">
      <c r="A2439" s="23" t="inlineStr">
        <is>
          <t>Д</t>
        </is>
      </c>
      <c r="B2439" s="24" t="inlineStr">
        <is>
          <t>21485</t>
        </is>
      </c>
      <c r="C2439" s="23" t="inlineStr">
        <is>
          <t>М СМОЛЛ</t>
        </is>
      </c>
      <c r="D2439" s="23" t="inlineStr">
        <is>
          <t>Смолл Б.</t>
        </is>
      </c>
      <c r="E2439" s="23" t="inlineStr">
        <is>
          <t>Далекое завтра</t>
        </is>
      </c>
      <c r="F2439" s="23" t="inlineStr">
        <is>
          <t>        </t>
        </is>
      </c>
      <c r="G2439" s="23" t="n">
        <v>402</v>
      </c>
      <c r="H2439" s="23" t="n">
        <v>10</v>
      </c>
      <c r="I2439" s="23" t="n">
        <v>6</v>
      </c>
      <c r="J2439" s="23" t="inlineStr">
        <is>
          <t>978-5-227-10957-6</t>
        </is>
      </c>
      <c r="K2439" s="23" t="inlineStr">
        <is>
          <t>70x100 1/32</t>
        </is>
      </c>
      <c r="L2439" s="23" t="inlineStr">
        <is>
          <t>мяг</t>
        </is>
      </c>
      <c r="M2439" s="23" t="n">
        <v>512</v>
      </c>
      <c r="N2439" s="23" t="n">
        <v>2024</v>
      </c>
      <c r="O2439" s="23" t="n">
        <v>234</v>
      </c>
      <c r="P2439" s="23" t="n"/>
      <c r="Q2439" s="23" t="n"/>
      <c r="R2439" s="25" t="inlineStr">
        <is>
          <t>Пять лет прошло после зимней войны между Дальноземьем и Хетаром. Но Гай Просперо не отказался от своего замысла стать императором, а неожиданная трагедия в семье Лары вновь заставляет ее прислушаться к зову своего предназначения. Дальнейшие приключения полуфеи, стремление предотвратить очередную войну и спасти ставшие родными кланы Дальноземья приводят ее в неизведанную заморскую страну Теру, свободную и плодородную. Любовь и измена, страсть, предательство и разврат сопровождают Лару, обнаружившую, что ее магические способности растут с каждым днем.</t>
        </is>
      </c>
      <c r="S2439" s="26">
        <f>HYPERLINK("http://www.cnpol.ru/covers/21485.jpg","фото на сайте")</f>
        <v/>
      </c>
    </row>
    <row r="2440" ht="50.1" customHeight="1" s="3">
      <c r="A2440" s="23" t="inlineStr">
        <is>
          <t>Д</t>
        </is>
      </c>
      <c r="B2440" s="24" t="inlineStr">
        <is>
          <t>21244</t>
        </is>
      </c>
      <c r="C2440" s="23" t="inlineStr">
        <is>
          <t>М СМОЛЛ</t>
        </is>
      </c>
      <c r="D2440" s="23" t="inlineStr">
        <is>
          <t>Смолл Б.</t>
        </is>
      </c>
      <c r="E2440" s="23" t="inlineStr">
        <is>
          <t>Колдунья из Бельмаира</t>
        </is>
      </c>
      <c r="F2440" s="23" t="inlineStr">
        <is>
          <t>        </t>
        </is>
      </c>
      <c r="G2440" s="23" t="n">
        <v>402</v>
      </c>
      <c r="H2440" s="23" t="n">
        <v>10</v>
      </c>
      <c r="I2440" s="23" t="n">
        <v>5</v>
      </c>
      <c r="J2440" s="23" t="inlineStr">
        <is>
          <t>978-5-227-09669-2</t>
        </is>
      </c>
      <c r="K2440" s="23" t="inlineStr">
        <is>
          <t>70x100 1/32</t>
        </is>
      </c>
      <c r="L2440" s="23" t="inlineStr">
        <is>
          <t>мяг</t>
        </is>
      </c>
      <c r="M2440" s="23" t="n">
        <v>602</v>
      </c>
      <c r="N2440" s="23" t="n">
        <v>2024</v>
      </c>
      <c r="O2440" s="23" t="n">
        <v>274</v>
      </c>
      <c r="P2440" s="23" t="n"/>
      <c r="Q2440" s="23" t="n"/>
      <c r="R2440" s="25" t="inlineStr">
        <is>
          <t>Диллон, первый сын Лары, призван в забытый мир Бельмаир. Ему предстоит жениться на дочери короля и унаследовать трон. Синния, колдунья на далекой звезде, ученица Верховного Дракона Нидхуг, законно претендует на роль правителя своих земель, а не жены чужака, потомка некогда изгнанных из ее страны бунтовщиков. Но настоящей магии она еще только будет учиться, выйдя замуж. Ей предстоит, собрав вокруг себя сильнейших чародеев с неведомого Хетара, раскрыть тайну, несколько веков назад поставившую жителей Бельмаира на грань исчезновения.</t>
        </is>
      </c>
      <c r="S2440" s="26">
        <f>HYPERLINK("http://www.cnpol.ru/covers/21244.jpg","фото на сайте")</f>
        <v/>
      </c>
    </row>
    <row r="2441" ht="50.1" customHeight="1" s="3">
      <c r="A2441" s="23" t="inlineStr">
        <is>
          <t>Д</t>
        </is>
      </c>
      <c r="B2441" s="24" t="inlineStr">
        <is>
          <t>21242</t>
        </is>
      </c>
      <c r="C2441" s="23" t="inlineStr">
        <is>
          <t>М СМОЛЛ</t>
        </is>
      </c>
      <c r="D2441" s="23" t="inlineStr">
        <is>
          <t>Смолл Б.</t>
        </is>
      </c>
      <c r="E2441" s="23" t="inlineStr">
        <is>
          <t>Королева теней</t>
        </is>
      </c>
      <c r="F2441" s="23" t="inlineStr">
        <is>
          <t>        </t>
        </is>
      </c>
      <c r="G2441" s="23" t="n">
        <v>402</v>
      </c>
      <c r="H2441" s="23" t="n">
        <v>10</v>
      </c>
      <c r="I2441" s="23" t="n">
        <v>6</v>
      </c>
      <c r="J2441" s="23" t="inlineStr">
        <is>
          <t>978-5-227-10754-1</t>
        </is>
      </c>
      <c r="K2441" s="23" t="inlineStr">
        <is>
          <t>70x100 1/32</t>
        </is>
      </c>
      <c r="L2441" s="23" t="inlineStr">
        <is>
          <t>мяг</t>
        </is>
      </c>
      <c r="M2441" s="23" t="n">
        <v>477</v>
      </c>
      <c r="N2441" s="23" t="n">
        <v>2024</v>
      </c>
      <c r="O2441" s="23" t="n">
        <v>222</v>
      </c>
      <c r="P2441" s="23" t="n"/>
      <c r="Q2441" s="23" t="n"/>
      <c r="R2441" s="25" t="inlineStr">
        <is>
          <t>Овдовев по жестокой иронии судьбы, Лара, домина Теры, став негласным регентом, королевой теней, своего несовершеннолетнего сына, обнаруживает, что Тьма вновь набирает силу в лице Сумеречных близнецов и их ведьмы-сестры, желающих отомстить за своего отца, Повелителя Сумерек, и завершить начатую им войну по захвату власти над всем миром Хетара. Фея, как бы этого ни хотела, должна встретиться с детьми Колла. Но рядом с ней находится Калиг, величайший принц-тень, чья вечная любовь к Ларе будет ее спасением.</t>
        </is>
      </c>
      <c r="S2441" s="26">
        <f>HYPERLINK("http://www.cnpol.ru/covers/21242.jpg","фото на сайте")</f>
        <v/>
      </c>
    </row>
    <row r="2442" ht="50.1" customHeight="1" s="3">
      <c r="A2442" s="23" t="inlineStr">
        <is>
          <t>Д</t>
        </is>
      </c>
      <c r="B2442" s="24" t="inlineStr">
        <is>
          <t>21177</t>
        </is>
      </c>
      <c r="C2442" s="23" t="inlineStr">
        <is>
          <t>М СМОЛЛ</t>
        </is>
      </c>
      <c r="D2442" s="23" t="inlineStr">
        <is>
          <t>Смолл Б.</t>
        </is>
      </c>
      <c r="E2442" s="23" t="inlineStr">
        <is>
          <t>Лара</t>
        </is>
      </c>
      <c r="F2442" s="23" t="inlineStr">
        <is>
          <t>        </t>
        </is>
      </c>
      <c r="G2442" s="23" t="n">
        <v>402</v>
      </c>
      <c r="H2442" s="23" t="n">
        <v>10</v>
      </c>
      <c r="I2442" s="23" t="n">
        <v>12</v>
      </c>
      <c r="J2442" s="23" t="inlineStr">
        <is>
          <t>978-5-227-09755-2</t>
        </is>
      </c>
      <c r="K2442" s="23" t="inlineStr">
        <is>
          <t>70x100 1/32</t>
        </is>
      </c>
      <c r="L2442" s="23" t="inlineStr">
        <is>
          <t>мяг</t>
        </is>
      </c>
      <c r="M2442" s="23" t="n">
        <v>479</v>
      </c>
      <c r="N2442" s="23" t="n">
        <v>2024</v>
      </c>
      <c r="O2442" s="23" t="n">
        <v>221</v>
      </c>
      <c r="P2442" s="23" t="n"/>
      <c r="Q2442" s="23" t="n"/>
      <c r="R2442" s="25" t="inlineStr">
        <is>
          <t>Юная дочь феи и солдата Лара согласилась быть проданной мачехой в Дом удовольствий, чтобы ее отец смог участвовать в турнире Доблестных Рыцарей и выбиться из нищеты. Но у девушки неземной красоты было свое предназначение: ей предстояла долгая дорога из города, центра королевства Хетар, к лесным лордам, принцам-теням, прибрежным королям и, наконец, в Дальноземье, где она познает истинный смысл любви и жгучую страсть. Сможет ли она, полукровка, научиться убивать и изменить мир порока и обмана своей родины?..</t>
        </is>
      </c>
      <c r="S2442" s="26">
        <f>HYPERLINK("http://www.cnpol.ru/covers/21177.jpg","фото на сайте")</f>
        <v/>
      </c>
    </row>
    <row r="2443" ht="50.1" customHeight="1" s="3">
      <c r="A2443" s="23" t="inlineStr">
        <is>
          <t>Д</t>
        </is>
      </c>
      <c r="B2443" s="24" t="inlineStr">
        <is>
          <t>21243</t>
        </is>
      </c>
      <c r="C2443" s="23" t="inlineStr">
        <is>
          <t>М СМОЛЛ</t>
        </is>
      </c>
      <c r="D2443" s="23" t="inlineStr">
        <is>
          <t>Смолл Б.</t>
        </is>
      </c>
      <c r="E2443" s="23" t="inlineStr">
        <is>
          <t>Повелитель Сумерек</t>
        </is>
      </c>
      <c r="F2443" s="23" t="inlineStr">
        <is>
          <t>        </t>
        </is>
      </c>
      <c r="G2443" s="23" t="n">
        <v>402</v>
      </c>
      <c r="H2443" s="23" t="n">
        <v>10</v>
      </c>
      <c r="I2443" s="23" t="n">
        <v>6</v>
      </c>
      <c r="J2443" s="23" t="inlineStr">
        <is>
          <t>978-5-227-10755-8</t>
        </is>
      </c>
      <c r="K2443" s="23" t="inlineStr">
        <is>
          <t>70x100 1/32</t>
        </is>
      </c>
      <c r="L2443" s="23" t="inlineStr">
        <is>
          <t>мяг</t>
        </is>
      </c>
      <c r="M2443" s="23" t="n">
        <v>512</v>
      </c>
      <c r="N2443" s="23" t="n">
        <v>2024</v>
      </c>
      <c r="O2443" s="23" t="n">
        <v>233</v>
      </c>
      <c r="P2443" s="23" t="n"/>
      <c r="Q2443" s="23" t="n"/>
      <c r="R2443" s="25" t="inlineStr">
        <is>
          <t>Книга Правления королевства Тьмы предрекает, что наследника Повелителю Сумерек должна родить фея. Но Колл знает, что Лара добровольно не придет к нему, хотя она должна исполнить свое предназначение. Поэтому ему надо придумать способ убедить ее, что она любит его и хочет родить от него ребенка. Но честолюбие властелина Темных Земель простирается за пределы его страстной любви к домине. Коллу нужна ее магия, чтобы победить Хетар и Теру. Но на земли мирной Теры претендует и ненасытный император Хетара… Чтобы восстановить равновесие Тьмы и Света, принц-тень Калиг и мать Лары, королева фей Илона, строят планы по спасению Лары, так как судьба ее еще призовет…</t>
        </is>
      </c>
      <c r="S2443" s="26">
        <f>HYPERLINK("http://www.cnpol.ru/covers/21243.jpg","фото на сайте")</f>
        <v/>
      </c>
    </row>
    <row r="2444" ht="50.1" customHeight="1" s="3">
      <c r="A2444" s="23" t="n"/>
      <c r="B2444" s="24" t="inlineStr">
        <is>
          <t>10829</t>
        </is>
      </c>
      <c r="C2444" s="23" t="inlineStr">
        <is>
          <t>М СТ+</t>
        </is>
      </c>
      <c r="D2444" s="23" t="inlineStr">
        <is>
          <t>Борисова В.</t>
        </is>
      </c>
      <c r="E2444" s="23" t="inlineStr">
        <is>
          <t>Бегство короля</t>
        </is>
      </c>
      <c r="F2444" s="23" t="inlineStr">
        <is>
          <t>        </t>
        </is>
      </c>
      <c r="G2444" s="23" t="n">
        <v>168</v>
      </c>
      <c r="H2444" s="23" t="n">
        <v>10</v>
      </c>
      <c r="I2444" s="23" t="n">
        <v>14</v>
      </c>
      <c r="J2444" s="23" t="inlineStr">
        <is>
          <t>978-5-9524-3975-7</t>
        </is>
      </c>
      <c r="K2444" s="23" t="inlineStr">
        <is>
          <t>70x90 1/32</t>
        </is>
      </c>
      <c r="L2444" s="23" t="inlineStr">
        <is>
          <t>мяг</t>
        </is>
      </c>
      <c r="M2444" s="23" t="n">
        <v>379</v>
      </c>
      <c r="N2444" s="23" t="n">
        <v>2008</v>
      </c>
      <c r="O2444" s="23" t="n">
        <v>162</v>
      </c>
      <c r="P2444" s="23" t="n"/>
      <c r="Q2444" s="23" t="n"/>
      <c r="R2444" s="25" t="inlineStr">
        <is>
          <t>Максим Сабуров, молодой писатель, любимый читателями за лихо закрученные сюжеты и издательством за бесперебойность, с которой он поставляет свою продукцию, закончил новый роман. Но очередная рукопись преподнесла Максиму "сюрприз". Некие темные, но могущественные силы, похоже, готовы были сделать все, чтобы роман скромного писателя не был напечатан.</t>
        </is>
      </c>
      <c r="S2444" s="26">
        <f>HYPERLINK("http://www.cnpol.ru/covers/10829.jpg","фото на сайте")</f>
        <v/>
      </c>
    </row>
    <row r="2445" ht="50.1" customHeight="1" s="3">
      <c r="A2445" s="23" t="n"/>
      <c r="B2445" s="24" t="inlineStr">
        <is>
          <t>8746</t>
        </is>
      </c>
      <c r="C2445" s="23" t="inlineStr">
        <is>
          <t>М СТ+</t>
        </is>
      </c>
      <c r="D2445" s="23" t="inlineStr">
        <is>
          <t>Лобановская И.</t>
        </is>
      </c>
      <c r="E2445" s="23" t="inlineStr">
        <is>
          <t>Дорогая кузина</t>
        </is>
      </c>
      <c r="F2445" s="23" t="inlineStr">
        <is>
          <t>        </t>
        </is>
      </c>
      <c r="G2445" s="23" t="n">
        <v>168</v>
      </c>
      <c r="H2445" s="23" t="n">
        <v>10</v>
      </c>
      <c r="I2445" s="23" t="n">
        <v>24</v>
      </c>
      <c r="J2445" s="23" t="inlineStr">
        <is>
          <t>978-5-9524-2990-1</t>
        </is>
      </c>
      <c r="K2445" s="23" t="inlineStr">
        <is>
          <t>70x90 1/32</t>
        </is>
      </c>
      <c r="L2445" s="23" t="inlineStr">
        <is>
          <t>мяг</t>
        </is>
      </c>
      <c r="M2445" s="23" t="n">
        <v>382</v>
      </c>
      <c r="N2445" s="23" t="n">
        <v>2008</v>
      </c>
      <c r="O2445" s="23" t="n">
        <v>158</v>
      </c>
      <c r="P2445" s="23" t="n"/>
      <c r="Q2445" s="23" t="n"/>
      <c r="R2445" s="25" t="inlineStr">
        <is>
          <t>Наверное, она знала что-то такое, о чем ее подруги лишь смутно подозревали... Красивых девушек много, но не все становятся роковыми женщинами! Какими секретами обольщения владела эта провинциалочка, раз кружила головы стольким влиятельным мужчинам? Во многом придется разобраться ее двоюродному брату, решившему узнать, чем жила дорогая кузина…...</t>
        </is>
      </c>
      <c r="S2445" s="26">
        <f>HYPERLINK("http://www.cnpol.ru/covers/8746.jpg","фото на сайте")</f>
        <v/>
      </c>
    </row>
    <row r="2446" ht="50.1" customHeight="1" s="3">
      <c r="A2446" s="23" t="n"/>
      <c r="B2446" s="24" t="inlineStr">
        <is>
          <t>10804</t>
        </is>
      </c>
      <c r="C2446" s="23" t="inlineStr">
        <is>
          <t>М СТ+</t>
        </is>
      </c>
      <c r="D2446" s="23" t="inlineStr">
        <is>
          <t>Лобановская И.</t>
        </is>
      </c>
      <c r="E2446" s="23" t="inlineStr">
        <is>
          <t>Жду, надеюсь, люблю</t>
        </is>
      </c>
      <c r="F2446" s="23" t="inlineStr">
        <is>
          <t>        </t>
        </is>
      </c>
      <c r="G2446" s="23" t="n">
        <v>168</v>
      </c>
      <c r="H2446" s="23" t="n">
        <v>10</v>
      </c>
      <c r="I2446" s="23" t="n">
        <v>24</v>
      </c>
      <c r="J2446" s="23" t="inlineStr">
        <is>
          <t>978-5-9524-3888-0</t>
        </is>
      </c>
      <c r="K2446" s="23" t="inlineStr">
        <is>
          <t>70x90 1/32</t>
        </is>
      </c>
      <c r="L2446" s="23" t="inlineStr">
        <is>
          <t>мяг</t>
        </is>
      </c>
      <c r="M2446" s="23" t="n">
        <v>318</v>
      </c>
      <c r="N2446" s="23" t="n">
        <v>2008</v>
      </c>
      <c r="O2446" s="23" t="n">
        <v>142</v>
      </c>
      <c r="P2446" s="23" t="n"/>
      <c r="Q2446" s="23" t="n"/>
      <c r="R2446" s="25" t="inlineStr">
        <is>
          <t>Марина никогда не считала себя одинокой. Семья всегда рядом. Мать с отцом, старший брат, сестра - близнец, с которой они всегда были двумя половинами одного уютного целого.</t>
        </is>
      </c>
      <c r="S2446" s="26">
        <f>HYPERLINK("http://www.cnpol.ru/covers/10804.jpg","фото на сайте")</f>
        <v/>
      </c>
    </row>
    <row r="2447" ht="50.1" customHeight="1" s="3">
      <c r="A2447" s="23" t="n"/>
      <c r="B2447" s="24" t="inlineStr">
        <is>
          <t>10803</t>
        </is>
      </c>
      <c r="C2447" s="23" t="inlineStr">
        <is>
          <t>М СТ+</t>
        </is>
      </c>
      <c r="D2447" s="23" t="inlineStr">
        <is>
          <t>Кочелаева Н.</t>
        </is>
      </c>
      <c r="E2447" s="23" t="inlineStr">
        <is>
          <t>Зерна граната</t>
        </is>
      </c>
      <c r="F2447" s="23" t="inlineStr">
        <is>
          <t>        </t>
        </is>
      </c>
      <c r="G2447" s="23" t="n">
        <v>168</v>
      </c>
      <c r="H2447" s="23" t="n">
        <v>10</v>
      </c>
      <c r="I2447" s="23" t="n">
        <v>24</v>
      </c>
      <c r="J2447" s="23" t="inlineStr">
        <is>
          <t>978-5-9524-3892-7</t>
        </is>
      </c>
      <c r="K2447" s="23" t="inlineStr">
        <is>
          <t>70x90 1/32</t>
        </is>
      </c>
      <c r="L2447" s="23" t="inlineStr">
        <is>
          <t>мяг</t>
        </is>
      </c>
      <c r="M2447" s="23" t="n">
        <v>351</v>
      </c>
      <c r="N2447" s="23" t="n">
        <v>2008</v>
      </c>
      <c r="O2447" s="23" t="n">
        <v>154</v>
      </c>
      <c r="P2447" s="23" t="n"/>
      <c r="Q2447" s="23" t="n"/>
      <c r="R2447" s="25" t="inlineStr">
        <is>
          <t>Мир этой книги изумительно пестр и разнообразен, в нем порой происходят странные случаи, необыкновенные совпадения и удивительные встречи... Кипят страсти человеческие, и бессмертные, древние, забытые боги, чьи храмы давно лежат в развалинах и жертвенники повержены, снова спускаются на землю. Они сходят в наполненную опасностями жизнь, чтобы снова познать любовь и ненависть, верность и предательство, горе и радость.</t>
        </is>
      </c>
      <c r="S2447" s="26">
        <f>HYPERLINK("http://www.cnpol.ru/covers/10803.jpg","фото на сайте")</f>
        <v/>
      </c>
    </row>
    <row r="2448" ht="50.1" customHeight="1" s="3">
      <c r="A2448" s="23" t="n"/>
      <c r="B2448" s="24" t="inlineStr">
        <is>
          <t>10623</t>
        </is>
      </c>
      <c r="C2448" s="23" t="inlineStr">
        <is>
          <t>М СТ+</t>
        </is>
      </c>
      <c r="D2448" s="23" t="inlineStr">
        <is>
          <t>Лобановская И.</t>
        </is>
      </c>
      <c r="E2448" s="23" t="inlineStr">
        <is>
          <t>Злейший друг</t>
        </is>
      </c>
      <c r="F2448" s="23" t="inlineStr">
        <is>
          <t>        </t>
        </is>
      </c>
      <c r="G2448" s="23" t="n">
        <v>168</v>
      </c>
      <c r="H2448" s="23" t="n">
        <v>10</v>
      </c>
      <c r="I2448" s="23" t="n">
        <v>20</v>
      </c>
      <c r="J2448" s="23" t="inlineStr">
        <is>
          <t>978-5-9524-3823-1</t>
        </is>
      </c>
      <c r="K2448" s="23" t="inlineStr">
        <is>
          <t>70x90 1/32</t>
        </is>
      </c>
      <c r="L2448" s="23" t="inlineStr">
        <is>
          <t>мяг</t>
        </is>
      </c>
      <c r="M2448" s="23" t="n">
        <v>350</v>
      </c>
      <c r="N2448" s="23" t="n">
        <v>2008</v>
      </c>
      <c r="O2448" s="23" t="n">
        <v>140</v>
      </c>
      <c r="P2448" s="23" t="n"/>
      <c r="Q2448" s="23" t="n"/>
      <c r="R2448" s="25" t="inlineStr">
        <is>
          <t>Ксения Леднева - знаменитая актриса, любимица камер, режиссеров и публики. А в целом обычная русская женщина: с двумя детьми, вечными сумками и кошмарным радикулитом... Ксения точно знала, что слава и деньги не меняют ­людей. Они лишь выхватывают из темных глубин души качества, заложенные в человеке. Когда-то она уже почувствовала - враг рядом. Может быть, именно в прошлом и скрывалась разгадка последних событий - издевательских рецензий, грязных слухов, вздорных сплетен, шепотков за спиной. Только Ксении не хотелось верить в то, что злейший враг может оказаться кем-то, кому она привыкла верить...</t>
        </is>
      </c>
      <c r="S2448" s="26">
        <f>HYPERLINK("http://www.cnpol.ru/covers/10623.jpg","фото на сайте")</f>
        <v/>
      </c>
    </row>
    <row r="2449" ht="50.1" customHeight="1" s="3">
      <c r="A2449" s="23" t="n"/>
      <c r="B2449" s="24" t="inlineStr">
        <is>
          <t>8651</t>
        </is>
      </c>
      <c r="C2449" s="23" t="inlineStr">
        <is>
          <t>М СТ+</t>
        </is>
      </c>
      <c r="D2449" s="23" t="inlineStr">
        <is>
          <t>Лазарева И.</t>
        </is>
      </c>
      <c r="E2449" s="23" t="inlineStr">
        <is>
          <t>Лось в облаке</t>
        </is>
      </c>
      <c r="F2449" s="23" t="inlineStr">
        <is>
          <t>        </t>
        </is>
      </c>
      <c r="G2449" s="23" t="n">
        <v>168</v>
      </c>
      <c r="H2449" s="23" t="n">
        <v>10</v>
      </c>
      <c r="I2449" s="23" t="n">
        <v>24</v>
      </c>
      <c r="J2449" s="23" t="inlineStr">
        <is>
          <t>978-5-9524-2890-4</t>
        </is>
      </c>
      <c r="K2449" s="23" t="inlineStr">
        <is>
          <t>70x90 1/32</t>
        </is>
      </c>
      <c r="L2449" s="23" t="inlineStr">
        <is>
          <t>мяг</t>
        </is>
      </c>
      <c r="M2449" s="23" t="n">
        <v>366</v>
      </c>
      <c r="N2449" s="23" t="n">
        <v>2008</v>
      </c>
      <c r="O2449" s="23" t="n">
        <v>158</v>
      </c>
      <c r="P2449" s="23" t="n"/>
      <c r="Q2449" s="23" t="n"/>
      <c r="R2449" s="25" t="inlineStr">
        <is>
          <t>Замкнутый городской подросток Вадим Березин и мечтать не мог о таком друге, как Саня Никитин, любитель жителей Свирицы, непререкаемом авторитете для поселковых мальчишек.</t>
        </is>
      </c>
      <c r="S2449" s="26">
        <f>HYPERLINK("http://www.cnpol.ru/covers/8651.jpg","фото на сайте")</f>
        <v/>
      </c>
    </row>
    <row r="2450" ht="50.1" customHeight="1" s="3">
      <c r="A2450" s="23" t="n"/>
      <c r="B2450" s="24" t="inlineStr">
        <is>
          <t>10182</t>
        </is>
      </c>
      <c r="C2450" s="23" t="inlineStr">
        <is>
          <t>М СТ+</t>
        </is>
      </c>
      <c r="D2450" s="23" t="inlineStr">
        <is>
          <t>Добровольская Ю.</t>
        </is>
      </c>
      <c r="E2450" s="23" t="inlineStr">
        <is>
          <t>Любовники</t>
        </is>
      </c>
      <c r="F2450" s="23" t="inlineStr">
        <is>
          <t>        </t>
        </is>
      </c>
      <c r="G2450" s="23" t="n">
        <v>168</v>
      </c>
      <c r="H2450" s="23" t="n">
        <v>10</v>
      </c>
      <c r="I2450" s="23" t="n">
        <v>24</v>
      </c>
      <c r="J2450" s="23" t="inlineStr">
        <is>
          <t>978-5-9524-3353-3</t>
        </is>
      </c>
      <c r="K2450" s="23" t="inlineStr">
        <is>
          <t>70x90 1/32</t>
        </is>
      </c>
      <c r="L2450" s="23" t="inlineStr">
        <is>
          <t>мяг</t>
        </is>
      </c>
      <c r="M2450" s="23" t="n">
        <v>349</v>
      </c>
      <c r="N2450" s="23" t="n">
        <v>2008</v>
      </c>
      <c r="O2450" s="23" t="n">
        <v>146</v>
      </c>
      <c r="P2450" s="23" t="n"/>
      <c r="Q2450" s="23" t="n"/>
      <c r="R2450" s="25" t="inlineStr">
        <is>
          <t>Спустя почти три десятилетия совместной жизни они по-прежнему не муж и жена, хоть и вырастили сына, боролись с трудностями, преодолевали кризисы. И все это время они испытывали ханжеское осуждение окружающих. Прошлое цепко держит Костю с Диной в ловушке, и только одно чувство позволяет им подняться над бытом и дрязгами, то всесильное чувство, которое когда-то толкнуло их друг к другу и сделало любовниками...</t>
        </is>
      </c>
      <c r="S2450" s="26">
        <f>HYPERLINK("http://www.cnpol.ru/covers/10182.jpg","фото на сайте")</f>
        <v/>
      </c>
    </row>
    <row r="2451" ht="50.1" customHeight="1" s="3">
      <c r="A2451" s="23" t="n"/>
      <c r="B2451" s="24" t="inlineStr">
        <is>
          <t>10218</t>
        </is>
      </c>
      <c r="C2451" s="23" t="inlineStr">
        <is>
          <t>М СТ+</t>
        </is>
      </c>
      <c r="D2451" s="23" t="inlineStr">
        <is>
          <t>Кочелаева Н.</t>
        </is>
      </c>
      <c r="E2451" s="23" t="inlineStr">
        <is>
          <t>Невеста без места</t>
        </is>
      </c>
      <c r="F2451" s="23" t="inlineStr">
        <is>
          <t>        </t>
        </is>
      </c>
      <c r="G2451" s="23" t="n">
        <v>168</v>
      </c>
      <c r="H2451" s="23" t="n">
        <v>10</v>
      </c>
      <c r="I2451" s="23" t="n">
        <v>20</v>
      </c>
      <c r="J2451" s="23" t="inlineStr">
        <is>
          <t>978-5-9524-3391-5</t>
        </is>
      </c>
      <c r="K2451" s="23" t="inlineStr">
        <is>
          <t>70x90 1/32</t>
        </is>
      </c>
      <c r="L2451" s="23" t="inlineStr">
        <is>
          <t>мяг</t>
        </is>
      </c>
      <c r="M2451" s="23" t="n">
        <v>318</v>
      </c>
      <c r="N2451" s="23" t="n">
        <v>2008</v>
      </c>
      <c r="O2451" s="23" t="inlineStr">
        <is>
          <t>     </t>
        </is>
      </c>
      <c r="P2451" s="23" t="n"/>
      <c r="Q2451" s="23" t="n"/>
      <c r="R2451" s="25" t="n"/>
      <c r="S2451" s="26">
        <f>HYPERLINK("http://www.cnpol.ru/covers/10218.jpg","фото на сайте")</f>
        <v/>
      </c>
    </row>
    <row r="2452" ht="50.1" customHeight="1" s="3">
      <c r="A2452" s="23" t="n"/>
      <c r="B2452" s="24" t="inlineStr">
        <is>
          <t>7689</t>
        </is>
      </c>
      <c r="C2452" s="23" t="inlineStr">
        <is>
          <t>М СТ+</t>
        </is>
      </c>
      <c r="D2452" s="23" t="inlineStr">
        <is>
          <t>Лобановская И.</t>
        </is>
      </c>
      <c r="E2452" s="23" t="inlineStr">
        <is>
          <t>Неземная девочка</t>
        </is>
      </c>
      <c r="F2452" s="23" t="inlineStr">
        <is>
          <t>        </t>
        </is>
      </c>
      <c r="G2452" s="23" t="n">
        <v>168</v>
      </c>
      <c r="H2452" s="23" t="n">
        <v>10</v>
      </c>
      <c r="I2452" s="23" t="n">
        <v>24</v>
      </c>
      <c r="J2452" s="23" t="inlineStr">
        <is>
          <t>978-5-9524-2606-1</t>
        </is>
      </c>
      <c r="K2452" s="23" t="inlineStr">
        <is>
          <t>70x90 1/32</t>
        </is>
      </c>
      <c r="L2452" s="23" t="inlineStr">
        <is>
          <t>мяг</t>
        </is>
      </c>
      <c r="M2452" s="23" t="n">
        <v>350</v>
      </c>
      <c r="N2452" s="23" t="n">
        <v>2008</v>
      </c>
      <c r="O2452" s="23" t="n">
        <v>146</v>
      </c>
      <c r="P2452" s="23" t="n"/>
      <c r="Q2452" s="23" t="n"/>
      <c r="R2452" s="25" t="n"/>
      <c r="S2452" s="26">
        <f>HYPERLINK("http://www.cnpol.ru/covers/7689.jpg","фото на сайте")</f>
        <v/>
      </c>
    </row>
    <row r="2453" ht="50.1" customHeight="1" s="3">
      <c r="A2453" s="23" t="n"/>
      <c r="B2453" s="24" t="inlineStr">
        <is>
          <t>10180</t>
        </is>
      </c>
      <c r="C2453" s="23" t="inlineStr">
        <is>
          <t>М СТ+</t>
        </is>
      </c>
      <c r="D2453" s="23" t="inlineStr">
        <is>
          <t>Лобановская И.</t>
        </is>
      </c>
      <c r="E2453" s="23" t="inlineStr">
        <is>
          <t>Скажи мне да</t>
        </is>
      </c>
      <c r="F2453" s="23" t="inlineStr">
        <is>
          <t>        </t>
        </is>
      </c>
      <c r="G2453" s="23" t="n">
        <v>168</v>
      </c>
      <c r="H2453" s="23" t="n">
        <v>10</v>
      </c>
      <c r="I2453" s="23" t="n">
        <v>32</v>
      </c>
      <c r="J2453" s="23" t="inlineStr">
        <is>
          <t>978-5-9524-3352-6</t>
        </is>
      </c>
      <c r="K2453" s="23" t="inlineStr">
        <is>
          <t>70x90 1/32</t>
        </is>
      </c>
      <c r="L2453" s="23" t="inlineStr">
        <is>
          <t>мяг</t>
        </is>
      </c>
      <c r="M2453" s="23" t="n">
        <v>254</v>
      </c>
      <c r="N2453" s="23" t="n">
        <v>2008</v>
      </c>
      <c r="O2453" s="23" t="n">
        <v>106</v>
      </c>
      <c r="P2453" s="23" t="n"/>
      <c r="Q2453" s="23" t="n"/>
      <c r="R2453" s="25" t="n"/>
      <c r="S2453" s="26">
        <f>HYPERLINK("http://www.cnpol.ru/covers/10180.jpg","фото на сайте")</f>
        <v/>
      </c>
    </row>
    <row r="2454" ht="50.1" customHeight="1" s="3">
      <c r="A2454" s="23" t="n"/>
      <c r="B2454" s="24" t="inlineStr">
        <is>
          <t>10178</t>
        </is>
      </c>
      <c r="C2454" s="23" t="inlineStr">
        <is>
          <t>М СТ+</t>
        </is>
      </c>
      <c r="D2454" s="23" t="inlineStr">
        <is>
          <t>Добровольская Ю.</t>
        </is>
      </c>
      <c r="E2454" s="23" t="inlineStr">
        <is>
          <t>Смотрю на тебя</t>
        </is>
      </c>
      <c r="F2454" s="23" t="inlineStr">
        <is>
          <t>        </t>
        </is>
      </c>
      <c r="G2454" s="23" t="n">
        <v>168</v>
      </c>
      <c r="H2454" s="23" t="n">
        <v>10</v>
      </c>
      <c r="I2454" s="23" t="n">
        <v>28</v>
      </c>
      <c r="J2454" s="23" t="inlineStr">
        <is>
          <t>978-5-9524-3334-2</t>
        </is>
      </c>
      <c r="K2454" s="23" t="inlineStr">
        <is>
          <t>70x90 1/32</t>
        </is>
      </c>
      <c r="L2454" s="23" t="inlineStr">
        <is>
          <t>мяг</t>
        </is>
      </c>
      <c r="M2454" s="23" t="n">
        <v>365</v>
      </c>
      <c r="N2454" s="23" t="n">
        <v>2008</v>
      </c>
      <c r="O2454" s="23" t="inlineStr">
        <is>
          <t>     </t>
        </is>
      </c>
      <c r="P2454" s="23" t="n"/>
      <c r="Q2454" s="23" t="n"/>
      <c r="R2454" s="25" t="n"/>
      <c r="S2454" s="26">
        <f>HYPERLINK("http://www.cnpol.ru/covers/10178.jpg","фото на сайте")</f>
        <v/>
      </c>
    </row>
    <row r="2455" ht="50.1" customHeight="1" s="3">
      <c r="A2455" s="23" t="n"/>
      <c r="B2455" s="24" t="inlineStr">
        <is>
          <t>10304</t>
        </is>
      </c>
      <c r="C2455" s="23" t="inlineStr">
        <is>
          <t>М СТ+</t>
        </is>
      </c>
      <c r="D2455" s="23" t="inlineStr">
        <is>
          <t>Демидова С.</t>
        </is>
      </c>
      <c r="E2455" s="23" t="inlineStr">
        <is>
          <t>У каждого своё проклятье</t>
        </is>
      </c>
      <c r="F2455" s="23" t="inlineStr">
        <is>
          <t>        </t>
        </is>
      </c>
      <c r="G2455" s="23" t="n">
        <v>168</v>
      </c>
      <c r="H2455" s="23" t="n">
        <v>10</v>
      </c>
      <c r="I2455" s="23" t="n">
        <v>20</v>
      </c>
      <c r="J2455" s="23" t="inlineStr">
        <is>
          <t>978-5-9524-3401-1</t>
        </is>
      </c>
      <c r="K2455" s="23" t="inlineStr">
        <is>
          <t>70x90 1/32</t>
        </is>
      </c>
      <c r="L2455" s="23" t="inlineStr">
        <is>
          <t>мяг</t>
        </is>
      </c>
      <c r="M2455" s="23" t="n">
        <v>348</v>
      </c>
      <c r="N2455" s="23" t="n">
        <v>2008</v>
      </c>
      <c r="O2455" s="23" t="n">
        <v>138</v>
      </c>
      <c r="P2455" s="23" t="n"/>
      <c r="Q2455" s="23" t="n"/>
      <c r="R2455" s="25" t="n"/>
      <c r="S2455" s="26">
        <f>HYPERLINK("http://www.cnpol.ru/covers/10304.jpg","фото на сайте")</f>
        <v/>
      </c>
    </row>
    <row r="2456" ht="50.1" customHeight="1" s="3">
      <c r="A2456" s="23" t="n"/>
      <c r="B2456" s="24" t="inlineStr">
        <is>
          <t>10104</t>
        </is>
      </c>
      <c r="C2456" s="23" t="inlineStr">
        <is>
          <t>М СТ+</t>
        </is>
      </c>
      <c r="D2456" s="23" t="inlineStr">
        <is>
          <t>Лобановская И.</t>
        </is>
      </c>
      <c r="E2456" s="23" t="inlineStr">
        <is>
          <t>Цена ошибки</t>
        </is>
      </c>
      <c r="F2456" s="23" t="inlineStr">
        <is>
          <t>        </t>
        </is>
      </c>
      <c r="G2456" s="23" t="n">
        <v>168</v>
      </c>
      <c r="H2456" s="23" t="n">
        <v>10</v>
      </c>
      <c r="I2456" s="23" t="n">
        <v>20</v>
      </c>
      <c r="J2456" s="23" t="inlineStr">
        <is>
          <t>978-5-9524-3291-8</t>
        </is>
      </c>
      <c r="K2456" s="23" t="inlineStr">
        <is>
          <t>70x90 1/32</t>
        </is>
      </c>
      <c r="L2456" s="23" t="inlineStr">
        <is>
          <t>мяг</t>
        </is>
      </c>
      <c r="M2456" s="23" t="n">
        <v>317</v>
      </c>
      <c r="N2456" s="23" t="n">
        <v>2008</v>
      </c>
      <c r="O2456" s="23" t="n">
        <v>128</v>
      </c>
      <c r="P2456" s="23" t="n"/>
      <c r="Q2456" s="23" t="n"/>
      <c r="R2456" s="25" t="n"/>
      <c r="S2456" s="26">
        <f>HYPERLINK("http://www.cnpol.ru/covers/10104.jpg","фото на сайте")</f>
        <v/>
      </c>
    </row>
    <row r="2457" ht="50.1" customHeight="1" s="3">
      <c r="A2457" s="23" t="n"/>
      <c r="B2457" s="24" t="inlineStr">
        <is>
          <t>12922</t>
        </is>
      </c>
      <c r="C2457" s="23" t="inlineStr">
        <is>
          <t>М СЧАСТЬЕ</t>
        </is>
      </c>
      <c r="D2457" s="23" t="inlineStr">
        <is>
          <t>Сябитова Р.</t>
        </is>
      </c>
      <c r="E2457" s="23" t="inlineStr">
        <is>
          <t>Мужчина твоей мечты. Найти и быть с ним счастливой. Советы первой свахи России</t>
        </is>
      </c>
      <c r="F2457" s="23" t="inlineStr">
        <is>
          <t>        </t>
        </is>
      </c>
      <c r="G2457" s="23" t="n">
        <v>140</v>
      </c>
      <c r="H2457" s="23" t="n">
        <v>10</v>
      </c>
      <c r="I2457" s="23" t="n">
        <v>28</v>
      </c>
      <c r="J2457" s="23" t="inlineStr">
        <is>
          <t>978-5-227-03045-0</t>
        </is>
      </c>
      <c r="K2457" s="23" t="inlineStr">
        <is>
          <t>70x90 1/32</t>
        </is>
      </c>
      <c r="L2457" s="23" t="inlineStr">
        <is>
          <t>мяг</t>
        </is>
      </c>
      <c r="M2457" s="23" t="n">
        <v>318</v>
      </c>
      <c r="N2457" s="23" t="n">
        <v>2011</v>
      </c>
      <c r="O2457" s="23" t="n">
        <v>134</v>
      </c>
      <c r="P2457" s="23" t="n"/>
      <c r="Q2457" s="23" t="n"/>
      <c r="R2457" s="25" t="n"/>
      <c r="S2457" s="26">
        <f>HYPERLINK("http://www.cnpol.ru/covers/12922.jpg","фото на сайте")</f>
        <v/>
      </c>
    </row>
    <row r="2458" ht="50.1" customHeight="1" s="3">
      <c r="A2458" s="23" t="n"/>
      <c r="B2458" s="24" t="inlineStr">
        <is>
          <t>13559</t>
        </is>
      </c>
      <c r="C2458" s="23" t="inlineStr">
        <is>
          <t>М ТРУШ</t>
        </is>
      </c>
      <c r="D2458" s="23" t="inlineStr">
        <is>
          <t>Труш Н.</t>
        </is>
      </c>
      <c r="E2458" s="23" t="inlineStr">
        <is>
          <t>Одиночное плавание к острову Крым</t>
        </is>
      </c>
      <c r="F2458" s="23" t="inlineStr">
        <is>
          <t>        </t>
        </is>
      </c>
      <c r="G2458" s="23" t="n">
        <v>168</v>
      </c>
      <c r="H2458" s="23" t="n">
        <v>10</v>
      </c>
      <c r="I2458" s="23" t="n">
        <v>28</v>
      </c>
      <c r="J2458" s="23" t="inlineStr">
        <is>
          <t>978-5-227-03656-8</t>
        </is>
      </c>
      <c r="K2458" s="23" t="inlineStr">
        <is>
          <t>70x90 1/32</t>
        </is>
      </c>
      <c r="L2458" s="23" t="inlineStr">
        <is>
          <t>мяг</t>
        </is>
      </c>
      <c r="M2458" s="23" t="n">
        <v>351</v>
      </c>
      <c r="N2458" s="23" t="n">
        <v>2012</v>
      </c>
      <c r="O2458" s="23" t="n">
        <v>140</v>
      </c>
      <c r="P2458" s="23" t="n"/>
      <c r="Q2458" s="23" t="n"/>
      <c r="R2458" s="25" t="n"/>
      <c r="S2458" s="26">
        <f>HYPERLINK("http://www.cnpol.ru/covers/13559.jpg","фото на сайте")</f>
        <v/>
      </c>
    </row>
    <row r="2459" ht="50.1" customHeight="1" s="3">
      <c r="A2459" s="23" t="n"/>
      <c r="B2459" s="24" t="inlineStr">
        <is>
          <t>13992</t>
        </is>
      </c>
      <c r="C2459" s="23" t="inlineStr">
        <is>
          <t>М ТРУШ</t>
        </is>
      </c>
      <c r="D2459" s="23" t="inlineStr">
        <is>
          <t>Труш Н.</t>
        </is>
      </c>
      <c r="E2459" s="23" t="inlineStr">
        <is>
          <t>Остров любящей женщины</t>
        </is>
      </c>
      <c r="F2459" s="23" t="inlineStr">
        <is>
          <t>        </t>
        </is>
      </c>
      <c r="G2459" s="23" t="n">
        <v>168</v>
      </c>
      <c r="H2459" s="23" t="n">
        <v>10</v>
      </c>
      <c r="I2459" s="23" t="n">
        <v>24</v>
      </c>
      <c r="J2459" s="23" t="inlineStr">
        <is>
          <t>978-5-227-04072-5</t>
        </is>
      </c>
      <c r="K2459" s="23" t="inlineStr">
        <is>
          <t>70x90 1/32</t>
        </is>
      </c>
      <c r="L2459" s="23" t="inlineStr">
        <is>
          <t>мяг</t>
        </is>
      </c>
      <c r="M2459" s="23" t="n">
        <v>352</v>
      </c>
      <c r="N2459" s="23" t="n">
        <v>2012</v>
      </c>
      <c r="O2459" s="23" t="n">
        <v>144</v>
      </c>
      <c r="P2459" s="23" t="n"/>
      <c r="Q2459" s="23" t="n"/>
      <c r="R2459" s="25" t="n"/>
      <c r="S2459" s="26">
        <f>HYPERLINK("http://www.cnpol.ru/covers/13992.jpg","фото на сайте")</f>
        <v/>
      </c>
    </row>
    <row r="2460" ht="50.1" customHeight="1" s="3">
      <c r="A2460" s="23" t="n"/>
      <c r="B2460" s="24" t="inlineStr">
        <is>
          <t>18087</t>
        </is>
      </c>
      <c r="C2460" s="23" t="inlineStr">
        <is>
          <t>М ШОУОЛТЕР</t>
        </is>
      </c>
      <c r="D2460" s="23" t="inlineStr">
        <is>
          <t>Шоуолтер Д.</t>
        </is>
      </c>
      <c r="E2460" s="23" t="inlineStr">
        <is>
          <t>Темная ложь</t>
        </is>
      </c>
      <c r="F2460" s="23" t="inlineStr">
        <is>
          <t>        </t>
        </is>
      </c>
      <c r="G2460" s="23" t="n">
        <v>422</v>
      </c>
      <c r="H2460" s="23" t="n">
        <v>10</v>
      </c>
      <c r="I2460" s="23" t="n">
        <v>10</v>
      </c>
      <c r="J2460" s="23" t="inlineStr">
        <is>
          <t>978-5-227-08206-0</t>
        </is>
      </c>
      <c r="K2460" s="23" t="inlineStr">
        <is>
          <t>84x108 1/32</t>
        </is>
      </c>
      <c r="L2460" s="23" t="inlineStr">
        <is>
          <t>Интегр</t>
        </is>
      </c>
      <c r="M2460" s="23" t="n">
        <v>416</v>
      </c>
      <c r="N2460" s="23" t="n">
        <v>2018</v>
      </c>
      <c r="O2460" s="23" t="n">
        <v>242</v>
      </c>
      <c r="P2460" s="23" t="n"/>
      <c r="Q2460" s="23" t="n"/>
      <c r="R2460" s="25" t="n"/>
      <c r="S2460" s="26">
        <f>HYPERLINK("http://www.cnpol.ru/covers/18087.jpg","фото на сайте")</f>
        <v/>
      </c>
    </row>
    <row r="2461" ht="50.1" customHeight="1" s="3">
      <c r="A2461" s="23" t="n"/>
      <c r="B2461" s="24" t="inlineStr">
        <is>
          <t>17876</t>
        </is>
      </c>
      <c r="C2461" s="23" t="inlineStr">
        <is>
          <t>М ШОУОЛТЕР</t>
        </is>
      </c>
      <c r="D2461" s="23" t="inlineStr">
        <is>
          <t>Шоуолтер Д.</t>
        </is>
      </c>
      <c r="E2461" s="23" t="inlineStr">
        <is>
          <t>Темная ночь</t>
        </is>
      </c>
      <c r="F2461" s="23" t="inlineStr">
        <is>
          <t>        </t>
        </is>
      </c>
      <c r="G2461" s="23" t="n">
        <v>422</v>
      </c>
      <c r="H2461" s="23" t="n">
        <v>10</v>
      </c>
      <c r="I2461" s="23" t="n">
        <v>10</v>
      </c>
      <c r="J2461" s="23" t="inlineStr">
        <is>
          <t>978-5-227-07985-5</t>
        </is>
      </c>
      <c r="K2461" s="23" t="inlineStr">
        <is>
          <t>84x108 1/32</t>
        </is>
      </c>
      <c r="L2461" s="23" t="inlineStr">
        <is>
          <t>Интегр</t>
        </is>
      </c>
      <c r="M2461" s="23" t="n">
        <v>416</v>
      </c>
      <c r="N2461" s="23" t="n">
        <v>2017</v>
      </c>
      <c r="O2461" s="23" t="n">
        <v>252</v>
      </c>
      <c r="P2461" s="23" t="n"/>
      <c r="Q2461" s="23" t="n"/>
      <c r="R2461" s="25" t="n"/>
      <c r="S2461" s="26">
        <f>HYPERLINK("http://www.cnpol.ru/covers/17876.jpg","фото на сайте")</f>
        <v/>
      </c>
    </row>
    <row r="2462" ht="50.1" customHeight="1" s="3">
      <c r="A2462" s="23" t="n"/>
      <c r="B2462" s="24" t="inlineStr">
        <is>
          <t>18059</t>
        </is>
      </c>
      <c r="C2462" s="23" t="inlineStr">
        <is>
          <t>М ШОУОЛТЕР</t>
        </is>
      </c>
      <c r="D2462" s="23" t="inlineStr">
        <is>
          <t>Шоуолтер Д.</t>
        </is>
      </c>
      <c r="E2462" s="23" t="inlineStr">
        <is>
          <t>Темная страсть</t>
        </is>
      </c>
      <c r="F2462" s="23" t="inlineStr">
        <is>
          <t>        </t>
        </is>
      </c>
      <c r="G2462" s="23" t="n">
        <v>422</v>
      </c>
      <c r="H2462" s="23" t="n">
        <v>10</v>
      </c>
      <c r="I2462" s="23" t="n">
        <v>10</v>
      </c>
      <c r="J2462" s="23" t="inlineStr">
        <is>
          <t>978-5-227-08119-3</t>
        </is>
      </c>
      <c r="K2462" s="23" t="inlineStr">
        <is>
          <t>84x108 1/32</t>
        </is>
      </c>
      <c r="L2462" s="23" t="inlineStr">
        <is>
          <t>Интегр</t>
        </is>
      </c>
      <c r="M2462" s="23" t="n">
        <v>416</v>
      </c>
      <c r="N2462" s="23" t="n">
        <v>2018</v>
      </c>
      <c r="O2462" s="23" t="n">
        <v>252</v>
      </c>
      <c r="P2462" s="23" t="n"/>
      <c r="Q2462" s="23" t="n"/>
      <c r="R2462" s="25" t="n"/>
      <c r="S2462" s="26">
        <f>HYPERLINK("http://www.cnpol.ru/covers/18059.jpg","фото на сайте")</f>
        <v/>
      </c>
    </row>
    <row r="2463" ht="50.1" customHeight="1" s="3">
      <c r="A2463" s="23" t="n"/>
      <c r="B2463" s="24" t="inlineStr">
        <is>
          <t>17948</t>
        </is>
      </c>
      <c r="C2463" s="23" t="inlineStr">
        <is>
          <t>М ШОУОЛТЕР</t>
        </is>
      </c>
      <c r="D2463" s="23" t="inlineStr">
        <is>
          <t>Шоуолтер Д.</t>
        </is>
      </c>
      <c r="E2463" s="23" t="inlineStr">
        <is>
          <t>Темное удовольствие</t>
        </is>
      </c>
      <c r="F2463" s="23" t="inlineStr">
        <is>
          <t>        </t>
        </is>
      </c>
      <c r="G2463" s="23" t="n">
        <v>422</v>
      </c>
      <c r="H2463" s="23" t="n">
        <v>10</v>
      </c>
      <c r="I2463" s="23" t="n">
        <v>10</v>
      </c>
      <c r="J2463" s="23" t="inlineStr">
        <is>
          <t>978-5-227-08029-5</t>
        </is>
      </c>
      <c r="K2463" s="23" t="inlineStr">
        <is>
          <t>84x108 1/32</t>
        </is>
      </c>
      <c r="L2463" s="23" t="inlineStr">
        <is>
          <t>Интегр</t>
        </is>
      </c>
      <c r="M2463" s="23" t="n">
        <v>416</v>
      </c>
      <c r="N2463" s="23" t="n">
        <v>2018</v>
      </c>
      <c r="O2463" s="23" t="n">
        <v>252</v>
      </c>
      <c r="P2463" s="23" t="n"/>
      <c r="Q2463" s="23" t="n"/>
      <c r="R2463" s="25" t="n"/>
      <c r="S2463" s="26">
        <f>HYPERLINK("http://www.cnpol.ru/covers/17948.jpg","фото на сайте")</f>
        <v/>
      </c>
    </row>
    <row r="2464" ht="50.1" customHeight="1" s="3">
      <c r="A2464" s="23" t="n"/>
      <c r="B2464" s="24" t="inlineStr">
        <is>
          <t>17899</t>
        </is>
      </c>
      <c r="C2464" s="23" t="inlineStr">
        <is>
          <t>М ШОУОЛТЕР</t>
        </is>
      </c>
      <c r="D2464" s="23" t="inlineStr">
        <is>
          <t>Шоуолтер Д.</t>
        </is>
      </c>
      <c r="E2464" s="23" t="inlineStr">
        <is>
          <t>Темный поцелуй</t>
        </is>
      </c>
      <c r="F2464" s="23" t="inlineStr">
        <is>
          <t>        </t>
        </is>
      </c>
      <c r="G2464" s="23" t="n">
        <v>422</v>
      </c>
      <c r="H2464" s="23" t="n">
        <v>10</v>
      </c>
      <c r="I2464" s="23" t="n">
        <v>10</v>
      </c>
      <c r="J2464" s="23" t="inlineStr">
        <is>
          <t>978-5-227-08001-1</t>
        </is>
      </c>
      <c r="K2464" s="23" t="inlineStr">
        <is>
          <t>84x108 1/32</t>
        </is>
      </c>
      <c r="L2464" s="23" t="inlineStr">
        <is>
          <t>Интегр</t>
        </is>
      </c>
      <c r="M2464" s="23" t="n">
        <v>416</v>
      </c>
      <c r="N2464" s="23" t="n">
        <v>2018</v>
      </c>
      <c r="O2464" s="23" t="n">
        <v>252</v>
      </c>
      <c r="P2464" s="23" t="n"/>
      <c r="Q2464" s="23" t="n"/>
      <c r="R2464" s="25" t="n"/>
      <c r="S2464" s="26">
        <f>HYPERLINK("http://www.cnpol.ru/covers/17899.jpg","фото на сайте")</f>
        <v/>
      </c>
    </row>
    <row r="2465" ht="50.1" customHeight="1" s="3">
      <c r="A2465" s="23" t="n"/>
      <c r="B2465" s="24" t="inlineStr">
        <is>
          <t>18003</t>
        </is>
      </c>
      <c r="C2465" s="23" t="inlineStr">
        <is>
          <t>М ШОУОЛТЕР</t>
        </is>
      </c>
      <c r="D2465" s="23" t="inlineStr">
        <is>
          <t>Шоуолтер Д.</t>
        </is>
      </c>
      <c r="E2465" s="23" t="inlineStr">
        <is>
          <t>Темный шепот</t>
        </is>
      </c>
      <c r="F2465" s="23" t="inlineStr">
        <is>
          <t>        </t>
        </is>
      </c>
      <c r="G2465" s="23" t="n">
        <v>422</v>
      </c>
      <c r="H2465" s="23" t="n">
        <v>10</v>
      </c>
      <c r="I2465" s="23" t="n">
        <v>10</v>
      </c>
      <c r="J2465" s="23" t="inlineStr">
        <is>
          <t>978-5-227-08099-8</t>
        </is>
      </c>
      <c r="K2465" s="23" t="inlineStr">
        <is>
          <t>84x108 1/32</t>
        </is>
      </c>
      <c r="L2465" s="23" t="inlineStr">
        <is>
          <t>Интегр</t>
        </is>
      </c>
      <c r="M2465" s="23" t="n">
        <v>416</v>
      </c>
      <c r="N2465" s="23" t="n">
        <v>2018</v>
      </c>
      <c r="O2465" s="23" t="n">
        <v>252</v>
      </c>
      <c r="P2465" s="23" t="n"/>
      <c r="Q2465" s="23" t="n"/>
      <c r="R2465" s="25" t="n"/>
      <c r="S2465" s="26">
        <f>HYPERLINK("http://www.cnpol.ru/covers/18003.jpg","фото на сайте")</f>
        <v/>
      </c>
    </row>
    <row r="2466" ht="50.1" customHeight="1" s="3">
      <c r="A2466" s="23" t="inlineStr">
        <is>
          <t>Н</t>
        </is>
      </c>
      <c r="B2466" s="24" t="inlineStr">
        <is>
          <t>21433</t>
        </is>
      </c>
      <c r="C2466" s="23" t="inlineStr">
        <is>
          <t>МАГИЯ</t>
        </is>
      </c>
      <c r="D2466" s="23" t="inlineStr">
        <is>
          <t>Мартьянова Л.М.</t>
        </is>
      </c>
      <c r="E2466" s="23" t="inlineStr">
        <is>
          <t>Книга-оберег. Всё для защиты вашего здоровья и благополучия. Гарантия любви, добра и достатка в вашем доме</t>
        </is>
      </c>
      <c r="F2466" s="23" t="inlineStr">
        <is>
          <t>        </t>
        </is>
      </c>
      <c r="G2466" s="23" t="n">
        <v>794</v>
      </c>
      <c r="H2466" s="23" t="n">
        <v>10</v>
      </c>
      <c r="I2466" s="23" t="n">
        <v>2</v>
      </c>
      <c r="J2466" s="23" t="inlineStr">
        <is>
          <t>978-5-9524-6075-1</t>
        </is>
      </c>
      <c r="K2466" s="23" t="inlineStr">
        <is>
          <t>70x108 1/32</t>
        </is>
      </c>
      <c r="L2466" s="23" t="inlineStr">
        <is>
          <t>тв</t>
        </is>
      </c>
      <c r="M2466" s="23" t="n">
        <v>415</v>
      </c>
      <c r="N2466" s="23" t="n">
        <v>2025</v>
      </c>
      <c r="O2466" s="23" t="n">
        <v>310</v>
      </c>
      <c r="P2466" s="23" t="n"/>
      <c r="Q2466" s="23" t="n"/>
      <c r="R2466" s="25" t="inlineStr">
        <is>
          <t>Каждый из нас в глубине души верит в чудеса, надеется на лучшее и мечтает о счастье. Чтобы чувствовать себя уверенным и защищённым, приобретите себе книгу-оберег. Оберег — предмет, обладающий способностью защищать его владельца от разных бедствий. Он может охранять не только человека, но и предметы — дом, имущество, домашних питомцев, автомобиль._x000D_
Мы собрали в это издание самые простые и действенные заговоры, молитвы, обряды, шепотки и талисманы, всё для защиты вашего здоровья и благополучия. Имея такую книгу и используя её во благо, вы получаете гарантию любви, добра и достатка в вашем доме. С её помощью вы легко избавитесь от неудач, нашепчете мир и уют своей семье, призовёте везение и прогоните хандру. Пока эта книга у вас, вы практически неуязвимы!</t>
        </is>
      </c>
      <c r="S2466" s="26">
        <f>HYPERLINK("http://www.cnpol.ru/covers/21433.jpg","фото на сайте")</f>
        <v/>
      </c>
    </row>
    <row r="2467" ht="50.1" customHeight="1" s="3">
      <c r="A2467" s="23" t="inlineStr">
        <is>
          <t>Д</t>
        </is>
      </c>
      <c r="B2467" s="24" t="inlineStr">
        <is>
          <t>21952</t>
        </is>
      </c>
      <c r="C2467" s="23" t="inlineStr">
        <is>
          <t>МАГИЯ ДОБРА</t>
        </is>
      </c>
      <c r="D2467" s="23" t="inlineStr">
        <is>
          <t>Незлобина Д.</t>
        </is>
      </c>
      <c r="E2467" s="23" t="inlineStr">
        <is>
          <t>Исцеляющие заговоры и обряды на здоровье. Правила проведения. При эпидемиях. От различных болезней. Для рожениц. Для детей и стариков. Для красоты</t>
        </is>
      </c>
      <c r="F2467" s="23" t="inlineStr">
        <is>
          <t>        </t>
        </is>
      </c>
      <c r="G2467" s="23" t="n">
        <v>219</v>
      </c>
      <c r="H2467" s="23" t="n">
        <v>10</v>
      </c>
      <c r="I2467" s="23" t="n">
        <v>12</v>
      </c>
      <c r="J2467" s="23" t="inlineStr">
        <is>
          <t>978-5-9524-6487-2</t>
        </is>
      </c>
      <c r="K2467" s="23" t="inlineStr">
        <is>
          <t>84x108 1/32 (обл)</t>
        </is>
      </c>
      <c r="L2467" s="23" t="inlineStr">
        <is>
          <t>мяг</t>
        </is>
      </c>
      <c r="M2467" s="23" t="n">
        <v>191</v>
      </c>
      <c r="N2467" s="23" t="n">
        <v>2026</v>
      </c>
      <c r="O2467" s="23" t="n">
        <v>115</v>
      </c>
      <c r="P2467" s="23" t="n"/>
      <c r="Q2467" s="23" t="n"/>
      <c r="R2467" s="25" t="inlineStr">
        <is>
          <t>"Когда дело касается здоровья, человек хватается за любую возможность его сохранить или поправить. В ход идёт все: традиционная и нетрадиционная медицина, церковные молитвы и, конечно же, обряды и заговоры… Заговор — это заклинание, магические слова, обладающие, по поверью, волшебной или целебной силой. В этой книге собраны заговоры и обряды, которые помогут вам при различных недугах, уменьшат страдания рожениц, оградят от беды во время эпидемий, поддержат стариков, сохранят детей, облегчат боль, защитят от негативного воздействия. Даны правила проведения заговоров и способы снятия их в домашних условиях.
Заговор — средство, связывающее человека с высшими силами, способными исполнить задуманное.
Крепкого здоровья вам и вашим близким, исполнения желаний, и пусть они будут только добрыми и позитивными."</t>
        </is>
      </c>
      <c r="S2467" s="26">
        <f>HYPERLINK("http://www.cnpol.ru/covers/21952.jpg","фото на сайте")</f>
        <v/>
      </c>
    </row>
    <row r="2468" ht="50.1" customHeight="1" s="3">
      <c r="A2468" s="23" t="inlineStr">
        <is>
          <t>Д</t>
        </is>
      </c>
      <c r="B2468" s="24" t="inlineStr">
        <is>
          <t>21999</t>
        </is>
      </c>
      <c r="C2468" s="23" t="inlineStr">
        <is>
          <t>МАГИЯ ДОБРА</t>
        </is>
      </c>
      <c r="D2468" s="23" t="inlineStr">
        <is>
          <t>Незлобина Д.</t>
        </is>
      </c>
      <c r="E2468" s="23" t="inlineStr">
        <is>
          <t>Самые верные заговоры и обряды на богатство. Правила проведения. На кошелек и банковскую карту. Увел</t>
        </is>
      </c>
      <c r="F2468" s="23" t="inlineStr">
        <is>
          <t>        </t>
        </is>
      </c>
      <c r="G2468" s="23" t="n">
        <v>203</v>
      </c>
      <c r="H2468" s="23" t="n">
        <v>10</v>
      </c>
      <c r="I2468" s="23" t="n">
        <v>12</v>
      </c>
      <c r="J2468" s="23" t="inlineStr">
        <is>
          <t>978-5-9524-6490-2</t>
        </is>
      </c>
      <c r="K2468" s="23" t="inlineStr">
        <is>
          <t>84x108 1/32</t>
        </is>
      </c>
      <c r="L2468" s="23" t="inlineStr">
        <is>
          <t>мяг</t>
        </is>
      </c>
      <c r="M2468" s="23" t="n">
        <v>191</v>
      </c>
      <c r="N2468" s="23" t="n">
        <v>2026</v>
      </c>
      <c r="O2468" s="23" t="n">
        <v>120</v>
      </c>
      <c r="P2468" s="23" t="n"/>
      <c r="Q2468" s="23" t="n"/>
      <c r="R2468" s="25" t="inlineStr">
        <is>
          <t>Деньги и удача — это то, чем хочется обладать любому человеку. Но многие из нас неоднократно сталкивались с финансовыми трудностями и сложными периодами в жизни, когда Фортуна с насмешкой проходила мимо и отворачивалась. Для повышения финансового состояния существует огромное множество заговоров и обрядов. Вам необходимо только выбрать понравившийся, правильно совершить ритуал и поверить в силу произнесенного заклинания._x000D_
Денежная магия — одна из самых востребованных, и она довольно сильна. Питают ее древние знания, которые копили и использовали жрецы и колдуны разных народов и времен._x000D_
Заговор — средство, связывающее человека с высшими силами, способными исполнить задуманное. Чтобы заговор сработал, важно иметь чистые помыслы и светлые намерения, и тогда все получится!</t>
        </is>
      </c>
      <c r="S2468" s="26">
        <f>HYPERLINK("http://www.cnpol.ru/covers/21999.jpg","фото на сайте")</f>
        <v/>
      </c>
    </row>
    <row r="2469" ht="50.1" customHeight="1" s="3">
      <c r="A2469" s="23" t="n"/>
      <c r="B2469" s="24" t="inlineStr">
        <is>
          <t>19409</t>
        </is>
      </c>
      <c r="C2469" s="23" t="inlineStr">
        <is>
          <t>МАГИЯ ДОБРА</t>
        </is>
      </c>
      <c r="D2469" s="23" t="inlineStr">
        <is>
          <t>Незлобина Д.</t>
        </is>
      </c>
      <c r="E2469" s="23" t="inlineStr">
        <is>
          <t>Чудодейственные заговоры и обряды на любовь. Правила проведения. Избавление от одиночества. Счастье в браке. Для верности и преданности. От разлуки и измен. Вернуть любимого</t>
        </is>
      </c>
      <c r="F2469" s="23" t="inlineStr">
        <is>
          <t>        </t>
        </is>
      </c>
      <c r="G2469" s="23" t="n">
        <v>203</v>
      </c>
      <c r="H2469" s="23" t="n">
        <v>10</v>
      </c>
      <c r="I2469" s="23" t="n">
        <v>24</v>
      </c>
      <c r="J2469" s="23" t="inlineStr">
        <is>
          <t>978-5-9524-5366-1</t>
        </is>
      </c>
      <c r="K2469" s="23" t="inlineStr">
        <is>
          <t>84x108 1/32 (обл)</t>
        </is>
      </c>
      <c r="L2469" s="23" t="inlineStr">
        <is>
          <t>мяг</t>
        </is>
      </c>
      <c r="M2469" s="23" t="n">
        <v>192</v>
      </c>
      <c r="N2469" s="23" t="n">
        <v>2020</v>
      </c>
      <c r="O2469" s="23" t="n">
        <v>120</v>
      </c>
      <c r="P2469" s="23" t="n"/>
      <c r="Q2469" s="23" t="n"/>
      <c r="R2469" s="25" t="n"/>
      <c r="S2469" s="26">
        <f>HYPERLINK("http://www.cnpol.ru/covers/19409.jpg","фото на сайте")</f>
        <v/>
      </c>
    </row>
    <row r="2470" ht="50.1" customHeight="1" s="3">
      <c r="A2470" s="23" t="n"/>
      <c r="B2470" s="24" t="inlineStr">
        <is>
          <t>20200</t>
        </is>
      </c>
      <c r="C2470" s="23" t="inlineStr">
        <is>
          <t>МАГИЯ НОВ</t>
        </is>
      </c>
      <c r="D2470" s="23" t="inlineStr">
        <is>
          <t>Давид­Неэль А.</t>
        </is>
      </c>
      <c r="E2470" s="23" t="inlineStr">
        <is>
          <t>Магия и тайна Тибета</t>
        </is>
      </c>
      <c r="F2470" s="23" t="inlineStr">
        <is>
          <t>        </t>
        </is>
      </c>
      <c r="G2470" s="27" t="n">
        <v>1023</v>
      </c>
      <c r="H2470" s="23" t="n">
        <v>10</v>
      </c>
      <c r="I2470" s="23" t="n">
        <v>12</v>
      </c>
      <c r="J2470" s="23" t="inlineStr">
        <is>
          <t>978-5-9524-5756-0</t>
        </is>
      </c>
      <c r="K2470" s="23" t="inlineStr">
        <is>
          <t>84x108 1/32</t>
        </is>
      </c>
      <c r="L2470" s="23" t="inlineStr">
        <is>
          <t>тв</t>
        </is>
      </c>
      <c r="M2470" s="23" t="n">
        <v>317</v>
      </c>
      <c r="N2470" s="23" t="n">
        <v>2022</v>
      </c>
      <c r="O2470" s="23" t="n">
        <v>272</v>
      </c>
      <c r="P2470" s="23" t="n"/>
      <c r="Q2470" s="23" t="n"/>
      <c r="R2470" s="25" t="inlineStr">
        <is>
          <t>Автор книги, известная исследовательница и знаток философии буддизма Александра Давид-Неэль, почти четырнадцать лет провела в Тибете. Оставаясь подлинной представительницей Запада, не поддаваясь предубеждениям и догмам, ни в чем не изменяя призванию ученого-исследователя, она познакомила широкую общественность со священным миром лам и разного рода колдунов, их окружающих.</t>
        </is>
      </c>
      <c r="S2470" s="26">
        <f>HYPERLINK("http://www.cnpol.ru/covers/20200.jpg","фото на сайте")</f>
        <v/>
      </c>
    </row>
    <row r="2471" ht="50.1" customHeight="1" s="3">
      <c r="A2471" s="23" t="n"/>
      <c r="B2471" s="24" t="inlineStr">
        <is>
          <t>20214</t>
        </is>
      </c>
      <c r="C2471" s="23" t="inlineStr">
        <is>
          <t>МАГИЯ НОВ</t>
        </is>
      </c>
      <c r="D2471" s="23" t="inlineStr">
        <is>
          <t>Давид­Неэль А.</t>
        </is>
      </c>
      <c r="E2471" s="23" t="inlineStr">
        <is>
          <t>Посвящения и посвященные в Тибете</t>
        </is>
      </c>
      <c r="F2471" s="23" t="inlineStr">
        <is>
          <t>        </t>
        </is>
      </c>
      <c r="G2471" s="23" t="n">
        <v>875</v>
      </c>
      <c r="H2471" s="23" t="n">
        <v>10</v>
      </c>
      <c r="I2471" s="23" t="n">
        <v>16</v>
      </c>
      <c r="J2471" s="23" t="inlineStr">
        <is>
          <t>978-5-9524-5755-3</t>
        </is>
      </c>
      <c r="K2471" s="23" t="inlineStr">
        <is>
          <t>84x108 1/32</t>
        </is>
      </c>
      <c r="L2471" s="23" t="inlineStr">
        <is>
          <t>тв</t>
        </is>
      </c>
      <c r="M2471" s="23" t="n">
        <v>237</v>
      </c>
      <c r="N2471" s="23" t="n">
        <v>2022</v>
      </c>
      <c r="O2471" s="23" t="n">
        <v>265</v>
      </c>
      <c r="P2471" s="23" t="n"/>
      <c r="Q2471" s="23" t="n"/>
      <c r="R2471" s="25" t="n"/>
      <c r="S2471" s="26">
        <f>HYPERLINK("http://www.cnpol.ru/covers/20214.jpg","фото на сайте")</f>
        <v/>
      </c>
    </row>
    <row r="2472" ht="50.1" customHeight="1" s="3">
      <c r="A2472" s="23" t="n"/>
      <c r="B2472" s="24" t="inlineStr">
        <is>
          <t>20827</t>
        </is>
      </c>
      <c r="C2472" s="23" t="inlineStr">
        <is>
          <t>МАКОМБЕР</t>
        </is>
      </c>
      <c r="D2472" s="23" t="inlineStr">
        <is>
          <t>Макомбер Д.</t>
        </is>
      </c>
      <c r="E2472" s="23" t="inlineStr">
        <is>
          <t>Возвращение на Цветочную улицу</t>
        </is>
      </c>
      <c r="F2472" s="23" t="inlineStr">
        <is>
          <t>        </t>
        </is>
      </c>
      <c r="G2472" s="27" t="n">
        <v>1117</v>
      </c>
      <c r="H2472" s="23" t="n">
        <v>10</v>
      </c>
      <c r="I2472" s="23" t="n">
        <v>10</v>
      </c>
      <c r="J2472" s="23" t="inlineStr">
        <is>
          <t>978-5-227-10205-8</t>
        </is>
      </c>
      <c r="K2472" s="23" t="inlineStr">
        <is>
          <t>84x108 1/32</t>
        </is>
      </c>
      <c r="L2472" s="23" t="inlineStr">
        <is>
          <t>тв</t>
        </is>
      </c>
      <c r="M2472" s="23" t="n">
        <v>378</v>
      </c>
      <c r="N2472" s="23" t="n">
        <v>2023</v>
      </c>
      <c r="O2472" s="23" t="n">
        <v>422</v>
      </c>
      <c r="P2472" s="23" t="n"/>
      <c r="Q2472" s="23" t="n"/>
      <c r="R2472" s="25" t="inlineStr">
        <is>
          <t>Магазин «Путеводная нить» на Цветочной улице стал своеобразным клубом для женщин, увлекающихся вязанием. За рукоделием они обсуждают свои планы и проблемы, поддерживают друг друга в трудную минуту, обдумывают новые модели и важные события своей жизни. Аликс выходит замуж по любви, но поведение жениха заставляет ее задуматься, нужна ли она ему. Сестра Лидии Маргарет отчаянно волнуется за дочь, Колетта влюблена, но не хочет признаться в этом даже самой себе. Все они спешат в «Путеводную нить», зная, что здесь их ждут любимое занятие и дружеское участие. Лидия счастлива, именно таким она мечтала видеть свой магазин._x000D_
И, разумеется, Дебби Макомбер предлагает подробное описание двух вариантов шали, над которой трудятся героини ее романа, простой теплой и более сложной, кружевной.</t>
        </is>
      </c>
      <c r="S2472" s="26">
        <f>HYPERLINK("http://www.cnpol.ru/covers/20827.jpg","фото на сайте")</f>
        <v/>
      </c>
    </row>
    <row r="2473" ht="50.1" customHeight="1" s="3">
      <c r="A2473" s="23" t="inlineStr">
        <is>
          <t>Д</t>
        </is>
      </c>
      <c r="B2473" s="24" t="inlineStr">
        <is>
          <t>21763</t>
        </is>
      </c>
      <c r="C2473" s="23" t="inlineStr">
        <is>
          <t>МАКОМБЕР</t>
        </is>
      </c>
      <c r="D2473" s="23" t="inlineStr">
        <is>
          <t>Макомбер Д.</t>
        </is>
      </c>
      <c r="E2473" s="23" t="inlineStr">
        <is>
          <t>Кедровая Бухта</t>
        </is>
      </c>
      <c r="F2473" s="23" t="inlineStr">
        <is>
          <t>        </t>
        </is>
      </c>
      <c r="G2473" s="23" t="n">
        <v>994</v>
      </c>
      <c r="H2473" s="23" t="n">
        <v>10</v>
      </c>
      <c r="I2473" s="23" t="n">
        <v>5</v>
      </c>
      <c r="J2473" s="23" t="inlineStr">
        <is>
          <t>978-5-227-11121-0</t>
        </is>
      </c>
      <c r="K2473" s="23" t="inlineStr">
        <is>
          <t>84x108 1/32</t>
        </is>
      </c>
      <c r="L2473" s="23" t="inlineStr">
        <is>
          <t>тв</t>
        </is>
      </c>
      <c r="M2473" s="23" t="n">
        <v>350</v>
      </c>
      <c r="N2473" s="23" t="n">
        <v>2024</v>
      </c>
      <c r="O2473" s="23" t="n">
        <v>394</v>
      </c>
      <c r="P2473" s="23" t="n"/>
      <c r="Q2473" s="23" t="n"/>
      <c r="R2473" s="25" t="inlineStr">
        <is>
          <t>Оливия Локхарт, судья из маленького городка Кедровая Бухта, постоянно в центре событий и водовороте переживаний. Не ладится личная жизнь у ее взрослой дочери — Джастин боится открыть свое сердце большой любви, подменяя ее удобными отношениями. Общественное мнение городка будоражит принятое судьей нетривиальное решение, но, помня всю горечь своего развода, Оливия все-таки заставляет молодых супругов Яна и Сесилию, чьи отношения разладились после смерти новорожденной дочери, еще раз подумать, прежде чем расстаться. Оливия старается поддержать и подругу Грейс, которую оставил муж, причем повел себя так странно, что поступок его потряс родных и знакомых. Мать Оливии Шарлота, несмотря на почтенный возраст, очень энергичная дама, занялась делом благородным, но противоречащим букве закона. И наконец, сама Оливия готова полюбить вновь, и все так хорошо складывалось... Но ее мужчина что-то скрывает, Оливия же не терпит недомолвок...</t>
        </is>
      </c>
      <c r="S2473" s="26">
        <f>HYPERLINK("http://www.cnpol.ru/covers/21763.jpg","фото на сайте")</f>
        <v/>
      </c>
    </row>
    <row r="2474" ht="50.1" customHeight="1" s="3">
      <c r="A2474" s="23" t="inlineStr">
        <is>
          <t>Д</t>
        </is>
      </c>
      <c r="B2474" s="24" t="inlineStr">
        <is>
          <t>21077</t>
        </is>
      </c>
      <c r="C2474" s="23" t="inlineStr">
        <is>
          <t>МАКОМБЕР</t>
        </is>
      </c>
      <c r="D2474" s="23" t="inlineStr">
        <is>
          <t>Макомбер Д.</t>
        </is>
      </c>
      <c r="E2474" s="23" t="inlineStr">
        <is>
          <t>Магазинчик на Цветочной улице</t>
        </is>
      </c>
      <c r="F2474" s="23" t="inlineStr">
        <is>
          <t>        </t>
        </is>
      </c>
      <c r="G2474" s="27" t="n">
        <v>1117</v>
      </c>
      <c r="H2474" s="23" t="n">
        <v>10</v>
      </c>
      <c r="I2474" s="23" t="n">
        <v>10</v>
      </c>
      <c r="J2474" s="23" t="inlineStr">
        <is>
          <t>978-5-227-10638-4</t>
        </is>
      </c>
      <c r="K2474" s="23" t="inlineStr">
        <is>
          <t>84x108 1/32</t>
        </is>
      </c>
      <c r="L2474" s="23" t="inlineStr">
        <is>
          <t>тв</t>
        </is>
      </c>
      <c r="M2474" s="23" t="n">
        <v>382</v>
      </c>
      <c r="N2474" s="23" t="n">
        <v>2024</v>
      </c>
      <c r="O2474" s="23" t="n">
        <v>419</v>
      </c>
      <c r="P2474" s="23" t="n"/>
      <c r="Q2474" s="23" t="n"/>
      <c r="R2474" s="25" t="inlineStr">
        <is>
          <t>Лидия Хофман шестнадцать лет боролась с тяжелым недугом и победила его с помощью самоотверженной любви родных, доброты друзей и… вязания. Теперь она – удачливая владелица магазинчика пряжи «Путеводная нить» на Цветочной улице – набрала первую группу на курсы вязания. Словно волшебная нить Ариадны прочно связала не знакомых прежде женщин. Общая энергия преодоления помогает блистательной Жаклин восстановить гармонию в семье и наладить отношения с простушкой-невесткой и «неверным» супругом, неформальной боевой Аликс найти надежную пристань в житейском море, а отчаявшейся в попытке родить ребенка Кэрол – обрести чудесного сыночка. Сама Лидия под влиянием этой энергии начинает верить, что ее любовь не в прошлом, а в будущем.</t>
        </is>
      </c>
      <c r="S2474" s="26">
        <f>HYPERLINK("http://www.cnpol.ru/covers/21077.jpg","фото на сайте")</f>
        <v/>
      </c>
    </row>
    <row r="2475" ht="50.1" customHeight="1" s="3">
      <c r="A2475" s="23" t="inlineStr">
        <is>
          <t>Д</t>
        </is>
      </c>
      <c r="B2475" s="24" t="inlineStr">
        <is>
          <t>22169</t>
        </is>
      </c>
      <c r="C2475" s="23" t="inlineStr">
        <is>
          <t>МАКОМБЕР</t>
        </is>
      </c>
      <c r="D2475" s="23" t="inlineStr">
        <is>
          <t>Макомбер Д.</t>
        </is>
      </c>
      <c r="E2475" s="23" t="inlineStr">
        <is>
          <t>Магазинчик на Цветочной улице</t>
        </is>
      </c>
      <c r="F2475" s="23" t="inlineStr">
        <is>
          <t>        </t>
        </is>
      </c>
      <c r="G2475" s="27" t="n">
        <v>1117</v>
      </c>
      <c r="H2475" s="23" t="n">
        <v>10</v>
      </c>
      <c r="I2475" s="23" t="n">
        <v>10</v>
      </c>
      <c r="J2475" s="23" t="inlineStr">
        <is>
          <t>978-5-227-11350-4</t>
        </is>
      </c>
      <c r="K2475" s="23" t="inlineStr">
        <is>
          <t>84x108 1/32</t>
        </is>
      </c>
      <c r="L2475" s="23" t="inlineStr">
        <is>
          <t>тв</t>
        </is>
      </c>
      <c r="M2475" s="23" t="n">
        <v>382</v>
      </c>
      <c r="N2475" s="23" t="n">
        <v>2024</v>
      </c>
      <c r="O2475" s="23" t="n">
        <v>426</v>
      </c>
      <c r="P2475" s="23" t="n"/>
      <c r="Q2475" s="23" t="n"/>
      <c r="R2475" s="25" t="inlineStr">
        <is>
          <t>Лидия Хофман шестнадцать лет боролась с тяжелым недугом и победила его с помощью самоотверженной любви родных, доброты друзей и… вязания. Теперь она – удачливая владелица магазинчика пряжи «Путеводная нить» на Цветочной улице – набрала первую группу на курсы вязания. Словно волшебная нить Ариадны прочно связала не знакомых прежде женщин. Общая энергия преодоления помогает блистательной Жаклин восстановить гармонию в семье и наладить отношения с простушкой-невесткой и «неверным» супругом, неформальной боевой Аликс найти надежную пристань в житейском море, а отчаявшейся в попытке родить ребенка Кэрол – обрести чудесного сыночка. Сама Лидия под влиянием этой энергии начинает верить, что ее любовь не в прошлом, а в будущем.</t>
        </is>
      </c>
      <c r="S2475" s="26">
        <f>HYPERLINK("http://www.cnpol.ru/covers/22169.jpg","фото на сайте")</f>
        <v/>
      </c>
    </row>
    <row r="2476" ht="50.1" customHeight="1" s="3">
      <c r="A2476" s="23" t="n"/>
      <c r="B2476" s="24" t="inlineStr">
        <is>
          <t>20778</t>
        </is>
      </c>
      <c r="C2476" s="23" t="inlineStr">
        <is>
          <t>МАКОМБЕР</t>
        </is>
      </c>
      <c r="D2476" s="23" t="inlineStr">
        <is>
          <t>Макомбер Д.</t>
        </is>
      </c>
      <c r="E2476" s="23" t="inlineStr">
        <is>
          <t>Поворот дороги</t>
        </is>
      </c>
      <c r="F2476" s="23" t="inlineStr">
        <is>
          <t>        </t>
        </is>
      </c>
      <c r="G2476" s="27" t="n">
        <v>1117</v>
      </c>
      <c r="H2476" s="23" t="n">
        <v>10</v>
      </c>
      <c r="I2476" s="23" t="n">
        <v>10</v>
      </c>
      <c r="J2476" s="23" t="inlineStr">
        <is>
          <t>978-5-227-10212-6</t>
        </is>
      </c>
      <c r="K2476" s="23" t="inlineStr">
        <is>
          <t>84x108 1/32</t>
        </is>
      </c>
      <c r="L2476" s="23" t="inlineStr">
        <is>
          <t>тв</t>
        </is>
      </c>
      <c r="M2476" s="23" t="n">
        <v>379</v>
      </c>
      <c r="N2476" s="23" t="n">
        <v>2023</v>
      </c>
      <c r="O2476" s="23" t="n">
        <v>428</v>
      </c>
      <c r="P2476" s="23" t="n"/>
      <c r="Q2476" s="23" t="n"/>
      <c r="R2476" s="25" t="inlineStr">
        <is>
          <t>В середине года и в середине своей жизни Бетани Хэмлин отправляется путешествовать в автомобиле с дочерью Энни и бывшей свекровью Руфью. Та недавно овдовела и, чтобы развеяться, хочет попасть на встречу бывших одноклассников и главное — увидеться со своей первой любовью Ройсом, чувство к которому пронесла через всю жизнь. Самой Бетани нужно время, чтобы обдумать важное решение, которое предстоит принять. Ее бывший муж, Грант, просит теперь, когда второй его брак распался, помириться ради их детей. А Энни хочет доказать своему другу, что может прекрасно обойтись и без него. Автомобилисткам предстоит неблизкий путь по Америке. У них есть подробные карты, тщательно разработанный маршрут, но даже отлично спланированная поездка порой преподносит сюрпризы. Или дарит неожиданную встречу… И теперь путешествие из Сиэтла в другой конец страны может изменить жизнь трех женщин.</t>
        </is>
      </c>
      <c r="S2476" s="26">
        <f>HYPERLINK("http://www.cnpol.ru/covers/20778.jpg","фото на сайте")</f>
        <v/>
      </c>
    </row>
    <row r="2477" ht="50.1" customHeight="1" s="3">
      <c r="A2477" s="23" t="inlineStr">
        <is>
          <t>Д</t>
        </is>
      </c>
      <c r="B2477" s="24" t="inlineStr">
        <is>
          <t>22295</t>
        </is>
      </c>
      <c r="C2477" s="23" t="inlineStr">
        <is>
          <t>МАКОМБЕР</t>
        </is>
      </c>
      <c r="D2477" s="23" t="inlineStr">
        <is>
          <t>Макомбер Д.</t>
        </is>
      </c>
      <c r="E2477" s="23" t="inlineStr">
        <is>
          <t>Поворот дороги</t>
        </is>
      </c>
      <c r="F2477" s="23" t="inlineStr">
        <is>
          <t>        </t>
        </is>
      </c>
      <c r="G2477" s="27" t="n">
        <v>1117</v>
      </c>
      <c r="H2477" s="23" t="n">
        <v>10</v>
      </c>
      <c r="I2477" s="23" t="n">
        <v>8</v>
      </c>
      <c r="J2477" s="23" t="inlineStr">
        <is>
          <t>978-5-227-11386-3</t>
        </is>
      </c>
      <c r="K2477" s="23" t="inlineStr">
        <is>
          <t>84x108 1/32</t>
        </is>
      </c>
      <c r="L2477" s="23" t="inlineStr">
        <is>
          <t>тв</t>
        </is>
      </c>
      <c r="M2477" s="23" t="n">
        <v>379</v>
      </c>
      <c r="N2477" s="23" t="n">
        <v>2024</v>
      </c>
      <c r="O2477" s="23" t="n">
        <v>424</v>
      </c>
      <c r="P2477" s="23" t="n"/>
      <c r="Q2477" s="23" t="n"/>
      <c r="R2477" s="25" t="inlineStr">
        <is>
          <t>В середине года и в середине своей жизни Бетани Хэмлин отправляется путешествовать в автомобиле с дочерью Энни и бывшей свекровью Руфью. Та недавно овдовела и, чтобы развеяться, хочет попасть на встречу бывших одноклассников и главное — увидеться со своей первой любовью Ройсом, чувство к которому пронесла через всю жизнь. Самой Бетани нужно время, чтобы обдумать важное решение, которое предстоит принять. Ее бывший муж, Грант, просит теперь, когда второй его брак распался, помириться ради их детей. А Энни хочет доказать своему другу, что может прекрасно обойтись и без него. Автомобилисткам предстоит неблизкий путь по Америке. У них есть подробные карты, тщательно разработанный маршрут, но даже отлично спланированная поездка порой преподносит сюрпризы. Или дарит неожиданную встречу… И теперь путешествие из Сиэтла в другой конец страны может изменить жизнь трех женщин.</t>
        </is>
      </c>
      <c r="S2477" s="26">
        <f>HYPERLINK("http://www.cnpol.ru/covers/22295.jpg","фото на сайте")</f>
        <v/>
      </c>
    </row>
    <row r="2478" ht="50.1" customHeight="1" s="3">
      <c r="A2478" s="23" t="n"/>
      <c r="B2478" s="24" t="inlineStr">
        <is>
          <t>20709</t>
        </is>
      </c>
      <c r="C2478" s="23" t="inlineStr">
        <is>
          <t>МАКОМБЕР</t>
        </is>
      </c>
      <c r="D2478" s="23" t="inlineStr">
        <is>
          <t>Макомбер Д.</t>
        </is>
      </c>
      <c r="E2478" s="23" t="inlineStr">
        <is>
          <t>Путеводная нить</t>
        </is>
      </c>
      <c r="F2478" s="23" t="inlineStr">
        <is>
          <t>        </t>
        </is>
      </c>
      <c r="G2478" s="23" t="n">
        <v>963</v>
      </c>
      <c r="H2478" s="23" t="n">
        <v>10</v>
      </c>
      <c r="I2478" s="23" t="n">
        <v>12</v>
      </c>
      <c r="J2478" s="23" t="inlineStr">
        <is>
          <t>978-5-227-10211-9</t>
        </is>
      </c>
      <c r="K2478" s="23" t="inlineStr">
        <is>
          <t>84x108 1/32</t>
        </is>
      </c>
      <c r="L2478" s="23" t="inlineStr">
        <is>
          <t>тв</t>
        </is>
      </c>
      <c r="M2478" s="23" t="n">
        <v>350</v>
      </c>
      <c r="N2478" s="23" t="n">
        <v>2023</v>
      </c>
      <c r="O2478" s="23" t="n">
        <v>420</v>
      </c>
      <c r="P2478" s="23" t="n"/>
      <c r="Q2478" s="23" t="n"/>
      <c r="R2478" s="25" t="inlineStr">
        <is>
          <t>Хозяйка магазинчика «Путеводная нить» Лидия решает набрать новых учениц на курсы вязания. У всех женщин непростые судьбы. Красавица Бетани переживает сложный развод, Кортни, потерявшая мать, вынуждена покинуть семью и заканчивать выпускной класс, живя у бабушки. Элиза, элегантная дама с железным характером, по злому умыслу аферистов-риелторов осталась на скромной пенсии без дома, о котором мечтала, и накоплений. Да и сама Лидия должна расстаться с любимым, к которому вернулась законная супруга. Как же не поддаться отчаянию и достойно выдержать натиск житейских бурь?</t>
        </is>
      </c>
      <c r="S2478" s="26">
        <f>HYPERLINK("http://www.cnpol.ru/covers/20709.jpg","фото на сайте")</f>
        <v/>
      </c>
    </row>
    <row r="2479" ht="50.1" customHeight="1" s="3">
      <c r="A2479" s="23" t="inlineStr">
        <is>
          <t>Д</t>
        </is>
      </c>
      <c r="B2479" s="24" t="inlineStr">
        <is>
          <t>21624</t>
        </is>
      </c>
      <c r="C2479" s="23" t="inlineStr">
        <is>
          <t>МАКОМБЕР</t>
        </is>
      </c>
      <c r="D2479" s="23" t="inlineStr">
        <is>
          <t>Макомбер Д.</t>
        </is>
      </c>
      <c r="E2479" s="23" t="inlineStr">
        <is>
          <t>Рождественские письма</t>
        </is>
      </c>
      <c r="F2479" s="23" t="inlineStr">
        <is>
          <t>        </t>
        </is>
      </c>
      <c r="G2479" s="23" t="n">
        <v>815</v>
      </c>
      <c r="H2479" s="23" t="n">
        <v>10</v>
      </c>
      <c r="I2479" s="23" t="n">
        <v>16</v>
      </c>
      <c r="J2479" s="23" t="inlineStr">
        <is>
          <t>978-5-227-11041-1</t>
        </is>
      </c>
      <c r="K2479" s="23" t="inlineStr">
        <is>
          <t>84x108 1/32</t>
        </is>
      </c>
      <c r="L2479" s="23" t="inlineStr">
        <is>
          <t>тв</t>
        </is>
      </c>
      <c r="M2479" s="23" t="n">
        <v>218</v>
      </c>
      <c r="N2479" s="23" t="n">
        <v>2024</v>
      </c>
      <c r="O2479" s="23" t="n">
        <v>278</v>
      </c>
      <c r="P2479" s="23" t="n"/>
      <c r="Q2479" s="23" t="n"/>
      <c r="R2479" s="25" t="inlineStr">
        <is>
          <t>Кэтрин О’Коннор, девушка умная и решительная, не могла смириться с тем, как пагубно отражается на воспитании ее племянниц метод доктора Уинна Джеффриса, изложенный в нашумевшей книге «Свободный ребенок», от которой ее сестра Зельда была в совершенном восторге. Кэтрин бурно изложила свою точку зрения автору, случайно встретив его во Французском кафе, где она сочиняла очередное рождественское письмо. Ее «выступление» закончилось скандалом, и мисс О’Коннор, хотя и считала себя правой, сожалела о своей несдержанности, потому что Джеффрис ей очень понравился, а тут еще соседка сообщила, что «видела будущее», в котором Кэтрин и Уинн влюблены друг в друга...</t>
        </is>
      </c>
      <c r="S2479" s="26">
        <f>HYPERLINK("http://www.cnpol.ru/covers/21624.jpg","фото на сайте")</f>
        <v/>
      </c>
    </row>
    <row r="2480" ht="50.1" customHeight="1" s="3">
      <c r="A2480" s="23" t="inlineStr">
        <is>
          <t>Д</t>
        </is>
      </c>
      <c r="B2480" s="24" t="inlineStr">
        <is>
          <t>21845</t>
        </is>
      </c>
      <c r="C2480" s="23" t="inlineStr">
        <is>
          <t>МАКОМБЕР</t>
        </is>
      </c>
      <c r="D2480" s="23" t="inlineStr">
        <is>
          <t>Макомбер Д.</t>
        </is>
      </c>
      <c r="E2480" s="23" t="inlineStr">
        <is>
          <t>Сваты</t>
        </is>
      </c>
      <c r="F2480" s="23" t="inlineStr">
        <is>
          <t>        </t>
        </is>
      </c>
      <c r="G2480" s="23" t="n">
        <v>849</v>
      </c>
      <c r="H2480" s="23" t="n">
        <v>10</v>
      </c>
      <c r="I2480" s="23" t="n">
        <v>10</v>
      </c>
      <c r="J2480" s="23" t="inlineStr">
        <is>
          <t>978-5-227-11140-1</t>
        </is>
      </c>
      <c r="K2480" s="23" t="inlineStr">
        <is>
          <t>84x108 1/32</t>
        </is>
      </c>
      <c r="L2480" s="23" t="inlineStr">
        <is>
          <t>тв</t>
        </is>
      </c>
      <c r="M2480" s="23" t="n">
        <v>222</v>
      </c>
      <c r="N2480" s="23" t="n">
        <v>2025</v>
      </c>
      <c r="O2480" s="23" t="n">
        <v>284</v>
      </c>
      <c r="P2480" s="23" t="n"/>
      <c r="Q2480" s="23" t="n"/>
      <c r="R2480" s="25" t="inlineStr">
        <is>
          <t>Взрослея, человек теряет способность очаровываться окружающими... После смерти мужа Дори в одиночку воспитывает сына, а разуверившийся в женщинах Гевин — успешный бизнесмен и в прошлом знаменитый футболист — дочь... Возможно, в их жизни не произошло бы никаких изменений, но дети решают сделать все возможное, чтобы их родители были вместе. В ход идут невинные интриги, наигранные капризы, замысловатые уловки... Удастся ли юным хитрецам осуществить свой план?</t>
        </is>
      </c>
      <c r="S2480" s="26">
        <f>HYPERLINK("http://www.cnpol.ru/covers/21845.jpg","фото на сайте")</f>
        <v/>
      </c>
    </row>
    <row r="2481" ht="50.1" customHeight="1" s="3">
      <c r="A2481" s="23" t="inlineStr">
        <is>
          <t>Д</t>
        </is>
      </c>
      <c r="B2481" s="24" t="inlineStr">
        <is>
          <t>22147</t>
        </is>
      </c>
      <c r="C2481" s="23" t="inlineStr">
        <is>
          <t>МАКОМБЕР</t>
        </is>
      </c>
      <c r="D2481" s="23" t="inlineStr">
        <is>
          <t>Макомбер Д.</t>
        </is>
      </c>
      <c r="E2481" s="23" t="inlineStr">
        <is>
          <t>Список Ханны</t>
        </is>
      </c>
      <c r="F2481" s="23" t="inlineStr">
        <is>
          <t>        </t>
        </is>
      </c>
      <c r="G2481" s="23" t="n">
        <v>963</v>
      </c>
      <c r="H2481" s="23" t="n">
        <v>10</v>
      </c>
      <c r="I2481" s="23" t="n">
        <v>10</v>
      </c>
      <c r="J2481" s="23" t="inlineStr">
        <is>
          <t>978-5-227-11252-1</t>
        </is>
      </c>
      <c r="K2481" s="23" t="inlineStr">
        <is>
          <t>84x108 1/32</t>
        </is>
      </c>
      <c r="L2481" s="23" t="inlineStr">
        <is>
          <t>тв</t>
        </is>
      </c>
      <c r="M2481" s="23" t="n">
        <v>347</v>
      </c>
      <c r="N2481" s="23" t="n">
        <v>2024</v>
      </c>
      <c r="O2481" s="23" t="n">
        <v>377</v>
      </c>
      <c r="P2481" s="23" t="n"/>
      <c r="Q2481" s="23" t="n"/>
      <c r="R2481" s="25" t="inlineStr">
        <is>
          <t>В годовщину смерти жены Ханны доктору Майклу Эверетту передали ее предсмертное письмо. В послании она напомнила Майклу о своей искренней любви к нему и попросила выполнить ее последнее желание. Невыполнимое, казалось бы, желание. Ханна хотела, чтобы Майкл снова женился. И даже привела список возможных невест. Первые две женщины были хорошо знакомы Майклу: кузина Ханны Уинтер Адамс, владелица небольшого кафе в Сиэтле, и Линн Ланкастер, медсестра, которая ухаживала за Ханной в клинике. Имя третьей кандидатки Майкл видел впервые — Мэйси Роз. Встречаясь поочередно с каждой из этих женщин, обладающих богатым душевным опытом, Майкл все больше узнавал и о себе самом. Так к нему пришло понимание, что только безграничная любовь способна снова наполнить его жизнь смыслом.</t>
        </is>
      </c>
      <c r="S2481" s="26">
        <f>HYPERLINK("http://www.cnpol.ru/covers/22147.jpg","фото на сайте")</f>
        <v/>
      </c>
    </row>
    <row r="2482" ht="50.1" customHeight="1" s="3">
      <c r="A2482" s="23" t="inlineStr">
        <is>
          <t>Д</t>
        </is>
      </c>
      <c r="B2482" s="24" t="inlineStr">
        <is>
          <t>21762</t>
        </is>
      </c>
      <c r="C2482" s="23" t="inlineStr">
        <is>
          <t>МАКОМБЕР</t>
        </is>
      </c>
      <c r="D2482" s="23" t="inlineStr">
        <is>
          <t>Макомбер Д.</t>
        </is>
      </c>
      <c r="E2482" s="23" t="inlineStr">
        <is>
          <t>Улица роз</t>
        </is>
      </c>
      <c r="F2482" s="23" t="inlineStr">
        <is>
          <t>        </t>
        </is>
      </c>
      <c r="G2482" s="23" t="n">
        <v>994</v>
      </c>
      <c r="H2482" s="23" t="n">
        <v>10</v>
      </c>
      <c r="I2482" s="23" t="n">
        <v>10</v>
      </c>
      <c r="J2482" s="23" t="inlineStr">
        <is>
          <t>978-5-227-11122-7</t>
        </is>
      </c>
      <c r="K2482" s="23" t="inlineStr">
        <is>
          <t>84x108 1/32</t>
        </is>
      </c>
      <c r="L2482" s="23" t="inlineStr">
        <is>
          <t>тв</t>
        </is>
      </c>
      <c r="M2482" s="23" t="n">
        <v>347</v>
      </c>
      <c r="N2482" s="23" t="n">
        <v>2024</v>
      </c>
      <c r="O2482" s="23" t="n">
        <v>398</v>
      </c>
      <c r="P2482" s="23" t="n"/>
      <c r="Q2482" s="23" t="n"/>
      <c r="R2482" s="25" t="inlineStr">
        <is>
          <t>В Кедровой Бухте жизнь бьет ключом. Полгода назад при таинственных обстоятельствах пропал Даниэль, муж Грейс Шерман. Последний раз его видели с женщиной. Найти его не удалось, и Грейс решила, что Дэн подло сбежал от семьи. Ее дочь Мэрилин и подруга Оливия, как могли, помогали Грейс начать новую жизнь. Судьба предоставила удобный случай: официантка в кафе перепутала кредитки, и Грейс волей-неволей пришлось познакомиться с Клифом Хардингом, очень милым, обходительным мужчиной. Однако она не готова ответить на его чувство. У Оливии тоже не все в порядке: ее мать Шарлота слабеет день ото дня, а друг ревнует к бывшему мужу. Новый знакомый Мэрилин почему-то старательно скрывает свое прошлое. Но дружба и любовь помогут расставить все по местам. И на улице роз снова поселится счастье.</t>
        </is>
      </c>
      <c r="S2482" s="26">
        <f>HYPERLINK("http://www.cnpol.ru/covers/21762.jpg","фото на сайте")</f>
        <v/>
      </c>
    </row>
    <row r="2483" ht="50.1" customHeight="1" s="3">
      <c r="A2483" s="23" t="n"/>
      <c r="B2483" s="24" t="inlineStr">
        <is>
          <t>11336</t>
        </is>
      </c>
      <c r="C2483" s="23" t="inlineStr">
        <is>
          <t>МАСТЕР-КЛАСС Э</t>
        </is>
      </c>
      <c r="D2483" s="23" t="inlineStr">
        <is>
          <t>Пустовойтов В.Н.</t>
        </is>
      </c>
      <c r="E2483" s="23" t="inlineStr">
        <is>
          <t>Гипсокартон: шаг за шагом</t>
        </is>
      </c>
      <c r="F2483" s="23" t="inlineStr">
        <is>
          <t>        </t>
        </is>
      </c>
      <c r="G2483" s="23" t="n">
        <v>158</v>
      </c>
      <c r="H2483" s="23" t="n">
        <v>10</v>
      </c>
      <c r="I2483" s="23" t="n">
        <v>30</v>
      </c>
      <c r="J2483" s="23" t="inlineStr">
        <is>
          <t>978-5-9524-4313-6</t>
        </is>
      </c>
      <c r="K2483" s="23" t="inlineStr">
        <is>
          <t>84x108 1/32 (обл)</t>
        </is>
      </c>
      <c r="L2483" s="23" t="inlineStr">
        <is>
          <t>мяг</t>
        </is>
      </c>
      <c r="M2483" s="23" t="n">
        <v>156</v>
      </c>
      <c r="N2483" s="23" t="n">
        <v>2009</v>
      </c>
      <c r="O2483" s="23" t="n">
        <v>108</v>
      </c>
      <c r="P2483" s="23" t="n"/>
      <c r="Q2483" s="23" t="n"/>
      <c r="R2483" s="25" t="inlineStr">
        <is>
          <t>Книга рассказывает об основных видах гипсокартона и их применении. Следуя приведенным в ней "пошаговым" рекомендациям, вы сможете: устроить межкомнатные перегородки, изготовить декоративные и звукопоглощающие конструкции; самостоятельно постелить гипсоволокнистые полы; смонтировать различные варианты арочных проемов, колонн, многоуровневых потолков и подиумов и выполнить множество других работ с гипсокартоном.</t>
        </is>
      </c>
      <c r="S2483" s="26">
        <f>HYPERLINK("http://www.cnpol.ru/covers/11336.jpg","фото на сайте")</f>
        <v/>
      </c>
    </row>
    <row r="2484" ht="50.1" customHeight="1" s="3">
      <c r="A2484" s="23" t="n"/>
      <c r="B2484" s="24" t="inlineStr">
        <is>
          <t>11363</t>
        </is>
      </c>
      <c r="C2484" s="23" t="inlineStr">
        <is>
          <t>МАСТЕР-КЛАСС Э</t>
        </is>
      </c>
      <c r="D2484" s="23" t="inlineStr">
        <is>
          <t>Пустовойтов В.Н.</t>
        </is>
      </c>
      <c r="E2484" s="23" t="inlineStr">
        <is>
          <t>Ламинат: шаг за шагом</t>
        </is>
      </c>
      <c r="F2484" s="23" t="inlineStr">
        <is>
          <t>        </t>
        </is>
      </c>
      <c r="G2484" s="23" t="n">
        <v>158</v>
      </c>
      <c r="H2484" s="23" t="n">
        <v>10</v>
      </c>
      <c r="I2484" s="23" t="n">
        <v>40</v>
      </c>
      <c r="J2484" s="23" t="inlineStr">
        <is>
          <t>978-5-9524-4438-6</t>
        </is>
      </c>
      <c r="K2484" s="23" t="inlineStr">
        <is>
          <t>84x108 1/32 (обл)</t>
        </is>
      </c>
      <c r="L2484" s="23" t="inlineStr">
        <is>
          <t>мяг</t>
        </is>
      </c>
      <c r="M2484" s="23" t="n">
        <v>126</v>
      </c>
      <c r="N2484" s="23" t="n">
        <v>2009</v>
      </c>
      <c r="O2484" s="23" t="n">
        <v>106</v>
      </c>
      <c r="P2484" s="23" t="n"/>
      <c r="Q2484" s="23" t="n"/>
      <c r="R2484" s="25" t="inlineStr">
        <is>
          <t>Вы хотите постелить новые полы, но не хотите тратить лишние деньги и нанимать специалистов? Вы хотите сделать ремонт самостоятельно, но не имеете для этого достаточных знаний? В таком случае эта книга станет для вас настоящей находкой!_x000D_
Из нее вы почерпнете необходимые сведения о том, как правильно выбрать и уложить ламинат и паркет, как за ним грамотно ухаживать и в чем преимущества тех или иных материалов. В качестве бонуса к сэкономленным средствам вы получите чувство законной гордости перед семьей, соседями и друзьями.</t>
        </is>
      </c>
      <c r="S2484" s="26">
        <f>HYPERLINK("http://www.cnpol.ru/covers/11363.jpg","фото на сайте")</f>
        <v/>
      </c>
    </row>
    <row r="2485" ht="50.1" customHeight="1" s="3">
      <c r="A2485" s="23" t="n"/>
      <c r="B2485" s="24" t="inlineStr">
        <is>
          <t>10463</t>
        </is>
      </c>
      <c r="C2485" s="23" t="inlineStr">
        <is>
          <t>МБ</t>
        </is>
      </c>
      <c r="D2485" s="23" t="inlineStr">
        <is>
          <t>Леонард Э.</t>
        </is>
      </c>
      <c r="E2485" s="23" t="inlineStr">
        <is>
          <t>Деньги - не проблема</t>
        </is>
      </c>
      <c r="F2485" s="23" t="inlineStr">
        <is>
          <t>        </t>
        </is>
      </c>
      <c r="G2485" s="23" t="n">
        <v>615</v>
      </c>
      <c r="H2485" s="23" t="n">
        <v>10</v>
      </c>
      <c r="I2485" s="23" t="n">
        <v>16</v>
      </c>
      <c r="J2485" s="23" t="inlineStr">
        <is>
          <t>978-5-9524-3636-7</t>
        </is>
      </c>
      <c r="K2485" s="23" t="inlineStr">
        <is>
          <t>60х90 1/32</t>
        </is>
      </c>
      <c r="L2485" s="23" t="inlineStr">
        <is>
          <t>тв</t>
        </is>
      </c>
      <c r="M2485" s="23" t="n">
        <v>319</v>
      </c>
      <c r="N2485" s="23" t="n">
        <v>2008</v>
      </c>
      <c r="O2485" s="23" t="n">
        <v>360</v>
      </c>
      <c r="P2485" s="23" t="n"/>
      <c r="Q2485" s="23" t="n"/>
      <c r="R2485" s="25" t="inlineStr">
        <is>
          <t>Терри Данн, "героический миссионер из Руанды", как не без иронии он сам себя называет, решил заняться обращением язычников в истинную веру не из благих побуждений, а скрываясь от полиции за контрабанду сигарет. Однако этот шаг круто изменил его жизнь. Вернувшись в родной Детройт на похороны матери, он влезает в очередную авантюру, но теперь с совершенно осознанной целью - помочь несчастным детям Африки.</t>
        </is>
      </c>
      <c r="S2485" s="26">
        <f>HYPERLINK("http://www.cnpol.ru/covers/10463.jpg","фото на сайте")</f>
        <v/>
      </c>
    </row>
    <row r="2486" ht="50.1" customHeight="1" s="3">
      <c r="A2486" s="23" t="n"/>
      <c r="B2486" s="24" t="inlineStr">
        <is>
          <t>10847</t>
        </is>
      </c>
      <c r="C2486" s="23" t="inlineStr">
        <is>
          <t>МБ</t>
        </is>
      </c>
      <c r="D2486" s="23" t="inlineStr">
        <is>
          <t>Леонард Э.</t>
        </is>
      </c>
      <c r="E2486" s="23" t="inlineStr">
        <is>
          <t>Именем закона</t>
        </is>
      </c>
      <c r="F2486" s="23" t="inlineStr">
        <is>
          <t>        </t>
        </is>
      </c>
      <c r="G2486" s="23" t="n">
        <v>615</v>
      </c>
      <c r="H2486" s="23" t="n">
        <v>10</v>
      </c>
      <c r="I2486" s="23" t="n">
        <v>14</v>
      </c>
      <c r="J2486" s="23" t="inlineStr">
        <is>
          <t>978-5-9524-4015-9</t>
        </is>
      </c>
      <c r="K2486" s="23" t="inlineStr">
        <is>
          <t>60x90 1/16</t>
        </is>
      </c>
      <c r="L2486" s="23" t="inlineStr">
        <is>
          <t>тв</t>
        </is>
      </c>
      <c r="M2486" s="23" t="n">
        <v>319</v>
      </c>
      <c r="N2486" s="23" t="n">
        <v>2008</v>
      </c>
      <c r="O2486" s="23" t="n">
        <v>348</v>
      </c>
      <c r="P2486" s="23" t="n"/>
      <c r="Q2486" s="23" t="n"/>
      <c r="R2486" s="25" t="inlineStr">
        <is>
          <t>Противостояние мафии и крутого стража порядка, который «именем закона» в одиночку справляется с преступниками, — излюбленная тема патриарха криминального жанра Э. Леонарда. На этот раз герой и победитель — доблестный федеральный маршал Рейлан Гивен. Ежеминутно рискуя жизнью, он выслеживает и обезвреживает банду, занимающуюся киднеппингом.</t>
        </is>
      </c>
      <c r="S2486" s="26">
        <f>HYPERLINK("http://www.cnpol.ru/covers/10847.jpg","фото на сайте")</f>
        <v/>
      </c>
    </row>
    <row r="2487" ht="50.1" customHeight="1" s="3">
      <c r="A2487" s="23" t="n"/>
      <c r="B2487" s="24" t="inlineStr">
        <is>
          <t>10347</t>
        </is>
      </c>
      <c r="C2487" s="23" t="inlineStr">
        <is>
          <t>МБ</t>
        </is>
      </c>
      <c r="D2487" s="23" t="inlineStr">
        <is>
          <t>Леонард Э.</t>
        </is>
      </c>
      <c r="E2487" s="23" t="inlineStr">
        <is>
          <t>Киллер</t>
        </is>
      </c>
      <c r="F2487" s="23" t="inlineStr">
        <is>
          <t>        </t>
        </is>
      </c>
      <c r="G2487" s="23" t="n">
        <v>615</v>
      </c>
      <c r="H2487" s="23" t="n">
        <v>10</v>
      </c>
      <c r="I2487" s="23" t="n">
        <v>16</v>
      </c>
      <c r="J2487" s="23" t="inlineStr">
        <is>
          <t>978-5-9524-3513-1</t>
        </is>
      </c>
      <c r="K2487" s="23" t="inlineStr">
        <is>
          <t>60x90 1/16</t>
        </is>
      </c>
      <c r="L2487" s="23" t="inlineStr">
        <is>
          <t>тв</t>
        </is>
      </c>
      <c r="M2487" s="23" t="n">
        <v>318</v>
      </c>
      <c r="N2487" s="23" t="n">
        <v>2008</v>
      </c>
      <c r="O2487" s="23" t="n">
        <v>388</v>
      </c>
      <c r="P2487" s="23" t="n"/>
      <c r="Q2487" s="23" t="n"/>
      <c r="R2487" s="25" t="inlineStr">
        <is>
          <t>Черный Дрозд - киллер. По его собственному признанию, он "отстреливает людей. Иногда за бабки, иногда просто так". Однажды, когда Черный Дрозд и его дружок Ричи отправились на дело - забрать у некоего бизнесмена 10 тысяч долларов, - осуществить задуманное им помешали Кармен и Уэйн Колсоны. С этого момента они обречены, так как становятся очередной мишенью профессионального убийцы.</t>
        </is>
      </c>
      <c r="S2487" s="26">
        <f>HYPERLINK("http://www.cnpol.ru/covers/10347.jpg","фото на сайте")</f>
        <v/>
      </c>
    </row>
    <row r="2488" ht="50.1" customHeight="1" s="3">
      <c r="A2488" s="23" t="n"/>
      <c r="B2488" s="24" t="inlineStr">
        <is>
          <t>8721</t>
        </is>
      </c>
      <c r="C2488" s="23" t="inlineStr">
        <is>
          <t>МБ</t>
        </is>
      </c>
      <c r="D2488" s="23" t="inlineStr">
        <is>
          <t>Леонард Э.</t>
        </is>
      </c>
      <c r="E2488" s="23" t="inlineStr">
        <is>
          <t>Небеса Подождут</t>
        </is>
      </c>
      <c r="F2488" s="23" t="inlineStr">
        <is>
          <t>        </t>
        </is>
      </c>
      <c r="G2488" s="23" t="n">
        <v>534</v>
      </c>
      <c r="H2488" s="23" t="n">
        <v>10</v>
      </c>
      <c r="I2488" s="23" t="n">
        <v>12</v>
      </c>
      <c r="J2488" s="23" t="inlineStr">
        <is>
          <t>978-5-9524-2802-7</t>
        </is>
      </c>
      <c r="K2488" s="23" t="inlineStr">
        <is>
          <t>60x90 1/16</t>
        </is>
      </c>
      <c r="L2488" s="23" t="inlineStr">
        <is>
          <t>тв</t>
        </is>
      </c>
      <c r="M2488" s="23" t="n">
        <v>398</v>
      </c>
      <c r="N2488" s="23" t="n">
        <v>2008</v>
      </c>
      <c r="O2488" s="23" t="n">
        <v>424</v>
      </c>
      <c r="P2488" s="23" t="n"/>
      <c r="Q2488" s="23" t="n"/>
      <c r="R2488" s="25" t="n"/>
      <c r="S2488" s="26">
        <f>HYPERLINK("http://www.cnpol.ru/covers/8721.jpg","фото на сайте")</f>
        <v/>
      </c>
    </row>
    <row r="2489" ht="50.1" customHeight="1" s="3">
      <c r="A2489" s="23" t="n"/>
      <c r="B2489" s="24" t="inlineStr">
        <is>
          <t>8861</t>
        </is>
      </c>
      <c r="C2489" s="23" t="inlineStr">
        <is>
          <t>МБ</t>
        </is>
      </c>
      <c r="D2489" s="23" t="inlineStr">
        <is>
          <t>Джеймс П.</t>
        </is>
      </c>
      <c r="E2489" s="23" t="inlineStr">
        <is>
          <t>Убийственно жив</t>
        </is>
      </c>
      <c r="F2489" s="23" t="inlineStr">
        <is>
          <t>        </t>
        </is>
      </c>
      <c r="G2489" s="23" t="n">
        <v>653</v>
      </c>
      <c r="H2489" s="23" t="n">
        <v>10</v>
      </c>
      <c r="I2489" s="23" t="n">
        <v>10</v>
      </c>
      <c r="J2489" s="23" t="inlineStr">
        <is>
          <t>978-5-952-43143-0</t>
        </is>
      </c>
      <c r="K2489" s="23" t="inlineStr">
        <is>
          <t>60x90 1/16</t>
        </is>
      </c>
      <c r="L2489" s="23" t="inlineStr">
        <is>
          <t>тв</t>
        </is>
      </c>
      <c r="M2489" s="23" t="n">
        <v>479</v>
      </c>
      <c r="N2489" s="23" t="n">
        <v>2008</v>
      </c>
      <c r="O2489" s="23" t="n">
        <v>528</v>
      </c>
      <c r="P2489" s="23" t="n"/>
      <c r="Q2489" s="23" t="n"/>
      <c r="R2489" s="25" t="n"/>
      <c r="S2489" s="26">
        <f>HYPERLINK("http://www.cnpol.ru/covers/8861.jpg","фото на сайте")</f>
        <v/>
      </c>
    </row>
    <row r="2490" ht="50.1" customHeight="1" s="3">
      <c r="A2490" s="23" t="inlineStr">
        <is>
          <t>Н</t>
        </is>
      </c>
      <c r="B2490" s="24" t="inlineStr">
        <is>
          <t>21047</t>
        </is>
      </c>
      <c r="C2490" s="23" t="inlineStr">
        <is>
          <t>МВО</t>
        </is>
      </c>
      <c r="D2490" s="23" t="inlineStr">
        <is>
          <t>Меньшикова К.Е.</t>
        </is>
      </c>
      <c r="E2490" s="23" t="inlineStr">
        <is>
          <t>Законы магии. Как читать магическую литературу. Иной взгляд на реальность. Два основных закона магии: Закон знания и Закон самопознания</t>
        </is>
      </c>
      <c r="F2490" s="23" t="inlineStr">
        <is>
          <t>        </t>
        </is>
      </c>
      <c r="G2490" s="23" t="n">
        <v>284</v>
      </c>
      <c r="H2490" s="23" t="n">
        <v>10</v>
      </c>
      <c r="I2490" s="23" t="n">
        <v>30</v>
      </c>
      <c r="J2490" s="23" t="inlineStr">
        <is>
          <t>978-5-227-10641-4</t>
        </is>
      </c>
      <c r="K2490" s="23" t="inlineStr">
        <is>
          <t>84x108 1/32 (обл)</t>
        </is>
      </c>
      <c r="L2490" s="23" t="inlineStr">
        <is>
          <t>мяг</t>
        </is>
      </c>
      <c r="M2490" s="23" t="n">
        <v>191</v>
      </c>
      <c r="N2490" s="23" t="n">
        <v>2024</v>
      </c>
      <c r="O2490" s="23" t="n">
        <v>118</v>
      </c>
      <c r="P2490" s="23" t="n"/>
      <c r="Q2490" s="23" t="n"/>
      <c r="R2490" s="25" t="inlineStr">
        <is>
          <t>Перед вами двенадцатая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вопросы…_x000D_
В этой книге мы рассмотрим два первых и основных магических закона — Закон знания и Закон самопознания. Не думайте, что если вы далеки от магии, то эти знания вам не пригодятся. Законы эти сформулированы многими поколениями практикующих магов и ежедневно отражаются в жизни как магического практика, так и всех остальных людей. Без исключения! Помните старое правило? — «Незнание законов не освобождает от ответственности…» Также попробуем понять, что такое магическая литература и как её правильно читать, чтобы, как старатель, извлекать золотые крупицы знаний из потока информации.</t>
        </is>
      </c>
      <c r="S2490" s="26">
        <f>HYPERLINK("http://www.cnpol.ru/covers/21047.jpg","фото на сайте")</f>
        <v/>
      </c>
    </row>
    <row r="2491" ht="50.1" customHeight="1" s="3">
      <c r="A2491" s="23" t="inlineStr">
        <is>
          <t>Д</t>
        </is>
      </c>
      <c r="B2491" s="24" t="inlineStr">
        <is>
          <t>21833</t>
        </is>
      </c>
      <c r="C2491" s="23" t="inlineStr">
        <is>
          <t>МВО</t>
        </is>
      </c>
      <c r="D2491" s="23" t="inlineStr">
        <is>
          <t>Меньшикова К.Е.</t>
        </is>
      </c>
      <c r="E2491" s="23" t="inlineStr">
        <is>
          <t>Зароки и обеты. Магический смысл гейсов. Богиня Геката. Откаты в колдовстве. Магические хранители. Функции магического алтаря. Смысл зароков, клятв и обетов</t>
        </is>
      </c>
      <c r="F2491" s="23" t="inlineStr">
        <is>
          <t>        </t>
        </is>
      </c>
      <c r="G2491" s="23" t="n">
        <v>284</v>
      </c>
      <c r="H2491" s="23" t="n">
        <v>10</v>
      </c>
      <c r="I2491" s="23" t="n">
        <v>12</v>
      </c>
      <c r="J2491" s="23" t="inlineStr">
        <is>
          <t>978-5-227-11149-4</t>
        </is>
      </c>
      <c r="K2491" s="23" t="inlineStr">
        <is>
          <t>84x108 1/32 (обл)</t>
        </is>
      </c>
      <c r="L2491" s="23" t="inlineStr">
        <is>
          <t>мяг</t>
        </is>
      </c>
      <c r="M2491" s="23" t="n">
        <v>192</v>
      </c>
      <c r="N2491" s="23" t="n">
        <v>2025</v>
      </c>
      <c r="O2491" s="23" t="n">
        <v>118</v>
      </c>
      <c r="P2491" s="23" t="n"/>
      <c r="Q2491" s="23" t="n"/>
      <c r="R2491" s="25" t="inlineStr">
        <is>
          <t>Перед вами шестая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вопросы…_x000D_
В этой книге мы поговорим о богине Гекате и её чёрных псах. О магическом смысле гейсов. Обсудим тему откатов в колдовстве и попробуем понять, зачем в нашей жизни появляются провокаторы. Прочтём много интересного о магических хранителях и о боге Локи. Узнаем, какую функцию выполняет магический алтарь и вредна ли религия для магии. Поговорим о магическом смысле зароков, клятв и обетов, а также о том, какую литературу стоит читать начинающим в магии.</t>
        </is>
      </c>
      <c r="S2491" s="26">
        <f>HYPERLINK("http://www.cnpol.ru/covers/21833.jpg","фото на сайте")</f>
        <v/>
      </c>
    </row>
    <row r="2492" ht="50.1" customHeight="1" s="3">
      <c r="A2492" s="23" t="inlineStr">
        <is>
          <t>Д</t>
        </is>
      </c>
      <c r="B2492" s="24" t="inlineStr">
        <is>
          <t>21668</t>
        </is>
      </c>
      <c r="C2492" s="23" t="inlineStr">
        <is>
          <t>МВО</t>
        </is>
      </c>
      <c r="D2492" s="23" t="inlineStr">
        <is>
          <t>Меньшикова К.Е.</t>
        </is>
      </c>
      <c r="E2492" s="23" t="inlineStr">
        <is>
          <t>Здоровье физическое и энергетическое. Причины болезней. Энергопоражения. Порча. Сглаз. Приворот. Вампиризм. Чистка</t>
        </is>
      </c>
      <c r="F2492" s="23" t="inlineStr">
        <is>
          <t>        </t>
        </is>
      </c>
      <c r="G2492" s="23" t="n">
        <v>284</v>
      </c>
      <c r="H2492" s="23" t="n">
        <v>10</v>
      </c>
      <c r="I2492" s="23" t="n">
        <v>10</v>
      </c>
      <c r="J2492" s="23" t="inlineStr">
        <is>
          <t>978-5-227-11067-1</t>
        </is>
      </c>
      <c r="K2492" s="23" t="inlineStr">
        <is>
          <t>84x108 1/32</t>
        </is>
      </c>
      <c r="L2492" s="23" t="inlineStr">
        <is>
          <t>мяг</t>
        </is>
      </c>
      <c r="M2492" s="23" t="n">
        <v>224</v>
      </c>
      <c r="N2492" s="23" t="n">
        <v>2025</v>
      </c>
      <c r="O2492" s="23" t="n">
        <v>137</v>
      </c>
      <c r="P2492" s="23" t="n"/>
      <c r="Q2492" s="23" t="n"/>
      <c r="R2492" s="25" t="inlineStr">
        <is>
          <t>Мы вновь продолжаем путешествие в таинственный мир магии, который хоть и не видим, но окружает нас повсюду. Перед вами третья книга серии «Магия в вопросах и ответах», и каждая из них поможет читателю узнать что-то сокровенное._x000D_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Сегодня мы обратимся к теме здоровья, как физического, так и энергетического, ведь одно от другого не отделимо._x000D_
Вас ждут ответы на следующие вопросы: Как определить причины болезней? Могут ли болезни быть перенесены из прошлых жизней? Что такое энергопоражения: сглаз, крадник, порча, приворот, родовой подселенец, проклятие, вампиризм? Как их диагностировать, корректировать, предупредить? Как проводить магическую чистку? Чем питать тонкие тела? Как сила стихий влияет на здоровье? Как правильно отдавать старые вещи, чтобы это не нанесло вреда дарителю? Милостыня: всегда ли во благо?..</t>
        </is>
      </c>
      <c r="S2492" s="26">
        <f>HYPERLINK("http://www.cnpol.ru/covers/21668.jpg","фото на сайте")</f>
        <v/>
      </c>
    </row>
    <row r="2493" ht="50.1" customHeight="1" s="3">
      <c r="A2493" s="23" t="inlineStr">
        <is>
          <t>Д</t>
        </is>
      </c>
      <c r="B2493" s="24" t="inlineStr">
        <is>
          <t>21723</t>
        </is>
      </c>
      <c r="C2493" s="23" t="inlineStr">
        <is>
          <t>МВО</t>
        </is>
      </c>
      <c r="D2493" s="23" t="inlineStr">
        <is>
          <t>Меньшикова К.Е.</t>
        </is>
      </c>
      <c r="E2493" s="23" t="inlineStr">
        <is>
          <t>Как понять свои сны. Влияния Дня Рождения в магии. Значение родинок. Разница между чёрной и белой ма</t>
        </is>
      </c>
      <c r="F2493" s="23" t="inlineStr">
        <is>
          <t>        </t>
        </is>
      </c>
      <c r="G2493" s="23" t="n">
        <v>284</v>
      </c>
      <c r="H2493" s="23" t="n">
        <v>10</v>
      </c>
      <c r="I2493" s="23" t="n">
        <v>12</v>
      </c>
      <c r="J2493" s="23" t="inlineStr">
        <is>
          <t>978-5-227-11105-0</t>
        </is>
      </c>
      <c r="K2493" s="23" t="inlineStr">
        <is>
          <t>84x108 1/32</t>
        </is>
      </c>
      <c r="L2493" s="23" t="inlineStr">
        <is>
          <t>мяг</t>
        </is>
      </c>
      <c r="M2493" s="23" t="n">
        <v>191</v>
      </c>
      <c r="N2493" s="23" t="n">
        <v>2025</v>
      </c>
      <c r="O2493" s="23" t="n">
        <v>120</v>
      </c>
      <c r="P2493" s="23" t="n"/>
      <c r="Q2493" s="23" t="n"/>
      <c r="R2493" s="25" t="inlineStr">
        <is>
          <t>"Перед вами пятая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том, что День Рождения — не просто переход с одного возрастного уровня на другой. Это единственный день, когда можно без избыточных магических усилий приблизиться к тому уровню памяти, с которым человек в этот мир пришёл. А приблизившись, вспомнить — зачем?
Получим информацию о том, что означают родинки на теле человека. Узнаем, чем чёрная магия отличается от белой и есть ли вообще между ними разница. И конечно, подробно разберём тему сновидений.
Сны… Что это? Случайные картинки и сюжеты, всплывающие из уставшего за день мозга, или реальные прогулки в астральном пространстве, в процессе которых можно проникнуть в такие миры, куда наяву человеческий разум может забрести только в грёзах…"</t>
        </is>
      </c>
      <c r="S2493" s="26">
        <f>HYPERLINK("http://www.cnpol.ru/covers/21723.jpg","фото на сайте")</f>
        <v/>
      </c>
    </row>
    <row r="2494" ht="50.1" customHeight="1" s="3">
      <c r="A2494" s="23" t="inlineStr">
        <is>
          <t>Д</t>
        </is>
      </c>
      <c r="B2494" s="24" t="inlineStr">
        <is>
          <t>22229</t>
        </is>
      </c>
      <c r="C2494" s="23" t="inlineStr">
        <is>
          <t>МВО</t>
        </is>
      </c>
      <c r="D2494" s="23" t="inlineStr">
        <is>
          <t>Меньшикова К.Е.</t>
        </is>
      </c>
      <c r="E2494" s="23" t="inlineStr">
        <is>
          <t>Колдун, Жрец, Маг. Магические круги силы. Как становятся колдуном, жрецом и магом. В чём разница между ними. Свобода воли и свобода жизни</t>
        </is>
      </c>
      <c r="F2494" s="23" t="inlineStr">
        <is>
          <t>        </t>
        </is>
      </c>
      <c r="G2494" s="23" t="n">
        <v>284</v>
      </c>
      <c r="H2494" s="23" t="n">
        <v>10</v>
      </c>
      <c r="I2494" s="23" t="n">
        <v>18</v>
      </c>
      <c r="J2494" s="23" t="inlineStr">
        <is>
          <t>978-5-227-11279-8</t>
        </is>
      </c>
      <c r="K2494" s="23" t="inlineStr">
        <is>
          <t>84x108 1/32</t>
        </is>
      </c>
      <c r="L2494" s="23" t="inlineStr">
        <is>
          <t>мяг</t>
        </is>
      </c>
      <c r="M2494" s="23" t="n">
        <v>192</v>
      </c>
      <c r="N2494" s="23" t="n">
        <v>2026</v>
      </c>
      <c r="O2494" s="23" t="n">
        <v>120</v>
      </c>
      <c r="P2494" s="23" t="n"/>
      <c r="Q2494" s="23" t="n"/>
      <c r="R2494" s="25" t="inlineStr">
        <is>
          <t>Перед вами десятая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вопросы…_x000D_
В этой книге мы вновь поговорим о магических кругах силы. Узнаем, кто такие колдуны, жрецы, маги и как ими становятся. Увидим, в чём разница между ними, откуда они черпают свои знания и умения, на кого работают и чем расплачиваются за полученную силу. Обсудим также важный вопрос о свободе воли и свободе жизни как для колдуна, так и для обычного человека. Поговорим о свободе воли и жизни на разных кругах силы.</t>
        </is>
      </c>
      <c r="S2494" s="26">
        <f>HYPERLINK("http://www.cnpol.ru/covers/22229.jpg","фото на сайте")</f>
        <v/>
      </c>
    </row>
    <row r="2495" ht="50.1" customHeight="1" s="3">
      <c r="A2495" s="23" t="inlineStr">
        <is>
          <t>Д</t>
        </is>
      </c>
      <c r="B2495" s="24" t="inlineStr">
        <is>
          <t>22122</t>
        </is>
      </c>
      <c r="C2495" s="23" t="inlineStr">
        <is>
          <t>МВО</t>
        </is>
      </c>
      <c r="D2495" s="23" t="inlineStr">
        <is>
          <t>Меньшикова К.Е.</t>
        </is>
      </c>
      <c r="E2495" s="23" t="inlineStr">
        <is>
          <t>Магия как система. Магическая система 12 первооснов. Круги существования сознания. Формирование бытийной массы. Регрессивный гипноз. Карма-ноль. Гений Земли</t>
        </is>
      </c>
      <c r="F2495" s="23" t="inlineStr">
        <is>
          <t>        </t>
        </is>
      </c>
      <c r="G2495" s="23" t="n">
        <v>284</v>
      </c>
      <c r="H2495" s="23" t="n">
        <v>10</v>
      </c>
      <c r="I2495" s="23" t="n">
        <v>12</v>
      </c>
      <c r="J2495" s="23" t="inlineStr">
        <is>
          <t>978-5-227-11215-6</t>
        </is>
      </c>
      <c r="K2495" s="23" t="inlineStr">
        <is>
          <t>84x108 1/32</t>
        </is>
      </c>
      <c r="L2495" s="23" t="inlineStr">
        <is>
          <t>мяг</t>
        </is>
      </c>
      <c r="M2495" s="23" t="n">
        <v>191</v>
      </c>
      <c r="N2495" s="23" t="n">
        <v>2026</v>
      </c>
      <c r="O2495" s="23" t="n">
        <v>117</v>
      </c>
      <c r="P2495" s="23" t="n"/>
      <c r="Q2495" s="23" t="n"/>
      <c r="R2495" s="25" t="inlineStr">
        <is>
          <t>Перед вами девятая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вопросы…_x000D_
В этой книге мы поговорим: о магической системе 12 первооснов, силе стихий и о том, какие силы проводит маг своим сознанием. Обсудим тему магического состояния сознания и то, как выйти на магический круг бытия. Рассмотрим вопрос кармы-ноль и поговорим о Гении Земли. Узнаем, как формируется бытийная масса и зависит ли скорость её набора от религии или традиции. Выясним, как определить, есть ли у человека магические способности, и может ли астрология или нумерология помочь в понимании своего магического (если оно есть) предназначения. Поговорим о том, насколько важен социальный успех для магического развития и может ли регрессивный гипноз помочь восстановить свои права.</t>
        </is>
      </c>
      <c r="S2495" s="26">
        <f>HYPERLINK("http://www.cnpol.ru/covers/22122.jpg","фото на сайте")</f>
        <v/>
      </c>
    </row>
    <row r="2496" ht="50.1" customHeight="1" s="3">
      <c r="A2496" s="23" t="inlineStr">
        <is>
          <t>Д</t>
        </is>
      </c>
      <c r="B2496" s="24" t="inlineStr">
        <is>
          <t>21238</t>
        </is>
      </c>
      <c r="C2496" s="23" t="inlineStr">
        <is>
          <t>МВО</t>
        </is>
      </c>
      <c r="D2496" s="23" t="inlineStr">
        <is>
          <t>Меньшикова К.Е.</t>
        </is>
      </c>
      <c r="E2496" s="23" t="inlineStr">
        <is>
          <t>Начало магического пути. С чего начать. Первые шаги. Подводные камни. Личная свобода. Школы магии</t>
        </is>
      </c>
      <c r="F2496" s="23" t="inlineStr">
        <is>
          <t>        </t>
        </is>
      </c>
      <c r="G2496" s="23" t="n">
        <v>284</v>
      </c>
      <c r="H2496" s="23" t="n">
        <v>10</v>
      </c>
      <c r="I2496" s="23" t="n">
        <v>10</v>
      </c>
      <c r="J2496" s="23" t="inlineStr">
        <is>
          <t>978-5-227-10729-9</t>
        </is>
      </c>
      <c r="K2496" s="23" t="inlineStr">
        <is>
          <t>84x108 1/32 (обл)</t>
        </is>
      </c>
      <c r="L2496" s="23" t="inlineStr">
        <is>
          <t>мяг</t>
        </is>
      </c>
      <c r="M2496" s="23" t="n">
        <v>192</v>
      </c>
      <c r="N2496" s="23" t="n">
        <v>2024</v>
      </c>
      <c r="O2496" s="23" t="n">
        <v>122</v>
      </c>
      <c r="P2496" s="23" t="n"/>
      <c r="Q2496" s="23" t="n"/>
      <c r="R2496" s="25" t="inlineStr">
        <is>
          <t>Мы вновь продолжаем путешествие в таинственный мир магии, который хоть и не видим, но окружает нас повсюду. Перед вами четвёртая книга серии «Магия в вопросах и ответах», и каждая из них поможет читателю узнать что-то сокровенное._x000D_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вопросы…_x000D_
В данной книге мы будем разбирать тему первых шагов в развитии своего магического потенциала. Вы решили стать магом: с чего начинать, какие подводные камни есть у начинающего магический путь и к чему следует быть готовым. Поговорим о проблеме наличия семьи, детей и человеческих привязанностей у будущего мага; обсудим насущный вопрос, как следует выбирать магическую школу и систему обучения; поговорим о магической литературе и о том, как не бояться самого себя в новом качестве.</t>
        </is>
      </c>
      <c r="S2496" s="26">
        <f>HYPERLINK("http://www.cnpol.ru/covers/21238.jpg","фото на сайте")</f>
        <v/>
      </c>
    </row>
    <row r="2497" ht="50.1" customHeight="1" s="3">
      <c r="A2497" s="23" t="n"/>
      <c r="B2497" s="24" t="inlineStr">
        <is>
          <t>20714</t>
        </is>
      </c>
      <c r="C2497" s="23" t="inlineStr">
        <is>
          <t>МВО</t>
        </is>
      </c>
      <c r="D2497" s="23" t="inlineStr">
        <is>
          <t>Меньшикова К.Е.</t>
        </is>
      </c>
      <c r="E2497" s="23" t="inlineStr">
        <is>
          <t>Право на деньги. Кого любят деньги. Можно ли их приручить. Испытания и провокации. Кастовая система</t>
        </is>
      </c>
      <c r="F2497" s="23" t="inlineStr">
        <is>
          <t>        </t>
        </is>
      </c>
      <c r="G2497" s="23" t="n">
        <v>284</v>
      </c>
      <c r="H2497" s="23" t="n">
        <v>10</v>
      </c>
      <c r="I2497" s="23" t="n">
        <v>15</v>
      </c>
      <c r="J2497" s="23" t="inlineStr">
        <is>
          <t>978-5-227-10404-5</t>
        </is>
      </c>
      <c r="K2497" s="23" t="inlineStr">
        <is>
          <t>84x108 1/32 (обл)</t>
        </is>
      </c>
      <c r="L2497" s="23" t="inlineStr">
        <is>
          <t>мяг</t>
        </is>
      </c>
      <c r="M2497" s="23" t="n">
        <v>191</v>
      </c>
      <c r="N2497" s="23" t="n">
        <v>2023</v>
      </c>
      <c r="O2497" s="23" t="n">
        <v>120</v>
      </c>
      <c r="P2497" s="23" t="n"/>
      <c r="Q2497" s="23" t="n"/>
      <c r="R2497" s="25" t="inlineStr">
        <is>
          <t>Перед вами восьмая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вопросы…_x000D_
В этой книге мы поговорим на животрепещущую тему — ДЕНЬГИ. Вы узнаете, как понять, есть ли у тебя право на деньги. Почему у одних получается делать деньги как будто из воздуха, а другие всю жизнь считают копейки и не могут вылезти из долгов. Прочтёте о делении человечества на касты и поймёте, что право на деньги дано не каждому и появляется оно только с определённого уровня. Научитесь определять, к какой касте вы относитесь, и сделаете правильные выводы. Что это даст? Те люди, которые понимают свои изначальные кастовые позиции, в короткое время достигают колоссальных финансовых успехов. Потому что верное понимание точки отсчёта помогает составить рабочий алгоритм движения; просчитать шаги к достижению результата, и, зная законы построения векторов целеполагания, достойно подготовиться ко всем стандартным провокациям и с успехом пройти их.</t>
        </is>
      </c>
      <c r="S2497" s="26">
        <f>HYPERLINK("http://www.cnpol.ru/covers/20714.jpg","фото на сайте")</f>
        <v/>
      </c>
    </row>
    <row r="2498" ht="50.1" customHeight="1" s="3">
      <c r="A2498" s="23" t="inlineStr">
        <is>
          <t>Д</t>
        </is>
      </c>
      <c r="B2498" s="24" t="inlineStr">
        <is>
          <t>22302</t>
        </is>
      </c>
      <c r="C2498" s="23" t="inlineStr">
        <is>
          <t>МВО</t>
        </is>
      </c>
      <c r="D2498" s="23" t="inlineStr">
        <is>
          <t>Меньшикова К.Е.</t>
        </is>
      </c>
      <c r="E2498" s="23" t="inlineStr">
        <is>
          <t>Право на деньги. Кого любят деньги. Можно ли их приручить. Испытания и провокации. Кастовая система</t>
        </is>
      </c>
      <c r="F2498" s="23" t="inlineStr">
        <is>
          <t>        </t>
        </is>
      </c>
      <c r="G2498" s="23" t="n">
        <v>284</v>
      </c>
      <c r="H2498" s="23" t="n">
        <v>10</v>
      </c>
      <c r="I2498" s="23" t="n">
        <v>15</v>
      </c>
      <c r="J2498" s="23" t="inlineStr">
        <is>
          <t>978-5-227-11317-7</t>
        </is>
      </c>
      <c r="K2498" s="23" t="inlineStr">
        <is>
          <t>84x108 1/32</t>
        </is>
      </c>
      <c r="L2498" s="23" t="inlineStr">
        <is>
          <t>мяг</t>
        </is>
      </c>
      <c r="M2498" s="23" t="n">
        <v>191</v>
      </c>
      <c r="N2498" s="23" t="n">
        <v>2026</v>
      </c>
      <c r="O2498" s="23" t="n">
        <v>122</v>
      </c>
      <c r="P2498" s="23" t="n"/>
      <c r="Q2498" s="23" t="n"/>
      <c r="R2498" s="25" t="inlineStr">
        <is>
          <t>Перед вами восьмая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вопросы…_x000D_
В этой книге мы поговорим на животрепещущую тему — ДЕНЬГИ. Вы узнаете, как понять, есть ли у тебя право на деньги. Почему у одних получается делать деньги как будто из воздуха, а другие всю жизнь считают копейки и не могут вылезти из долгов. Прочтёте о делении человечества на касты и поймёте, что право на деньги дано не каждому и появляется оно только с определённого уровня. Научитесь определять, к какой касте вы относитесь, и сделаете правильные выводы. Что это даст? Те люди, которые понимают свои изначальные кастовые позиции, в короткое время достигают колоссальных финансовых успехов. Потому что верное понимание точки отсчёта помогает составить рабочий алгоритм движения; просчитать шаги к достижению результата, и, зная законы построения векторов целеполагания, достойно подготовиться ко всем стандартным провокациям и с успехом пройти их.</t>
        </is>
      </c>
      <c r="S2498" s="26">
        <f>HYPERLINK("http://www.cnpol.ru/covers/22302.jpg","фото на сайте")</f>
        <v/>
      </c>
    </row>
    <row r="2499" ht="50.1" customHeight="1" s="3">
      <c r="A2499" s="23" t="inlineStr">
        <is>
          <t>Д</t>
        </is>
      </c>
      <c r="B2499" s="24" t="inlineStr">
        <is>
          <t>22160</t>
        </is>
      </c>
      <c r="C2499" s="23" t="inlineStr">
        <is>
          <t>МВО</t>
        </is>
      </c>
      <c r="D2499" s="23" t="inlineStr">
        <is>
          <t>Меньшикова К.Е.</t>
        </is>
      </c>
      <c r="E2499" s="23" t="inlineStr">
        <is>
          <t>Род и его сила. Хранители и основатели рода. Строение и сознание рода. Потоки сил. Родовое проклятие</t>
        </is>
      </c>
      <c r="F2499" s="23" t="inlineStr">
        <is>
          <t>        </t>
        </is>
      </c>
      <c r="G2499" s="23" t="n">
        <v>284</v>
      </c>
      <c r="H2499" s="23" t="n">
        <v>10</v>
      </c>
      <c r="I2499" s="23" t="n">
        <v>14</v>
      </c>
      <c r="J2499" s="23" t="inlineStr">
        <is>
          <t>978-5-227-11301-6</t>
        </is>
      </c>
      <c r="K2499" s="23" t="inlineStr">
        <is>
          <t>84x108 1/32</t>
        </is>
      </c>
      <c r="L2499" s="23" t="inlineStr">
        <is>
          <t>мяг</t>
        </is>
      </c>
      <c r="M2499" s="23" t="n">
        <v>191</v>
      </c>
      <c r="N2499" s="23" t="n">
        <v>2026</v>
      </c>
      <c r="O2499" s="23" t="n">
        <v>117</v>
      </c>
      <c r="P2499" s="23" t="n"/>
      <c r="Q2499" s="23" t="n"/>
      <c r="R2499" s="25" t="inlineStr">
        <is>
          <t>Магия… Невидимая и таинственная… Сегодня мы приподнимем её завесу, чтобы стать мудрее и многое понять. Этой книгой открывается серия «Магия в вопросах и ответах». Каждая затронутая тема поможет читателю узнать что­то сокровенное._x000D_
Книги вас ждут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на тему рода и его силы. Вопросы крови — самые сложные вопросы в мире, утверждает Меньшикова. Именно с них мы и начинаем. Как принять силу своего рода? Какие бывают потоки сил? Кто такая Регина рода и каковы её возможности? Кто такой основатель рода? Что такое родовое проклятие? Как его распознать у себя? Как устроен род? Как добывать информацию о своём роде? Надо ли прощать умерших предков? Что происходит с правами женщины после развода? Внебрачные и нежеланные дети… Ответы на эти и многие другие вопросы ждут читателя на страницах этой книги.</t>
        </is>
      </c>
      <c r="S2499" s="26">
        <f>HYPERLINK("http://www.cnpol.ru/covers/22160.jpg","фото на сайте")</f>
        <v/>
      </c>
    </row>
    <row r="2500" ht="50.1" customHeight="1" s="3">
      <c r="A2500" s="23" t="inlineStr">
        <is>
          <t>Д</t>
        </is>
      </c>
      <c r="B2500" s="24" t="inlineStr">
        <is>
          <t>21486</t>
        </is>
      </c>
      <c r="C2500" s="23" t="inlineStr">
        <is>
          <t>МВО</t>
        </is>
      </c>
      <c r="D2500" s="23" t="inlineStr">
        <is>
          <t>Меньшикова К.Е.</t>
        </is>
      </c>
      <c r="E2500" s="23" t="inlineStr">
        <is>
          <t>Руны и магия. Правила вхождения в руны. Совмещение магии и религии. Переход из христианства в язычество. Выход из-под эгрегориальной зависимости</t>
        </is>
      </c>
      <c r="F2500" s="23" t="inlineStr">
        <is>
          <t>        </t>
        </is>
      </c>
      <c r="G2500" s="23" t="n">
        <v>284</v>
      </c>
      <c r="H2500" s="23" t="n">
        <v>10</v>
      </c>
      <c r="I2500" s="23" t="n">
        <v>15</v>
      </c>
      <c r="J2500" s="23" t="inlineStr">
        <is>
          <t>978-5-227-10987-3</t>
        </is>
      </c>
      <c r="K2500" s="23" t="inlineStr">
        <is>
          <t>84x108 1/32 (обл)</t>
        </is>
      </c>
      <c r="L2500" s="23" t="inlineStr">
        <is>
          <t>мяг</t>
        </is>
      </c>
      <c r="M2500" s="23" t="n">
        <v>160</v>
      </c>
      <c r="N2500" s="23" t="n">
        <v>2025</v>
      </c>
      <c r="O2500" s="23" t="n">
        <v>103</v>
      </c>
      <c r="P2500" s="23" t="n"/>
      <c r="Q2500" s="23" t="n"/>
      <c r="R2500" s="25" t="inlineStr">
        <is>
          <t>Перед вами седьмая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вопросы…_x000D_
В этой книге мы немного поговорим о рунах и узнаем, что руны — это многоуровневая, многослойная система познания, трансформации, управления, это порталы, это каналы, это ключи и связи… Изучим правила вхождения в руны. Узнаем, возможно ли совмещение магии и религии. Получим информацию о том, можно ли смешивать в одной магической формуле несколько традиций. Прочитаем, как правильно закрыть долги при переходе из христианства в язычество и как определить, велика ли эта задолженность. А также поймём, в чём выражается эгрегориальная зависимость и как от неё избавиться.</t>
        </is>
      </c>
      <c r="S2500" s="26">
        <f>HYPERLINK("http://www.cnpol.ru/covers/21486.jpg","фото на сайте")</f>
        <v/>
      </c>
    </row>
    <row r="2501" ht="50.1" customHeight="1" s="3">
      <c r="A2501" s="23" t="inlineStr">
        <is>
          <t>Д</t>
        </is>
      </c>
      <c r="B2501" s="24" t="inlineStr">
        <is>
          <t>22228</t>
        </is>
      </c>
      <c r="C2501" s="23" t="inlineStr">
        <is>
          <t>МВО</t>
        </is>
      </c>
      <c r="D2501" s="23" t="inlineStr">
        <is>
          <t>Меньшикова К.Е.</t>
        </is>
      </c>
      <c r="E2501" s="23" t="inlineStr">
        <is>
          <t>Хозяин места. Духи места и Хозяева земли. Взаимодействие с миром природы. Тотемы. Домовые</t>
        </is>
      </c>
      <c r="F2501" s="23" t="inlineStr">
        <is>
          <t>        </t>
        </is>
      </c>
      <c r="G2501" s="23" t="n">
        <v>284</v>
      </c>
      <c r="H2501" s="23" t="n">
        <v>10</v>
      </c>
      <c r="I2501" s="23" t="n">
        <v>12</v>
      </c>
      <c r="J2501" s="23" t="inlineStr">
        <is>
          <t>978-5-227-11272-9</t>
        </is>
      </c>
      <c r="K2501" s="23" t="inlineStr">
        <is>
          <t>84x108 1/32</t>
        </is>
      </c>
      <c r="L2501" s="23" t="inlineStr">
        <is>
          <t>мяг</t>
        </is>
      </c>
      <c r="M2501" s="23" t="n">
        <v>192</v>
      </c>
      <c r="N2501" s="23" t="n">
        <v>2026</v>
      </c>
      <c r="O2501" s="23" t="n">
        <v>120</v>
      </c>
      <c r="P2501" s="23" t="n"/>
      <c r="Q2501" s="23" t="n"/>
      <c r="R2501" s="25" t="inlineStr">
        <is>
          <t>Магия… Невидимая и таинственная…Сегодня мы вновь приподнимем её завесу, чтобы стать мудрее и многое понять. Перед вами вторая книга серии «Магия в вопросах и ответах», и каждая из них поможет читателю узнать что­то сокровенное._x000D_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Предыдущая книга была посвящена теме рода и силы рода. Настоящая — разбирает тему духов места и Хозяев земли, учит взаимодействию с миром природы и поискам своей тотемной силы. Вас ждут ответы на следующие вопросы: Как правильно наладить связь с Хозяином места, будь то огромная столица или тихая лесная поляна? Почему иногда не принимает земля? Как воспринимать нищих в городе? Как правильно приносить дары, чтобы они были приняты? Вечные кочевники цыгане: в чём их сила? Знаки, которые подают птицы и животные — как их читать? Тотем: в чём его сила и как найти свой? Как подружиться с домовым?..</t>
        </is>
      </c>
      <c r="S2501" s="26">
        <f>HYPERLINK("http://www.cnpol.ru/covers/22228.jpg","фото на сайте")</f>
        <v/>
      </c>
    </row>
    <row r="2502" ht="50.1" customHeight="1" s="3">
      <c r="A2502" s="23" t="inlineStr">
        <is>
          <t>Д</t>
        </is>
      </c>
      <c r="B2502" s="24" t="inlineStr">
        <is>
          <t>21914</t>
        </is>
      </c>
      <c r="C2502" s="23" t="inlineStr">
        <is>
          <t>МВО</t>
        </is>
      </c>
      <c r="D2502" s="23" t="inlineStr">
        <is>
          <t>Меньшикова К.Е.</t>
        </is>
      </c>
      <c r="E2502" s="23" t="inlineStr">
        <is>
          <t>Четыре правила мага. Магическая формула «Знать, Сметь, Уметь, Молчать» для становления сознания</t>
        </is>
      </c>
      <c r="F2502" s="23" t="inlineStr">
        <is>
          <t>        </t>
        </is>
      </c>
      <c r="G2502" s="23" t="n">
        <v>284</v>
      </c>
      <c r="H2502" s="23" t="n">
        <v>10</v>
      </c>
      <c r="I2502" s="23" t="n">
        <v>12</v>
      </c>
      <c r="J2502" s="23" t="inlineStr">
        <is>
          <t>978-5-227-11176-0</t>
        </is>
      </c>
      <c r="K2502" s="23" t="inlineStr">
        <is>
          <t>84x108 1/32</t>
        </is>
      </c>
      <c r="L2502" s="23" t="inlineStr">
        <is>
          <t>мяг</t>
        </is>
      </c>
      <c r="M2502" s="23" t="n">
        <v>191</v>
      </c>
      <c r="N2502" s="23" t="n">
        <v>2025</v>
      </c>
      <c r="O2502" s="23" t="n">
        <v>309</v>
      </c>
      <c r="P2502" s="23" t="n"/>
      <c r="Q2502" s="23" t="n"/>
      <c r="R2502" s="25" t="inlineStr">
        <is>
          <t>Перед вами одиннадцатая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вопросы…_x000D_
В этой книге мы постараемся углубить понимание смысла и сути магического становления сознания мага. Для этой цели мы попробуем всесторонне рассмотреть магическую формулу «Знать, Сметь, Уметь, Молчать», которая является матрицей для такого становления. Эти четыре правила-заповеди каждый практикующий должен учитывать в своей работе и, конечно же, грамотно применять. Тема эта очень интересная и совсем не простая. Однако есть уверенность, что мы сумеем разобраться и с этим.</t>
        </is>
      </c>
      <c r="S2502" s="26">
        <f>HYPERLINK("http://www.cnpol.ru/covers/21914.jpg","фото на сайте")</f>
        <v/>
      </c>
    </row>
    <row r="2503" ht="50.1" customHeight="1" s="3">
      <c r="A2503" s="23" t="n"/>
      <c r="B2503" s="24" t="inlineStr">
        <is>
          <t>10417</t>
        </is>
      </c>
      <c r="C2503" s="23" t="inlineStr">
        <is>
          <t>МДЕ</t>
        </is>
      </c>
      <c r="D2503" s="23" t="inlineStr">
        <is>
          <t>Евдокименко П.</t>
        </is>
      </c>
      <c r="E2503" s="23" t="inlineStr">
        <is>
          <t>Артрит. Свобода движений без операций</t>
        </is>
      </c>
      <c r="F2503" s="23" t="inlineStr">
        <is>
          <t>        </t>
        </is>
      </c>
      <c r="G2503" s="23" t="n">
        <v>134</v>
      </c>
      <c r="H2503" s="23" t="n">
        <v>10</v>
      </c>
      <c r="I2503" s="23" t="n">
        <v>18</v>
      </c>
      <c r="J2503" s="23" t="inlineStr">
        <is>
          <t>978-5-9524-3468-4</t>
        </is>
      </c>
      <c r="K2503" s="23" t="inlineStr">
        <is>
          <t>84x108 1/32 (обл)</t>
        </is>
      </c>
      <c r="L2503" s="23" t="inlineStr">
        <is>
          <t>мяг</t>
        </is>
      </c>
      <c r="M2503" s="23" t="n">
        <v>254</v>
      </c>
      <c r="N2503" s="23" t="n">
        <v>2008</v>
      </c>
      <c r="O2503" s="23" t="inlineStr">
        <is>
          <t>     </t>
        </is>
      </c>
      <c r="P2503" s="23" t="n"/>
      <c r="Q2503" s="23" t="n"/>
      <c r="R2503" s="25" t="inlineStr">
        <is>
          <t>В книге подробно описаны симптомы, причины развития и методы лечения артрита, артроза и других заболеваний суставов. Книга предназначена для широкого круга читаталей.</t>
        </is>
      </c>
      <c r="S2503" s="26">
        <f>HYPERLINK("http://www.cnpol.ru/covers/10417.jpg","фото на сайте")</f>
        <v/>
      </c>
    </row>
    <row r="2504" ht="50.1" customHeight="1" s="3">
      <c r="A2504" s="23" t="n"/>
      <c r="B2504" s="24" t="inlineStr">
        <is>
          <t>17028</t>
        </is>
      </c>
      <c r="C2504" s="23" t="inlineStr">
        <is>
          <t>МЕЛИК</t>
        </is>
      </c>
      <c r="D2504" s="23" t="inlineStr">
        <is>
          <t>Мелик Л.</t>
        </is>
      </c>
      <c r="E2504" s="23" t="inlineStr">
        <is>
          <t>Ангелы-хранители- наши друзья и заступники</t>
        </is>
      </c>
      <c r="F2504" s="23" t="inlineStr">
        <is>
          <t>        </t>
        </is>
      </c>
      <c r="G2504" s="23" t="n">
        <v>284</v>
      </c>
      <c r="H2504" s="23" t="n">
        <v>10</v>
      </c>
      <c r="I2504" s="23" t="n">
        <v>12</v>
      </c>
      <c r="J2504" s="23" t="inlineStr">
        <is>
          <t>978-5-227-06421-9</t>
        </is>
      </c>
      <c r="K2504" s="23" t="inlineStr">
        <is>
          <t>84x108 1/32 (обл)</t>
        </is>
      </c>
      <c r="L2504" s="23" t="inlineStr">
        <is>
          <t>мяг</t>
        </is>
      </c>
      <c r="M2504" s="23" t="n">
        <v>288</v>
      </c>
      <c r="N2504" s="23" t="n">
        <v>2016</v>
      </c>
      <c r="O2504" s="23" t="n">
        <v>174</v>
      </c>
      <c r="P2504" s="23" t="n"/>
      <c r="Q2504" s="23" t="n"/>
      <c r="R2504" s="25" t="inlineStr">
        <is>
          <t>Мы не одиноки в этом мире. У нас есть друзья и защитники, которые всегда незримо присутствуют рядом с нами. Они помогут, утешат, подскажут и уберегут. Друзей наших искать нужно совсем не на других планетах, а в мире духов. Конечно же речь об ангелах. У каждого из нас есть свой ангел­хранитель. Он близко и в то же время в тех пространствах, о которых человеку известно крайне мало._x000D_
Лора Мелик берется рассказать нам практически все, что за время общения людей с божественными силами стало известно как о небесах и ангелах, так и об их противниках, демонах, врагах всего доброго и светлого, постоянно пытающихся сбить людей с верного пути, ведущего к спасению. Вы узнаете, как противостоять их козням и обращаться к ангелам за помощью в любых жизненных ситуациях. С ангельской помощью любые благие начинания окажутся вам по плечам.</t>
        </is>
      </c>
      <c r="S2504" s="26">
        <f>HYPERLINK("http://www.cnpol.ru/covers/17028.jpg","фото на сайте")</f>
        <v/>
      </c>
    </row>
    <row r="2505" ht="50.1" customHeight="1" s="3">
      <c r="A2505" s="23" t="n"/>
      <c r="B2505" s="24" t="inlineStr">
        <is>
          <t>16246</t>
        </is>
      </c>
      <c r="C2505" s="23" t="inlineStr">
        <is>
          <t>МЕЛИК</t>
        </is>
      </c>
      <c r="D2505" s="23" t="inlineStr">
        <is>
          <t>Мелик Л.</t>
        </is>
      </c>
      <c r="E2505" s="23" t="inlineStr">
        <is>
          <t>Заговоры и молитвы на счастье и любовь. Секреты мира и благополучия</t>
        </is>
      </c>
      <c r="F2505" s="23" t="inlineStr">
        <is>
          <t>        </t>
        </is>
      </c>
      <c r="G2505" s="23" t="n">
        <v>284</v>
      </c>
      <c r="H2505" s="23" t="n">
        <v>10</v>
      </c>
      <c r="I2505" s="23" t="n">
        <v>24</v>
      </c>
      <c r="J2505" s="23" t="inlineStr">
        <is>
          <t>978-5-227-05875-1</t>
        </is>
      </c>
      <c r="K2505" s="23" t="inlineStr">
        <is>
          <t>84x108 1/32 (обл)</t>
        </is>
      </c>
      <c r="L2505" s="23" t="inlineStr">
        <is>
          <t>мяг</t>
        </is>
      </c>
      <c r="M2505" s="23" t="n">
        <v>224</v>
      </c>
      <c r="N2505" s="23" t="n">
        <v>2015</v>
      </c>
      <c r="O2505" s="23" t="n">
        <v>138</v>
      </c>
      <c r="P2505" s="23" t="n"/>
      <c r="Q2505" s="23" t="n"/>
      <c r="R2505" s="25" t="inlineStr">
        <is>
          <t>С помощью новой книги Лоры Мелик вы узнаете, как помочь себе и близким сохранить и преумножить радость, здоровье, любовь и мир в семье. Приведенные в ней заговоры и молитвы — подспорье для того, чтобы обрести вторую половинку, счастливо выйти замуж или жениться, поладить с родителями супруга или супруги, уладить все конфликты и недопонимания в семье, родить здорового ребенка, воспитать его умным и заботливым и оградить от неприятностей и болезней, сглаза и порчи. Кроме того, молитвы и заговоры выгонят из дома нечисть и помогут стать в нем крепкой хозяйкой или хозяином и создать настоящий семейный очаг. Мудрость и чуткость ваши разовьются, а беды отступят прочь.</t>
        </is>
      </c>
      <c r="S2505" s="26">
        <f>HYPERLINK("http://www.cnpol.ru/covers/16246.jpg","фото на сайте")</f>
        <v/>
      </c>
    </row>
    <row r="2506" ht="50.1" customHeight="1" s="3">
      <c r="A2506" s="23" t="n"/>
      <c r="B2506" s="24" t="inlineStr">
        <is>
          <t>20946</t>
        </is>
      </c>
      <c r="C2506" s="23" t="inlineStr">
        <is>
          <t>МЕЛИК</t>
        </is>
      </c>
      <c r="D2506" s="23" t="inlineStr">
        <is>
          <t>Мелик Л.</t>
        </is>
      </c>
      <c r="E2506" s="23" t="inlineStr">
        <is>
          <t>Заговоры и молитвы на удачу и богатство. Секреты успеха и благополучия</t>
        </is>
      </c>
      <c r="F2506" s="23" t="inlineStr">
        <is>
          <t>        </t>
        </is>
      </c>
      <c r="G2506" s="23" t="n">
        <v>284</v>
      </c>
      <c r="H2506" s="23" t="n">
        <v>10</v>
      </c>
      <c r="I2506" s="23" t="n">
        <v>15</v>
      </c>
      <c r="J2506" s="23" t="inlineStr">
        <is>
          <t>978-5-227-10388-8</t>
        </is>
      </c>
      <c r="K2506" s="23" t="inlineStr">
        <is>
          <t>84x108 1/32 (обл)</t>
        </is>
      </c>
      <c r="L2506" s="23" t="inlineStr">
        <is>
          <t>мяг</t>
        </is>
      </c>
      <c r="M2506" s="23" t="n">
        <v>191</v>
      </c>
      <c r="N2506" s="23" t="n">
        <v>2024</v>
      </c>
      <c r="O2506" s="23" t="n">
        <v>114</v>
      </c>
      <c r="P2506" s="23" t="n"/>
      <c r="Q2506" s="23" t="n"/>
      <c r="R2506" s="25" t="inlineStr">
        <is>
          <t>Новая книга Лоры Мелик рассматривает удачу с разных сторон: как везение в повседневной жизни, так и успех в своем деле и на работе, раскрытие своего потенциала, придающие каждому дню радость и смысл. Мощные молитвы и заговоры, спасавшие наших предков в течение многих поколений, помогут обрести подлинное счастье, будут оберегать в дороге и защитят от коварных происков недоброжелателей, в том числе помогут снять порчу и сглаз. Способствуют они и избавлению от бедности и привлечению в жизнь достатка, в том числе не материального, а духовного богатства. Расскажет автор и об амулетах и талисманах, которые стоит носить с собой не только для того, чтобы приманить удачу, но и чтобы развить сильные стороны характера владельца.</t>
        </is>
      </c>
      <c r="S2506" s="26">
        <f>HYPERLINK("http://www.cnpol.ru/covers/20946.jpg","фото на сайте")</f>
        <v/>
      </c>
    </row>
    <row r="2507" ht="50.1" customHeight="1" s="3">
      <c r="A2507" s="23" t="n"/>
      <c r="B2507" s="24" t="inlineStr">
        <is>
          <t>18363</t>
        </is>
      </c>
      <c r="C2507" s="23" t="inlineStr">
        <is>
          <t>МЕЛИК</t>
        </is>
      </c>
      <c r="D2507" s="23" t="inlineStr">
        <is>
          <t>Мелик Л.</t>
        </is>
      </c>
      <c r="E2507" s="23" t="inlineStr">
        <is>
          <t>Заговоры и молитвы о здоровье и благополучии детей. Мощная защита для вашего ребенка</t>
        </is>
      </c>
      <c r="F2507" s="23" t="inlineStr">
        <is>
          <t>        </t>
        </is>
      </c>
      <c r="G2507" s="23" t="n">
        <v>284</v>
      </c>
      <c r="H2507" s="23" t="n">
        <v>10</v>
      </c>
      <c r="I2507" s="23" t="n">
        <v>20</v>
      </c>
      <c r="J2507" s="23" t="inlineStr">
        <is>
          <t>978-5-227-08284-8</t>
        </is>
      </c>
      <c r="K2507" s="23" t="inlineStr">
        <is>
          <t>84x108 1/32 (обл)</t>
        </is>
      </c>
      <c r="L2507" s="23" t="inlineStr">
        <is>
          <t>мяг</t>
        </is>
      </c>
      <c r="M2507" s="23" t="n">
        <v>224</v>
      </c>
      <c r="N2507" s="23" t="n">
        <v>2018</v>
      </c>
      <c r="O2507" s="23" t="n">
        <v>136</v>
      </c>
      <c r="P2507" s="23" t="n"/>
      <c r="Q2507" s="23" t="n"/>
      <c r="R2507" s="25" t="inlineStr">
        <is>
          <t>С помощью новой книги Лоры Мелик вы узнаете, как помочь себе и близким сохранить и преумножить радость, здоровье, любовь и мир в семье. Приведенные в ней заговоры и молитвы — подспорье для того, чтобы обрести вторую половинку, счастливо выйти замуж или жениться, поладить с родителями супруга или супруги, уладить все конфликты и недопонимания в семье, родить здорового ребенка, воспитать его умным и заботливым и оградить от неприятностей и болезней, сглаза и порчи. Кроме того, молитвы и заговоры выгонят из дома нечисть и помогут стать в нем крепкой хозяйкой или хозяином и создать настоящий семейный очаг. Мудрость и чуткость ваши разовьются, а беды отступят прочь.</t>
        </is>
      </c>
      <c r="S2507" s="26">
        <f>HYPERLINK("http://www.cnpol.ru/covers/18363.jpg","фото на сайте")</f>
        <v/>
      </c>
    </row>
    <row r="2508" ht="50.1" customHeight="1" s="3">
      <c r="A2508" s="23" t="n"/>
      <c r="B2508" s="24" t="inlineStr">
        <is>
          <t>16778</t>
        </is>
      </c>
      <c r="C2508" s="23" t="inlineStr">
        <is>
          <t>МЕЛИК</t>
        </is>
      </c>
      <c r="D2508" s="23" t="inlineStr">
        <is>
          <t>Мелик Л.</t>
        </is>
      </c>
      <c r="E2508" s="23" t="inlineStr">
        <is>
          <t>Заговоры на сохранение семьи</t>
        </is>
      </c>
      <c r="F2508" s="23" t="inlineStr">
        <is>
          <t>        </t>
        </is>
      </c>
      <c r="G2508" s="23" t="n">
        <v>284</v>
      </c>
      <c r="H2508" s="23" t="n">
        <v>10</v>
      </c>
      <c r="I2508" s="23" t="n">
        <v>14</v>
      </c>
      <c r="J2508" s="23" t="inlineStr">
        <is>
          <t>978-5-227-06861-3</t>
        </is>
      </c>
      <c r="K2508" s="23" t="inlineStr">
        <is>
          <t>84x108 1/32 (обл)</t>
        </is>
      </c>
      <c r="L2508" s="23" t="inlineStr">
        <is>
          <t>мяг</t>
        </is>
      </c>
      <c r="M2508" s="23" t="n">
        <v>288</v>
      </c>
      <c r="N2508" s="23" t="n">
        <v>2016</v>
      </c>
      <c r="O2508" s="23" t="n">
        <v>176</v>
      </c>
      <c r="P2508" s="23" t="n"/>
      <c r="Q2508" s="23" t="n"/>
      <c r="R2508" s="25" t="inlineStr">
        <is>
          <t>Каждый хочет, чтобы в доме царили мир и покой, порядок и уют, но добиться этого, к сожалению, не так­то просто. Однако помощь ближе, чем вы думаете. Новая книга Лоры Мелик и приведенные в ней заговоры и молитвы мощным щитом встанут между вами и невзгодами окружающего мира. Они помогут привлечь суженого или суженую, создать с ним или ней крепкую семью и родить здоровых, радостных и желанных детей, сберечь их от недугов, а в случае чего уберегут и от козней соперницы или соперника — коварных приворотов и наговоров, — вернут мужа или жену, восстановят разладившиеся отношения. Веками проверенные заговоры и молитвы послужат подспорьем и в хозяйстве, делах домашних и работе: помогут изгнать из дома нечисть, отведут зависть, привлекут удачу и благополучие.</t>
        </is>
      </c>
      <c r="S2508" s="26">
        <f>HYPERLINK("http://www.cnpol.ru/covers/16778.jpg","фото на сайте")</f>
        <v/>
      </c>
    </row>
    <row r="2509" ht="50.1" customHeight="1" s="3">
      <c r="A2509" s="23" t="inlineStr">
        <is>
          <t>Н</t>
        </is>
      </c>
      <c r="B2509" s="24" t="inlineStr">
        <is>
          <t>21167</t>
        </is>
      </c>
      <c r="C2509" s="23" t="inlineStr">
        <is>
          <t>МЕЛИК</t>
        </is>
      </c>
      <c r="D2509" s="23" t="inlineStr">
        <is>
          <t>Мелик Л.</t>
        </is>
      </c>
      <c r="E2509" s="23" t="inlineStr">
        <is>
          <t>Исцеляющая сила растений. Чудо-травы от всех болезней</t>
        </is>
      </c>
      <c r="F2509" s="23" t="inlineStr">
        <is>
          <t>        </t>
        </is>
      </c>
      <c r="G2509" s="23" t="n">
        <v>633</v>
      </c>
      <c r="H2509" s="23" t="n">
        <v>10</v>
      </c>
      <c r="I2509" s="23" t="n">
        <v>10</v>
      </c>
      <c r="J2509" s="23" t="inlineStr">
        <is>
          <t>978-5-227-10594-3</t>
        </is>
      </c>
      <c r="K2509" s="23" t="inlineStr">
        <is>
          <t>84x108 1/32</t>
        </is>
      </c>
      <c r="L2509" s="23" t="inlineStr">
        <is>
          <t>тв</t>
        </is>
      </c>
      <c r="M2509" s="23" t="n">
        <v>479</v>
      </c>
      <c r="N2509" s="23" t="n">
        <v>2024</v>
      </c>
      <c r="O2509" s="23" t="n">
        <v>366</v>
      </c>
      <c r="P2509" s="23" t="n"/>
      <c r="Q2509" s="23" t="n"/>
      <c r="R2509" s="25" t="inlineStr">
        <is>
          <t>Сотни лет умельцы-знахари врачевали больных лечебными травами, и к нашему XXI столетию эти средства уже многократно доказали свою эффективность. Отголоски этого многовекового опыта доносятся даже до тех, кто не разбирается в народной медицине. Едва ли кто-то не слышал о пользе зверобоя, тысячелистника, ромашки, календулы, мать-и-мачехи, цикория, мяты, а ведь это только некоторые из представленных в новой книге Лоры Мелик растений. Каждая статья включает много полезного материала об ареале обитания растения, заготовке, содержащихся в них полезных веществах, применении в официальной и народной медицине, а также противопоказания и рецепты — как лекарств и натуральной косметики, так и вкусных и полезных блюд. С этой книгой свой личный целитель, знающий множество проверенных рецептов, всегда под рукой.</t>
        </is>
      </c>
      <c r="S2509" s="26">
        <f>HYPERLINK("http://www.cnpol.ru/covers/21167.jpg","фото на сайте")</f>
        <v/>
      </c>
    </row>
    <row r="2510" ht="50.1" customHeight="1" s="3">
      <c r="A2510" s="23" t="inlineStr">
        <is>
          <t>Д</t>
        </is>
      </c>
      <c r="B2510" s="24" t="inlineStr">
        <is>
          <t>22233</t>
        </is>
      </c>
      <c r="C2510" s="23" t="inlineStr">
        <is>
          <t>МЕЛИК</t>
        </is>
      </c>
      <c r="D2510" s="23" t="inlineStr">
        <is>
          <t>Мелик Л.</t>
        </is>
      </c>
      <c r="E2510" s="23" t="inlineStr">
        <is>
          <t>Исцеляющие душу и тело травяные чаи. Магия природы для вашего здоровья</t>
        </is>
      </c>
      <c r="F2510" s="23" t="inlineStr">
        <is>
          <t>        </t>
        </is>
      </c>
      <c r="G2510" s="23" t="n">
        <v>308</v>
      </c>
      <c r="H2510" s="23" t="n">
        <v>10</v>
      </c>
      <c r="I2510" s="23" t="n">
        <v>8</v>
      </c>
      <c r="J2510" s="23" t="inlineStr">
        <is>
          <t>978-5-227-11324-5</t>
        </is>
      </c>
      <c r="K2510" s="23" t="inlineStr">
        <is>
          <t>84x108 1/32</t>
        </is>
      </c>
      <c r="L2510" s="23" t="inlineStr">
        <is>
          <t>мяг</t>
        </is>
      </c>
      <c r="M2510" s="23" t="n">
        <v>383</v>
      </c>
      <c r="N2510" s="23" t="n">
        <v>2026</v>
      </c>
      <c r="O2510" s="23" t="n">
        <v>230</v>
      </c>
      <c r="P2510" s="23" t="n"/>
      <c r="Q2510" s="23" t="n"/>
      <c r="R2510" s="25" t="inlineStr">
        <is>
          <t>Сейчас, в век технологий, когда нас окружает так много химии, стало как никогда важно уменьшить ее вредное воздействие и укрепить здоровье. Все больше людей сегодня обращаются к многовековому опыту использования целебных, поистине волшебных свойств трав и растительных сборов при лечении огромного количества болезней. В данной книге подобраны эффективные и проверенные как врачебной практикой, так и опытом знахарей рецепты сборов лекарственных трав для использования при многих распространенных заболеваниях. Приведены описания технологии приготовления чаев, настоев, отваров лекарственных растений, а также время их сбора и способы заготовки и хранения. Книга рекомендуется для широкого круга читателей, ценящих собственное здоровье, она будет верным другом и помощником на пути к исцелению от недугов.</t>
        </is>
      </c>
      <c r="S2510" s="26">
        <f>HYPERLINK("http://www.cnpol.ru/covers/22233.jpg","фото на сайте")</f>
        <v/>
      </c>
    </row>
    <row r="2511" ht="50.1" customHeight="1" s="3">
      <c r="A2511" s="23" t="inlineStr">
        <is>
          <t>Д</t>
        </is>
      </c>
      <c r="B2511" s="24" t="inlineStr">
        <is>
          <t>21044</t>
        </is>
      </c>
      <c r="C2511" s="23" t="inlineStr">
        <is>
          <t>МЕЛИК</t>
        </is>
      </c>
      <c r="D2511" s="23" t="inlineStr">
        <is>
          <t>Мелик Л.</t>
        </is>
      </c>
      <c r="E2511" s="23" t="inlineStr">
        <is>
          <t>Магия ароматов. Эфирные масла и специи от всех болезней</t>
        </is>
      </c>
      <c r="F2511" s="23" t="inlineStr">
        <is>
          <t>        </t>
        </is>
      </c>
      <c r="G2511" s="23" t="n">
        <v>284</v>
      </c>
      <c r="H2511" s="23" t="n">
        <v>10</v>
      </c>
      <c r="I2511" s="23" t="n">
        <v>20</v>
      </c>
      <c r="J2511" s="23" t="inlineStr">
        <is>
          <t>978-5-227-10593-6</t>
        </is>
      </c>
      <c r="K2511" s="23" t="inlineStr">
        <is>
          <t>84x108 1/32 (обл)</t>
        </is>
      </c>
      <c r="L2511" s="23" t="inlineStr">
        <is>
          <t>мяг</t>
        </is>
      </c>
      <c r="M2511" s="23" t="n">
        <v>319</v>
      </c>
      <c r="N2511" s="23" t="n">
        <v>2024</v>
      </c>
      <c r="O2511" s="23" t="n">
        <v>185</v>
      </c>
      <c r="P2511" s="23" t="n"/>
      <c r="Q2511" s="23" t="n"/>
      <c r="R2511" s="25" t="inlineStr">
        <is>
          <t>Бесконечно огромна кладовая матушки-природы. Она одаривает нас травами, цветами, плодами, а волшебное благоухание растений может потягаться в эффективности с целебными настоями и отварами. Добываемые из лечебных растений эфирные масла пригодятся везде: ароматизировать помещение, сделать духи, шампунь, маску для лица, массажное масло, ингаляцию, принять расслабляющую ванну или тонизирующий душ. Запахи воздействуют напрямую на центральную нервную систему и могут творить чудеса, избавляя от болезней, стресса, напряжения, бессонницы, улучшая настроение и повышая работоспособность. У знаков зодиака и цветов радуги тоже есть соответствующие им запахи, как и у влияющих на вашу жизнь планет. Главное — подобрать аромат, который подойдет лично вам, подарит радость и окажет положительное магическое влияние на вашу жизнь, в чем и поможет эта книга.</t>
        </is>
      </c>
      <c r="S2511" s="26">
        <f>HYPERLINK("http://www.cnpol.ru/covers/21044.jpg","фото на сайте")</f>
        <v/>
      </c>
    </row>
    <row r="2512" ht="50.1" customHeight="1" s="3">
      <c r="A2512" s="23" t="inlineStr">
        <is>
          <t>Д</t>
        </is>
      </c>
      <c r="B2512" s="24" t="inlineStr">
        <is>
          <t>21536</t>
        </is>
      </c>
      <c r="C2512" s="23" t="inlineStr">
        <is>
          <t>МЕЛИК</t>
        </is>
      </c>
      <c r="D2512" s="23" t="inlineStr">
        <is>
          <t>Мелик Л.</t>
        </is>
      </c>
      <c r="E2512" s="23" t="inlineStr">
        <is>
          <t>Мощная защита вашего дома. Заговоры и молитвы на крепость хозяйства</t>
        </is>
      </c>
      <c r="F2512" s="23" t="inlineStr">
        <is>
          <t>        </t>
        </is>
      </c>
      <c r="G2512" s="23" t="n">
        <v>284</v>
      </c>
      <c r="H2512" s="23" t="n">
        <v>10</v>
      </c>
      <c r="I2512" s="23" t="n">
        <v>10</v>
      </c>
      <c r="J2512" s="23" t="inlineStr">
        <is>
          <t>978-5-227-10556-1</t>
        </is>
      </c>
      <c r="K2512" s="23" t="inlineStr">
        <is>
          <t>84x108 1/32 (обл)</t>
        </is>
      </c>
      <c r="L2512" s="23" t="inlineStr">
        <is>
          <t>мяг</t>
        </is>
      </c>
      <c r="M2512" s="23" t="n">
        <v>287</v>
      </c>
      <c r="N2512" s="23" t="n">
        <v>2025</v>
      </c>
      <c r="O2512" s="23" t="n">
        <v>180</v>
      </c>
      <c r="P2512" s="23" t="n"/>
      <c r="Q2512" s="23" t="n"/>
      <c r="R2512" s="25" t="inlineStr">
        <is>
          <t>Ведение хозяйства — огромный, непростой, ответственный труд, идет ли речь о домашних хлопотах, об уходе за домашними питомцами, о возделывании земли, о походах за добычей в лес или о постройке нового жилища. Подмога в этом деле никогда не лишняя, и наши предки понимали это как никто, оставив нам, своим потомкам, богатое наследство народной мудрости. Даже в наше время, когда человек не обделен помощью разнообразной техники, хочется, чтобы труду сопутствовала удача и дело спорилось само собой, да и люди худые не сглазили. И тут не обойтись без молитв и заговоров, которых Лора Мелик знает бесчисленное множество: для урожая, для чистоты и уюта, на надежную постройку дома, от нечистой силы, от дурного глаза, от болезней и для здоровья животных, для удачи на охоте, в том числе и ягодно-грибной… Все это ждет вас в новой книге, как и полезные народные приметы, и житейские советы по ведению хозяйства, связанные с влиянием Луны.</t>
        </is>
      </c>
      <c r="S2512" s="26">
        <f>HYPERLINK("http://www.cnpol.ru/covers/21536.jpg","фото на сайте")</f>
        <v/>
      </c>
    </row>
    <row r="2513" ht="50.1" customHeight="1" s="3">
      <c r="A2513" s="23" t="n"/>
      <c r="B2513" s="24" t="inlineStr">
        <is>
          <t>14257</t>
        </is>
      </c>
      <c r="C2513" s="23" t="inlineStr">
        <is>
          <t>МЕЛИК</t>
        </is>
      </c>
      <c r="D2513" s="23" t="inlineStr">
        <is>
          <t>Мелик Л.</t>
        </is>
      </c>
      <c r="E2513" s="23" t="inlineStr">
        <is>
          <t>Мощная защита от негатива на все случаи жизни. Секреты здоровья, радости и процветания</t>
        </is>
      </c>
      <c r="F2513" s="23" t="inlineStr">
        <is>
          <t>        </t>
        </is>
      </c>
      <c r="G2513" s="23" t="n">
        <v>284</v>
      </c>
      <c r="H2513" s="23" t="n">
        <v>22</v>
      </c>
      <c r="I2513" s="23" t="n">
        <v>26</v>
      </c>
      <c r="J2513" s="23" t="inlineStr">
        <is>
          <t>978-5-227-04282-8</t>
        </is>
      </c>
      <c r="K2513" s="23" t="inlineStr">
        <is>
          <t>84x108 1/32 (обл)</t>
        </is>
      </c>
      <c r="L2513" s="23" t="inlineStr">
        <is>
          <t>мяг</t>
        </is>
      </c>
      <c r="M2513" s="23" t="n">
        <v>255</v>
      </c>
      <c r="N2513" s="23" t="n">
        <v>2013</v>
      </c>
      <c r="O2513" s="23" t="n">
        <v>158</v>
      </c>
      <c r="P2513" s="23" t="n"/>
      <c r="Q2513" s="23" t="n"/>
      <c r="R2513" s="25" t="n"/>
      <c r="S2513" s="26">
        <f>HYPERLINK("http://www.cnpol.ru/covers/14257.jpg","фото на сайте")</f>
        <v/>
      </c>
    </row>
    <row r="2514" ht="50.1" customHeight="1" s="3">
      <c r="A2514" s="23" t="inlineStr">
        <is>
          <t>Д</t>
        </is>
      </c>
      <c r="B2514" s="24" t="inlineStr">
        <is>
          <t>21487</t>
        </is>
      </c>
      <c r="C2514" s="23" t="inlineStr">
        <is>
          <t>МЕЛИК</t>
        </is>
      </c>
      <c r="D2514" s="23" t="inlineStr">
        <is>
          <t>Мелик Л.</t>
        </is>
      </c>
      <c r="E2514" s="23" t="inlineStr">
        <is>
          <t>Мощный молитвенный щит на все случаи жизни. Молитвы, обереги, заговоры</t>
        </is>
      </c>
      <c r="F2514" s="23" t="inlineStr">
        <is>
          <t>        </t>
        </is>
      </c>
      <c r="G2514" s="23" t="n">
        <v>284</v>
      </c>
      <c r="H2514" s="23" t="n">
        <v>10</v>
      </c>
      <c r="I2514" s="23" t="n">
        <v>10</v>
      </c>
      <c r="J2514" s="23" t="inlineStr">
        <is>
          <t>978-5-227-10990-3</t>
        </is>
      </c>
      <c r="K2514" s="23" t="inlineStr">
        <is>
          <t>84x108 1/32 (обл)</t>
        </is>
      </c>
      <c r="L2514" s="23" t="inlineStr">
        <is>
          <t>мяг</t>
        </is>
      </c>
      <c r="M2514" s="23" t="n">
        <v>286</v>
      </c>
      <c r="N2514" s="23" t="n">
        <v>2025</v>
      </c>
      <c r="O2514" s="23" t="n">
        <v>182</v>
      </c>
      <c r="P2514" s="23" t="n"/>
      <c r="Q2514" s="23" t="n"/>
      <c r="R2514" s="25" t="inlineStr">
        <is>
          <t>Эта книга — ваш ключ к пониманию светлых сил и путеводная нить на пути к ним. Вы узнаете все об иерархии ангелов и демонов, которые с начала времен ведут непримиримую борьбу за человеческие души. Вооруженные мощным щитом из чудодейственных молитв, вы защитите себя и близких от любой атаки темных сил: будь то сглаз, порча, приворот, проклятье или в гневе брошенное слово. Научитесь просить защиты у своего ангела-хранителя и Сил Света. Узнаете, какой иконе поклониться, обращаясь к святому покровителю с той или иной просьбой. Молитвы, заговоры, обереги, заключающие в себе мощный энергетический заряд, подарят исцеление от недугов, любовь и гармонию  вашей семье, а вашим детям — здоровье, послушание, жизнелюбие, успех в учебе и личное счастье.</t>
        </is>
      </c>
      <c r="S2514" s="26">
        <f>HYPERLINK("http://www.cnpol.ru/covers/21487.jpg","фото на сайте")</f>
        <v/>
      </c>
    </row>
    <row r="2515" ht="50.1" customHeight="1" s="3">
      <c r="A2515" s="23" t="n"/>
      <c r="B2515" s="24" t="inlineStr">
        <is>
          <t>18350</t>
        </is>
      </c>
      <c r="C2515" s="23" t="inlineStr">
        <is>
          <t>МЕЛИК</t>
        </is>
      </c>
      <c r="D2515" s="23" t="inlineStr">
        <is>
          <t>Мелик Л.</t>
        </is>
      </c>
      <c r="E2515" s="23" t="inlineStr">
        <is>
          <t>Мысль творит реальность: вам подвластно ВСЁ</t>
        </is>
      </c>
      <c r="F2515" s="23" t="inlineStr">
        <is>
          <t>        </t>
        </is>
      </c>
      <c r="G2515" s="23" t="n">
        <v>284</v>
      </c>
      <c r="H2515" s="23" t="n">
        <v>10</v>
      </c>
      <c r="I2515" s="23" t="n">
        <v>16</v>
      </c>
      <c r="J2515" s="23" t="inlineStr">
        <is>
          <t>978-5-227-08276-3</t>
        </is>
      </c>
      <c r="K2515" s="23" t="inlineStr">
        <is>
          <t>84x108 1/32 (обл)</t>
        </is>
      </c>
      <c r="L2515" s="23" t="inlineStr">
        <is>
          <t>мяг</t>
        </is>
      </c>
      <c r="M2515" s="23" t="n">
        <v>256</v>
      </c>
      <c r="N2515" s="23" t="n">
        <v>2018</v>
      </c>
      <c r="O2515" s="23" t="n">
        <v>164</v>
      </c>
      <c r="P2515" s="23" t="n"/>
      <c r="Q2515" s="23" t="n"/>
      <c r="R2515" s="25" t="n"/>
      <c r="S2515" s="26">
        <f>HYPERLINK("http://www.cnpol.ru/covers/18350.jpg","фото на сайте")</f>
        <v/>
      </c>
    </row>
    <row r="2516" ht="50.1" customHeight="1" s="3">
      <c r="A2516" s="23" t="n"/>
      <c r="B2516" s="24" t="inlineStr">
        <is>
          <t>17310</t>
        </is>
      </c>
      <c r="C2516" s="23" t="inlineStr">
        <is>
          <t>МЕЛИК</t>
        </is>
      </c>
      <c r="D2516" s="23" t="inlineStr">
        <is>
          <t>Мелик Л.</t>
        </is>
      </c>
      <c r="E2516" s="23" t="inlineStr">
        <is>
          <t>Обряды, праздники и обычаи наших предков. Молитвы, заговоры, обереги</t>
        </is>
      </c>
      <c r="F2516" s="23" t="inlineStr">
        <is>
          <t>        </t>
        </is>
      </c>
      <c r="G2516" s="23" t="n">
        <v>284</v>
      </c>
      <c r="H2516" s="23" t="n">
        <v>10</v>
      </c>
      <c r="I2516" s="23" t="n">
        <v>10</v>
      </c>
      <c r="J2516" s="23" t="inlineStr">
        <is>
          <t>978-5-227-07164-4</t>
        </is>
      </c>
      <c r="K2516" s="23" t="inlineStr">
        <is>
          <t>84x108 1/32 (обл)</t>
        </is>
      </c>
      <c r="L2516" s="23" t="inlineStr">
        <is>
          <t>мяг</t>
        </is>
      </c>
      <c r="M2516" s="23" t="n">
        <v>480</v>
      </c>
      <c r="N2516" s="23" t="n">
        <v>2017</v>
      </c>
      <c r="O2516" s="23" t="n">
        <v>284</v>
      </c>
      <c r="P2516" s="23" t="n"/>
      <c r="Q2516" s="23" t="n"/>
      <c r="R2516" s="25" t="n"/>
      <c r="S2516" s="26">
        <f>HYPERLINK("http://www.cnpol.ru/covers/17310.jpg","фото на сайте")</f>
        <v/>
      </c>
    </row>
    <row r="2517" ht="50.1" customHeight="1" s="3">
      <c r="A2517" s="23" t="inlineStr">
        <is>
          <t>Д</t>
        </is>
      </c>
      <c r="B2517" s="24" t="inlineStr">
        <is>
          <t>22079</t>
        </is>
      </c>
      <c r="C2517" s="23" t="inlineStr">
        <is>
          <t>МЕЛИК</t>
        </is>
      </c>
      <c r="D2517" s="23" t="inlineStr">
        <is>
          <t>Мелик Л.</t>
        </is>
      </c>
      <c r="E2517" s="23" t="inlineStr">
        <is>
          <t>Родовая защита. Поддержка предков и исцеление судьбы</t>
        </is>
      </c>
      <c r="F2517" s="23" t="inlineStr">
        <is>
          <t>        </t>
        </is>
      </c>
      <c r="G2517" s="23" t="n">
        <v>284</v>
      </c>
      <c r="H2517" s="23" t="n">
        <v>10</v>
      </c>
      <c r="I2517" s="23" t="n">
        <v>14</v>
      </c>
      <c r="J2517" s="23" t="inlineStr">
        <is>
          <t>978-5-227-11208-8</t>
        </is>
      </c>
      <c r="K2517" s="23" t="inlineStr">
        <is>
          <t>84x108 1/32</t>
        </is>
      </c>
      <c r="L2517" s="23" t="inlineStr">
        <is>
          <t>мяг</t>
        </is>
      </c>
      <c r="M2517" s="23" t="n">
        <v>191</v>
      </c>
      <c r="N2517" s="23" t="n">
        <v>2026</v>
      </c>
      <c r="O2517" s="23" t="n">
        <v>118</v>
      </c>
      <c r="P2517" s="23" t="n"/>
      <c r="Q2517" s="23" t="n"/>
      <c r="R2517" s="25" t="inlineStr">
        <is>
          <t>Каждый человек на Земле — частичка своей родовой системы, хочет он того или нет. Успехи и неудачи в текущей жизни заложены не только нашей личной, но и родовой кармой. А значит, чтобы стать здоровым, счастливым и благополучным, необходимо знать, как замолить грехи предков, как избавиться от родового проклятия, как встроиться в родовой канал и как получить благословение ушедших поколений, не перестающих заботиться о своих потомках и на том свете. Помимо иллюстрируемой притчами обширной теории в новой книге Лоры Мелик много практических упражнений и аффирмаций как на принятие родом, так и на приобретение личной силы и уверенности. С таким надежным спутником легко примириться с прошлым и простить согрешивших родственников и не менее легко смотреть в будущее, наполненное поддержкой и принятием.</t>
        </is>
      </c>
      <c r="S2517" s="26">
        <f>HYPERLINK("http://www.cnpol.ru/covers/22079.jpg","фото на сайте")</f>
        <v/>
      </c>
    </row>
    <row r="2518" ht="50.1" customHeight="1" s="3">
      <c r="A2518" s="23" t="n"/>
      <c r="B2518" s="24" t="inlineStr">
        <is>
          <t>19324</t>
        </is>
      </c>
      <c r="C2518" s="23" t="inlineStr">
        <is>
          <t>МЕЛИК</t>
        </is>
      </c>
      <c r="D2518" s="23" t="inlineStr">
        <is>
          <t>Мелик Л.</t>
        </is>
      </c>
      <c r="E2518" s="23" t="inlineStr">
        <is>
          <t>Тайная сила внутри нас</t>
        </is>
      </c>
      <c r="F2518" s="23" t="inlineStr">
        <is>
          <t>        </t>
        </is>
      </c>
      <c r="G2518" s="23" t="n">
        <v>284</v>
      </c>
      <c r="H2518" s="23" t="n">
        <v>10</v>
      </c>
      <c r="I2518" s="23" t="n">
        <v>24</v>
      </c>
      <c r="J2518" s="23" t="inlineStr">
        <is>
          <t>978-5-227-09199-4</t>
        </is>
      </c>
      <c r="K2518" s="23" t="inlineStr">
        <is>
          <t>84x108 1/32 (обл)</t>
        </is>
      </c>
      <c r="L2518" s="23" t="inlineStr">
        <is>
          <t>мяг</t>
        </is>
      </c>
      <c r="M2518" s="23" t="n">
        <v>192</v>
      </c>
      <c r="N2518" s="23" t="n">
        <v>2020</v>
      </c>
      <c r="O2518" s="23" t="n">
        <v>118</v>
      </c>
      <c r="P2518" s="23" t="n"/>
      <c r="Q2518" s="23" t="n"/>
      <c r="R2518" s="25" t="n"/>
      <c r="S2518" s="26">
        <f>HYPERLINK("http://www.cnpol.ru/covers/19324.jpg","фото на сайте")</f>
        <v/>
      </c>
    </row>
    <row r="2519" ht="50.1" customHeight="1" s="3">
      <c r="A2519" s="23" t="n"/>
      <c r="B2519" s="24" t="inlineStr">
        <is>
          <t>16151</t>
        </is>
      </c>
      <c r="C2519" s="23" t="inlineStr">
        <is>
          <t>МЕЛИК</t>
        </is>
      </c>
      <c r="D2519" s="23" t="inlineStr">
        <is>
          <t>Мелик Л.</t>
        </is>
      </c>
      <c r="E2519" s="23" t="inlineStr">
        <is>
          <t>Ты сам творишь свою судьбу. За гранью реальности</t>
        </is>
      </c>
      <c r="F2519" s="23" t="inlineStr">
        <is>
          <t>        </t>
        </is>
      </c>
      <c r="G2519" s="23" t="n">
        <v>284</v>
      </c>
      <c r="H2519" s="23" t="n">
        <v>10</v>
      </c>
      <c r="I2519" s="23" t="n">
        <v>24</v>
      </c>
      <c r="J2519" s="23" t="inlineStr">
        <is>
          <t>978-5-227-05866-9</t>
        </is>
      </c>
      <c r="K2519" s="23" t="inlineStr">
        <is>
          <t>84x108 1/32 (обл)</t>
        </is>
      </c>
      <c r="L2519" s="23" t="inlineStr">
        <is>
          <t>мяг</t>
        </is>
      </c>
      <c r="M2519" s="23" t="n">
        <v>223</v>
      </c>
      <c r="N2519" s="23" t="n">
        <v>2015</v>
      </c>
      <c r="O2519" s="23" t="n">
        <v>138</v>
      </c>
      <c r="P2519" s="23" t="n"/>
      <c r="Q2519" s="23" t="n"/>
      <c r="R2519" s="25" t="n"/>
      <c r="S2519" s="26">
        <f>HYPERLINK("http://www.cnpol.ru/covers/16151.jpg","фото на сайте")</f>
        <v/>
      </c>
    </row>
    <row r="2520" ht="50.1" customHeight="1" s="3">
      <c r="A2520" s="23" t="n"/>
      <c r="B2520" s="24" t="inlineStr">
        <is>
          <t>14461</t>
        </is>
      </c>
      <c r="C2520" s="23" t="inlineStr">
        <is>
          <t>МЕЛИК</t>
        </is>
      </c>
      <c r="D2520" s="23" t="inlineStr">
        <is>
          <t>Мелик Л.</t>
        </is>
      </c>
      <c r="E2520" s="23" t="inlineStr">
        <is>
          <t>Уничтожаем зло, возвращаем здоровье. Нетрадиционные способы лечения</t>
        </is>
      </c>
      <c r="F2520" s="23" t="inlineStr">
        <is>
          <t>        </t>
        </is>
      </c>
      <c r="G2520" s="23" t="n">
        <v>284</v>
      </c>
      <c r="H2520" s="23" t="n">
        <v>10</v>
      </c>
      <c r="I2520" s="23" t="n">
        <v>40</v>
      </c>
      <c r="J2520" s="23" t="inlineStr">
        <is>
          <t>978-5-227-04409-9</t>
        </is>
      </c>
      <c r="K2520" s="23" t="inlineStr">
        <is>
          <t>84x108 1/32 (обл)</t>
        </is>
      </c>
      <c r="L2520" s="23" t="inlineStr">
        <is>
          <t>мяг</t>
        </is>
      </c>
      <c r="M2520" s="23" t="n">
        <v>159</v>
      </c>
      <c r="N2520" s="23" t="n">
        <v>2013</v>
      </c>
      <c r="O2520" s="23" t="n">
        <v>106</v>
      </c>
      <c r="P2520" s="23" t="n"/>
      <c r="Q2520" s="23" t="n"/>
      <c r="R2520" s="25" t="n"/>
      <c r="S2520" s="26">
        <f>HYPERLINK("http://www.cnpol.ru/covers/14461.jpg","фото на сайте")</f>
        <v/>
      </c>
    </row>
    <row r="2521" ht="50.1" customHeight="1" s="3">
      <c r="A2521" s="23" t="n"/>
      <c r="B2521" s="24" t="inlineStr">
        <is>
          <t>17127</t>
        </is>
      </c>
      <c r="C2521" s="23" t="inlineStr">
        <is>
          <t>МЕЛИК</t>
        </is>
      </c>
      <c r="D2521" s="23" t="inlineStr">
        <is>
          <t>Мелик Л.</t>
        </is>
      </c>
      <c r="E2521" s="23" t="inlineStr">
        <is>
          <t>Уничтожаем зло, возвращаем здоровье. Нетрадиционные способы лечения</t>
        </is>
      </c>
      <c r="F2521" s="23" t="inlineStr">
        <is>
          <t>        </t>
        </is>
      </c>
      <c r="G2521" s="23" t="n">
        <v>284</v>
      </c>
      <c r="H2521" s="23" t="n">
        <v>10</v>
      </c>
      <c r="I2521" s="23" t="n">
        <v>32</v>
      </c>
      <c r="J2521" s="23" t="inlineStr">
        <is>
          <t>978-5-227-07097-5</t>
        </is>
      </c>
      <c r="K2521" s="23" t="inlineStr">
        <is>
          <t>84x108 1/32 (обл)</t>
        </is>
      </c>
      <c r="L2521" s="23" t="inlineStr">
        <is>
          <t>мяг</t>
        </is>
      </c>
      <c r="M2521" s="23" t="n">
        <v>160</v>
      </c>
      <c r="N2521" s="23" t="n">
        <v>2016</v>
      </c>
      <c r="O2521" s="23" t="n">
        <v>102</v>
      </c>
      <c r="P2521" s="23" t="n"/>
      <c r="Q2521" s="23" t="n"/>
      <c r="R2521" s="25" t="n"/>
      <c r="S2521" s="26">
        <f>HYPERLINK("http://www.cnpol.ru/covers/17127.jpg","фото на сайте")</f>
        <v/>
      </c>
    </row>
    <row r="2522" ht="50.1" customHeight="1" s="3">
      <c r="A2522" s="23" t="n"/>
      <c r="B2522" s="24" t="inlineStr">
        <is>
          <t>19991</t>
        </is>
      </c>
      <c r="C2522" s="23" t="inlineStr">
        <is>
          <t>МЕЛИК</t>
        </is>
      </c>
      <c r="D2522" s="23" t="inlineStr">
        <is>
          <t>Мелик Л.</t>
        </is>
      </c>
      <c r="E2522" s="23" t="inlineStr">
        <is>
          <t>Чудотворные дары природы для вашего здоровья. Ягоды и фрукты от старости и болезней</t>
        </is>
      </c>
      <c r="F2522" s="23" t="inlineStr">
        <is>
          <t>        </t>
        </is>
      </c>
      <c r="G2522" s="23" t="n">
        <v>284</v>
      </c>
      <c r="H2522" s="23" t="n">
        <v>10</v>
      </c>
      <c r="I2522" s="23" t="n">
        <v>26</v>
      </c>
      <c r="J2522" s="23" t="inlineStr">
        <is>
          <t>978-5-227-09739-2</t>
        </is>
      </c>
      <c r="K2522" s="23" t="inlineStr">
        <is>
          <t>84x108 1/32 (обл)</t>
        </is>
      </c>
      <c r="L2522" s="23" t="inlineStr">
        <is>
          <t>мяг</t>
        </is>
      </c>
      <c r="M2522" s="23" t="n">
        <v>255</v>
      </c>
      <c r="N2522" s="23" t="n">
        <v>2021</v>
      </c>
      <c r="O2522" s="23" t="n">
        <v>240</v>
      </c>
      <c r="P2522" s="23" t="n"/>
      <c r="Q2522" s="23" t="n"/>
      <c r="R2522" s="25" t="n"/>
      <c r="S2522" s="26">
        <f>HYPERLINK("http://www.cnpol.ru/covers/19991.jpg","фото на сайте")</f>
        <v/>
      </c>
    </row>
    <row r="2523" ht="50.1" customHeight="1" s="3">
      <c r="A2523" s="23" t="n"/>
      <c r="B2523" s="24" t="inlineStr">
        <is>
          <t>17346</t>
        </is>
      </c>
      <c r="C2523" s="23" t="inlineStr">
        <is>
          <t>МЕЛИК</t>
        </is>
      </c>
      <c r="D2523" s="23" t="inlineStr">
        <is>
          <t>Мелик Л.</t>
        </is>
      </c>
      <c r="E2523" s="23" t="inlineStr">
        <is>
          <t>Язык сна или сила сновидений</t>
        </is>
      </c>
      <c r="F2523" s="23" t="inlineStr">
        <is>
          <t>        </t>
        </is>
      </c>
      <c r="G2523" s="23" t="n">
        <v>284</v>
      </c>
      <c r="H2523" s="23" t="n">
        <v>10</v>
      </c>
      <c r="I2523" s="23" t="n">
        <v>22</v>
      </c>
      <c r="J2523" s="23" t="inlineStr">
        <is>
          <t>978-5-227-07361-7</t>
        </is>
      </c>
      <c r="K2523" s="23" t="inlineStr">
        <is>
          <t>84x108 1/32 (обл)</t>
        </is>
      </c>
      <c r="L2523" s="23" t="inlineStr">
        <is>
          <t>мяг</t>
        </is>
      </c>
      <c r="M2523" s="23" t="n">
        <v>160</v>
      </c>
      <c r="N2523" s="23" t="n">
        <v>2017</v>
      </c>
      <c r="O2523" s="23" t="n">
        <v>92</v>
      </c>
      <c r="P2523" s="23" t="n"/>
      <c r="Q2523" s="23" t="n"/>
      <c r="R2523" s="25" t="n"/>
      <c r="S2523" s="26">
        <f>HYPERLINK("http://www.cnpol.ru/covers/17346.jpg","фото на сайте")</f>
        <v/>
      </c>
    </row>
    <row r="2524" ht="50.1" customHeight="1" s="3">
      <c r="A2524" s="23" t="inlineStr">
        <is>
          <t>Д</t>
        </is>
      </c>
      <c r="B2524" s="24" t="inlineStr">
        <is>
          <t>21393</t>
        </is>
      </c>
      <c r="C2524" s="23" t="inlineStr">
        <is>
          <t>МЕМО</t>
        </is>
      </c>
      <c r="D2524" s="23" t="inlineStr">
        <is>
          <t>Бальфур Д.П.</t>
        </is>
      </c>
      <c r="E2524" s="23" t="inlineStr">
        <is>
          <t>Османская империя. Шесть столетий от возвышения до упадка. XIV—ХХ вв.</t>
        </is>
      </c>
      <c r="F2524" s="23" t="inlineStr">
        <is>
          <t>        </t>
        </is>
      </c>
      <c r="G2524" s="27" t="n">
        <v>1254</v>
      </c>
      <c r="H2524" s="23" t="n">
        <v>10</v>
      </c>
      <c r="I2524" s="23" t="n">
        <v>8</v>
      </c>
      <c r="J2524" s="23" t="inlineStr">
        <is>
          <t>978-5-9524-6265-6</t>
        </is>
      </c>
      <c r="K2524" s="23" t="inlineStr">
        <is>
          <t>84x108 1/32</t>
        </is>
      </c>
      <c r="L2524" s="23" t="inlineStr">
        <is>
          <t>тв</t>
        </is>
      </c>
      <c r="M2524" s="23" t="n">
        <v>639</v>
      </c>
      <c r="N2524" s="23" t="n">
        <v>2024</v>
      </c>
      <c r="O2524" s="23" t="n">
        <v>640</v>
      </c>
      <c r="P2524" s="23" t="n"/>
      <c r="Q2524" s="23" t="n"/>
      <c r="R2524" s="25" t="inlineStr">
        <is>
          <t>Известный английский писатель-историк Джон Патрик Бальфур на страницах своей книги воссоздает историю Османской империи от основания на рубеже ХIII—XIV вв. до распада в 1923 г. Авторитетный востоковед, известный в научном сообществе как лорд Кинросс, прослеживает становление цивилизации воинственных кочевников и стремительное возвышение государства Османов до величайшей империи в мировой истории, которая простиралась от Дуная до Нила и от Алжира до Каспия, где процветали искусства, развивались науки и ремесла, не угасала философская мысль и процветало богословие. Живо и ярко автор рассказывает о повседневной жизни турок-османов, создает точные правдоподобные портреты султанов, их жен и наследников, позволяет заглянуть за узорчатые врата гарема. Особое внимание историк уделяет противостоянию Блистательной Порты с империей Габсбургов и Россией, которое, наряду с освободительным движением на Балканах и ошибками во внутренней политике, стало причиной распада Османской империи и провозглашения Турецкой республики.</t>
        </is>
      </c>
      <c r="S2524" s="26">
        <f>HYPERLINK("http://www.cnpol.ru/covers/21393.jpg","фото на сайте")</f>
        <v/>
      </c>
    </row>
    <row r="2525" ht="50.1" customHeight="1" s="3">
      <c r="A2525" s="23" t="n"/>
      <c r="B2525" s="24" t="inlineStr">
        <is>
          <t>3022</t>
        </is>
      </c>
      <c r="C2525" s="23" t="inlineStr">
        <is>
          <t>МЖ</t>
        </is>
      </c>
      <c r="D2525" s="23" t="inlineStr">
        <is>
          <t>Даррелл Дж.</t>
        </is>
      </c>
      <c r="E2525" s="23" t="inlineStr">
        <is>
          <t>Гончие Бафута</t>
        </is>
      </c>
      <c r="F2525" s="23" t="inlineStr">
        <is>
          <t>        </t>
        </is>
      </c>
      <c r="G2525" s="23" t="n">
        <v>115</v>
      </c>
      <c r="H2525" s="23" t="n">
        <v>10</v>
      </c>
      <c r="I2525" s="23" t="n">
        <v>34</v>
      </c>
      <c r="J2525" s="23" t="inlineStr">
        <is>
          <t>5-227-01381-0</t>
        </is>
      </c>
      <c r="K2525" s="23" t="inlineStr">
        <is>
          <t>84x108 1/32 (обл)</t>
        </is>
      </c>
      <c r="L2525" s="23" t="inlineStr">
        <is>
          <t>мяг</t>
        </is>
      </c>
      <c r="M2525" s="23" t="n">
        <v>207</v>
      </c>
      <c r="N2525" s="23" t="n">
        <v>2002</v>
      </c>
      <c r="O2525" s="23" t="n">
        <v>130</v>
      </c>
      <c r="P2525" s="23" t="n"/>
      <c r="Q2525" s="23" t="n"/>
      <c r="R2525" s="25" t="inlineStr">
        <is>
          <t>В книге Джералда Даррелла рассказывается об экспедиции на западное побережье Центральной Африки, в мир, еще не тронутый цивилизацией. Вы познакомитесь с редкими видами животных горного Камеруна, их забавными привычками, откроете для себя жизнерадостную философию владыки Бафута и его простодушных лукавых подданных.</t>
        </is>
      </c>
      <c r="S2525" s="26">
        <f>HYPERLINK("http://www.cnpol.ru/covers/3022.jpg","фото на сайте")</f>
        <v/>
      </c>
    </row>
    <row r="2526" ht="50.1" customHeight="1" s="3">
      <c r="A2526" s="23" t="n"/>
      <c r="B2526" s="24" t="inlineStr">
        <is>
          <t>2649</t>
        </is>
      </c>
      <c r="C2526" s="23" t="inlineStr">
        <is>
          <t>МЖ</t>
        </is>
      </c>
      <c r="D2526" s="23" t="inlineStr">
        <is>
          <t>Даррелл Дж.</t>
        </is>
      </c>
      <c r="E2526" s="23" t="inlineStr">
        <is>
          <t>Земля шорохов</t>
        </is>
      </c>
      <c r="F2526" s="23" t="inlineStr">
        <is>
          <t>        </t>
        </is>
      </c>
      <c r="G2526" s="23" t="n">
        <v>115</v>
      </c>
      <c r="H2526" s="23" t="n">
        <v>10</v>
      </c>
      <c r="I2526" s="23" t="n">
        <v>26</v>
      </c>
      <c r="J2526" s="23" t="inlineStr">
        <is>
          <t>5-227-01311-X</t>
        </is>
      </c>
      <c r="K2526" s="23" t="inlineStr">
        <is>
          <t>84x108 1/32 (обл)</t>
        </is>
      </c>
      <c r="L2526" s="23" t="inlineStr">
        <is>
          <t>мяг</t>
        </is>
      </c>
      <c r="M2526" s="23" t="n">
        <v>238</v>
      </c>
      <c r="N2526" s="23" t="n">
        <v>2001</v>
      </c>
      <c r="O2526" s="23" t="n">
        <v>154</v>
      </c>
      <c r="P2526" s="23" t="n"/>
      <c r="Q2526" s="23" t="n"/>
      <c r="R2526" s="25" t="inlineStr">
        <is>
          <t>В книге всемирно известного английского зоолога и писателя Джералда Даррелла рассказывается о его экспедиции в Аргентину и тяжелом труде людей, занимающихся отловом животных. Вместе с автором вы побродите по пингвиньему городу, совершите вылазку в приют летучих мышей, а также понаблюдаете за забавными приключениями других представителей местной фауны. Эти увлекательные, остроумные истории понравятся всем, кто интересуется тайнами природы.</t>
        </is>
      </c>
      <c r="S2526" s="26">
        <f>HYPERLINK("http://www.cnpol.ru/covers/2649.jpg","фото на сайте")</f>
        <v/>
      </c>
    </row>
    <row r="2527" ht="50.1" customHeight="1" s="3">
      <c r="A2527" s="23" t="n"/>
      <c r="B2527" s="24" t="inlineStr">
        <is>
          <t>2718</t>
        </is>
      </c>
      <c r="C2527" s="23" t="inlineStr">
        <is>
          <t>МЖ</t>
        </is>
      </c>
      <c r="D2527" s="23" t="inlineStr">
        <is>
          <t>Даррелл Дж.</t>
        </is>
      </c>
      <c r="E2527" s="23" t="inlineStr">
        <is>
          <t>Поймайте мне колобуса</t>
        </is>
      </c>
      <c r="F2527" s="23" t="inlineStr">
        <is>
          <t>        </t>
        </is>
      </c>
      <c r="G2527" s="23" t="n">
        <v>115</v>
      </c>
      <c r="H2527" s="23" t="n">
        <v>10</v>
      </c>
      <c r="I2527" s="23" t="n">
        <v>30</v>
      </c>
      <c r="J2527" s="23" t="inlineStr">
        <is>
          <t>5-227-01445-0</t>
        </is>
      </c>
      <c r="K2527" s="23" t="inlineStr">
        <is>
          <t>84x108 1/32 (обл)</t>
        </is>
      </c>
      <c r="L2527" s="23" t="inlineStr">
        <is>
          <t>мяг</t>
        </is>
      </c>
      <c r="M2527" s="23" t="n">
        <v>223</v>
      </c>
      <c r="N2527" s="23" t="n">
        <v>2001</v>
      </c>
      <c r="O2527" s="23" t="n">
        <v>132</v>
      </c>
      <c r="P2527" s="23" t="n"/>
      <c r="Q2527" s="23" t="n"/>
      <c r="R2527" s="25" t="n"/>
      <c r="S2527" s="26">
        <f>HYPERLINK("http://www.cnpol.ru/covers/2718.jpg","фото на сайте")</f>
        <v/>
      </c>
    </row>
    <row r="2528" ht="50.1" customHeight="1" s="3">
      <c r="A2528" s="23" t="n"/>
      <c r="B2528" s="24" t="inlineStr">
        <is>
          <t>2955</t>
        </is>
      </c>
      <c r="C2528" s="23" t="inlineStr">
        <is>
          <t>МЖ</t>
        </is>
      </c>
      <c r="D2528" s="23" t="inlineStr">
        <is>
          <t>Даррелл Дж.</t>
        </is>
      </c>
      <c r="E2528" s="23" t="inlineStr">
        <is>
          <t>Похитители ослов</t>
        </is>
      </c>
      <c r="F2528" s="23" t="inlineStr">
        <is>
          <t>        </t>
        </is>
      </c>
      <c r="G2528" s="23" t="n">
        <v>115</v>
      </c>
      <c r="H2528" s="23" t="n">
        <v>10</v>
      </c>
      <c r="I2528" s="23" t="n">
        <v>40</v>
      </c>
      <c r="J2528" s="23" t="inlineStr">
        <is>
          <t>5-227-01611-9</t>
        </is>
      </c>
      <c r="K2528" s="23" t="inlineStr">
        <is>
          <t>84x108 1/32 (обл)</t>
        </is>
      </c>
      <c r="L2528" s="23" t="inlineStr">
        <is>
          <t>мяг</t>
        </is>
      </c>
      <c r="M2528" s="23" t="n">
        <v>139</v>
      </c>
      <c r="N2528" s="23" t="n">
        <v>2002</v>
      </c>
      <c r="O2528" s="23" t="n">
        <v>88</v>
      </c>
      <c r="P2528" s="23" t="n"/>
      <c r="Q2528" s="23" t="n"/>
      <c r="R2528" s="25" t="n"/>
      <c r="S2528" s="26">
        <f>HYPERLINK("http://www.cnpol.ru/covers/2955.jpg","фото на сайте")</f>
        <v/>
      </c>
    </row>
    <row r="2529" ht="50.1" customHeight="1" s="3">
      <c r="A2529" s="23" t="n"/>
      <c r="B2529" s="24" t="inlineStr">
        <is>
          <t>2929</t>
        </is>
      </c>
      <c r="C2529" s="23" t="inlineStr">
        <is>
          <t>МЖ</t>
        </is>
      </c>
      <c r="D2529" s="23" t="inlineStr">
        <is>
          <t>Даррелл Дж.</t>
        </is>
      </c>
      <c r="E2529" s="23" t="inlineStr">
        <is>
          <t>Птицы звери и родственники</t>
        </is>
      </c>
      <c r="F2529" s="23" t="inlineStr">
        <is>
          <t>        </t>
        </is>
      </c>
      <c r="G2529" s="23" t="n">
        <v>115</v>
      </c>
      <c r="H2529" s="23" t="n">
        <v>10</v>
      </c>
      <c r="I2529" s="23" t="n">
        <v>30</v>
      </c>
      <c r="J2529" s="23" t="inlineStr">
        <is>
          <t>5-227-01569-4</t>
        </is>
      </c>
      <c r="K2529" s="23" t="inlineStr">
        <is>
          <t>84x108 1/32 (обл)</t>
        </is>
      </c>
      <c r="L2529" s="23" t="inlineStr">
        <is>
          <t>мяг</t>
        </is>
      </c>
      <c r="M2529" s="23" t="n">
        <v>221</v>
      </c>
      <c r="N2529" s="23" t="n">
        <v>2001</v>
      </c>
      <c r="O2529" s="23" t="n">
        <v>136</v>
      </c>
      <c r="P2529" s="23" t="n"/>
      <c r="Q2529" s="23" t="n"/>
      <c r="R2529" s="25" t="n"/>
      <c r="S2529" s="26">
        <f>HYPERLINK("http://www.cnpol.ru/covers/2929.jpg","фото на сайте")</f>
        <v/>
      </c>
    </row>
    <row r="2530" ht="50.1" customHeight="1" s="3">
      <c r="A2530" s="23" t="n"/>
      <c r="B2530" s="24" t="inlineStr">
        <is>
          <t>2901</t>
        </is>
      </c>
      <c r="C2530" s="23" t="inlineStr">
        <is>
          <t>МЖ</t>
        </is>
      </c>
      <c r="D2530" s="23" t="inlineStr">
        <is>
          <t>Даррелл Дж.</t>
        </is>
      </c>
      <c r="E2530" s="23" t="inlineStr">
        <is>
          <t>Рози моя родственница</t>
        </is>
      </c>
      <c r="F2530" s="23" t="inlineStr">
        <is>
          <t>        </t>
        </is>
      </c>
      <c r="G2530" s="23" t="n">
        <v>115</v>
      </c>
      <c r="H2530" s="23" t="n">
        <v>10</v>
      </c>
      <c r="I2530" s="23" t="n">
        <v>28</v>
      </c>
      <c r="J2530" s="23" t="inlineStr">
        <is>
          <t>5-227-01496-5</t>
        </is>
      </c>
      <c r="K2530" s="23" t="inlineStr">
        <is>
          <t>84x108 1/32 (обл)</t>
        </is>
      </c>
      <c r="L2530" s="23" t="inlineStr">
        <is>
          <t>мяг</t>
        </is>
      </c>
      <c r="M2530" s="23" t="n">
        <v>253</v>
      </c>
      <c r="N2530" s="23" t="n">
        <v>2001</v>
      </c>
      <c r="O2530" s="23" t="n">
        <v>148</v>
      </c>
      <c r="P2530" s="23" t="n"/>
      <c r="Q2530" s="23" t="n"/>
      <c r="R2530" s="25" t="n"/>
      <c r="S2530" s="26">
        <f>HYPERLINK("http://www.cnpol.ru/covers/2901.jpg","фото на сайте")</f>
        <v/>
      </c>
    </row>
    <row r="2531" ht="50.1" customHeight="1" s="3">
      <c r="A2531" s="23" t="n"/>
      <c r="B2531" s="24" t="inlineStr">
        <is>
          <t>8793</t>
        </is>
      </c>
      <c r="C2531" s="23" t="inlineStr">
        <is>
          <t>МЖ+</t>
        </is>
      </c>
      <c r="D2531" s="23" t="inlineStr">
        <is>
          <t>Ульянина И.</t>
        </is>
      </c>
      <c r="E2531" s="23" t="inlineStr">
        <is>
          <t>Все девушки - артистки</t>
        </is>
      </c>
      <c r="F2531" s="23" t="inlineStr">
        <is>
          <t>        </t>
        </is>
      </c>
      <c r="G2531" s="23" t="n">
        <v>358</v>
      </c>
      <c r="H2531" s="23" t="n">
        <v>10</v>
      </c>
      <c r="I2531" s="23" t="n">
        <v>16</v>
      </c>
      <c r="J2531" s="23" t="inlineStr">
        <is>
          <t>978-5-9524-3060-0</t>
        </is>
      </c>
      <c r="K2531" s="23" t="inlineStr">
        <is>
          <t>84x108 1/32</t>
        </is>
      </c>
      <c r="L2531" s="23" t="inlineStr">
        <is>
          <t>тв</t>
        </is>
      </c>
      <c r="M2531" s="23" t="n">
        <v>270</v>
      </c>
      <c r="N2531" s="23" t="n">
        <v>2008</v>
      </c>
      <c r="O2531" s="23" t="n">
        <v>282</v>
      </c>
      <c r="P2531" s="23" t="n"/>
      <c r="Q2531" s="23" t="n"/>
      <c r="R2531" s="25" t="inlineStr">
        <is>
          <t>Анна Кузнецова живет трудно. Одна воспитывает дочь, работает в театре. Профессиональная карьера не приносит ни большого заработка, ни морального удовлетворения. Однообразное течение Анниной жизни нарушает встреча с редким на первый взгляд мужчиной, ярким и знаменитым. Будет ли Анна счастлива с ним или наконец заметит того, кто действительно ее любит?</t>
        </is>
      </c>
      <c r="S2531" s="26">
        <f>HYPERLINK("http://www.cnpol.ru/covers/8793.jpg","фото на сайте")</f>
        <v/>
      </c>
    </row>
    <row r="2532" ht="50.1" customHeight="1" s="3">
      <c r="A2532" s="23" t="n"/>
      <c r="B2532" s="24" t="inlineStr">
        <is>
          <t>12812</t>
        </is>
      </c>
      <c r="C2532" s="23" t="inlineStr">
        <is>
          <t>МЗС</t>
        </is>
      </c>
      <c r="D2532" s="23" t="inlineStr">
        <is>
          <t>Миркин В.</t>
        </is>
      </c>
      <c r="E2532" s="23" t="inlineStr">
        <is>
          <t>Как победить себя и стать лучше</t>
        </is>
      </c>
      <c r="F2532" s="23" t="inlineStr">
        <is>
          <t>        </t>
        </is>
      </c>
      <c r="G2532" s="23" t="n">
        <v>279</v>
      </c>
      <c r="H2532" s="23" t="n">
        <v>10</v>
      </c>
      <c r="I2532" s="23" t="n">
        <v>22</v>
      </c>
      <c r="J2532" s="23" t="inlineStr">
        <is>
          <t>978-5-227-02925-6</t>
        </is>
      </c>
      <c r="K2532" s="23" t="inlineStr">
        <is>
          <t>84x108 1/32</t>
        </is>
      </c>
      <c r="L2532" s="23" t="inlineStr">
        <is>
          <t>тв</t>
        </is>
      </c>
      <c r="M2532" s="23" t="n">
        <v>188</v>
      </c>
      <c r="N2532" s="23" t="n">
        <v>2011</v>
      </c>
      <c r="O2532" s="23" t="n">
        <v>200</v>
      </c>
      <c r="P2532" s="23" t="n"/>
      <c r="Q2532" s="23" t="n"/>
      <c r="R2532" s="25" t="inlineStr">
        <is>
          <t>"Многие курильщики хотят избавиться от пагубной привычки, но их останавливает страх перед предстоящим психологическим и физическим дискомфортом. Пугает и тот факт, что многие отказавшиеся от сигарет набирают лишний вес. 
Вот тут-то и пригодится авторская методика В.И. Миркина, позволяющая творить настоящие чудеса! Используйте разработанный автором способ отказа от курения плюс диету исключения. Результат превзойдет ваши ожидания: из измученных никотином зомби вы превратитесь в бод¬рых, здоровых людей. И что самое главное, при желании вы не просто не поправитесь — вы похудеете!
Советы, диета и формулы самоубеждений, приведенные в книге, помогут всем, кто хочет быть обладателем крепкого здоровья, стройной фигуры и светлого разума. Вы легко откажетесь от курения, измените пищевое поведение, научитесь любить себя."</t>
        </is>
      </c>
      <c r="S2532" s="26">
        <f>HYPERLINK("http://www.cnpol.ru/covers/12812.jpg","фото на сайте")</f>
        <v/>
      </c>
    </row>
    <row r="2533" ht="50.1" customHeight="1" s="3">
      <c r="A2533" s="23" t="n"/>
      <c r="B2533" s="24" t="inlineStr">
        <is>
          <t>11013</t>
        </is>
      </c>
      <c r="C2533" s="23" t="inlineStr">
        <is>
          <t>МЗС</t>
        </is>
      </c>
      <c r="D2533" s="23" t="inlineStr">
        <is>
          <t>Миркин В.</t>
        </is>
      </c>
      <c r="E2533" s="23" t="inlineStr">
        <is>
          <t>Как похудеть за месяц на десять килограммов</t>
        </is>
      </c>
      <c r="F2533" s="23" t="inlineStr">
        <is>
          <t>        </t>
        </is>
      </c>
      <c r="G2533" s="23" t="n">
        <v>279</v>
      </c>
      <c r="H2533" s="23" t="n">
        <v>10</v>
      </c>
      <c r="I2533" s="23" t="n">
        <v>18</v>
      </c>
      <c r="J2533" s="23" t="inlineStr">
        <is>
          <t>978-5-9524-4184-2</t>
        </is>
      </c>
      <c r="K2533" s="23" t="inlineStr">
        <is>
          <t>84x108 1/32</t>
        </is>
      </c>
      <c r="L2533" s="23" t="inlineStr">
        <is>
          <t>тв</t>
        </is>
      </c>
      <c r="M2533" s="23" t="n">
        <v>303</v>
      </c>
      <c r="N2533" s="23" t="n">
        <v>2009</v>
      </c>
      <c r="O2533" s="23" t="n">
        <v>272</v>
      </c>
      <c r="P2533" s="23" t="n"/>
      <c r="Q2533" s="23" t="n"/>
      <c r="R2533" s="25" t="inlineStr">
        <is>
          <t>Владимир Иванович Миркин — автор уникальной методики, позволяющей творить настоящие чудеса, превращая бесформенных толстушек и толстяков в очаровательных женщин и спортивных мужчин. Доктор предлагает воспользоваться несложными психологическими приемами, позволяющими преодолеть тягу к запретным продуктам и снять эмоциональное напряжение...</t>
        </is>
      </c>
      <c r="S2533" s="26">
        <f>HYPERLINK("http://www.cnpol.ru/covers/11013.jpg","фото на сайте")</f>
        <v/>
      </c>
    </row>
    <row r="2534" ht="50.1" customHeight="1" s="3">
      <c r="A2534" s="23" t="n"/>
      <c r="B2534" s="24" t="inlineStr">
        <is>
          <t>2589</t>
        </is>
      </c>
      <c r="C2534" s="23" t="inlineStr">
        <is>
          <t>МЗС</t>
        </is>
      </c>
      <c r="D2534" s="23" t="inlineStr">
        <is>
          <t>Бар</t>
        </is>
      </c>
      <c r="E2534" s="23" t="inlineStr">
        <is>
          <t>Секреты красоты и здоровья кожи</t>
        </is>
      </c>
      <c r="F2534" s="23" t="inlineStr">
        <is>
          <t>        </t>
        </is>
      </c>
      <c r="G2534" s="23" t="n">
        <v>43</v>
      </c>
      <c r="H2534" s="23" t="n">
        <v>10</v>
      </c>
      <c r="I2534" s="23" t="n">
        <v>38</v>
      </c>
      <c r="J2534" s="23" t="inlineStr">
        <is>
          <t>5-227-01243-1</t>
        </is>
      </c>
      <c r="K2534" s="23" t="inlineStr">
        <is>
          <t>84x108 1/32 (обл)</t>
        </is>
      </c>
      <c r="L2534" s="23" t="inlineStr">
        <is>
          <t>мяг</t>
        </is>
      </c>
      <c r="M2534" s="23" t="inlineStr">
        <is>
          <t>    </t>
        </is>
      </c>
      <c r="N2534" s="23" t="inlineStr">
        <is>
          <t>    </t>
        </is>
      </c>
      <c r="O2534" s="23" t="n">
        <v>134</v>
      </c>
      <c r="P2534" s="23" t="n"/>
      <c r="Q2534" s="23" t="n"/>
      <c r="R2534" s="25" t="n"/>
      <c r="S2534" s="26">
        <f>HYPERLINK("http://www.cnpol.ru/covers/2589.jpg","фото на сайте")</f>
        <v/>
      </c>
    </row>
    <row r="2535" ht="50.1" customHeight="1" s="3">
      <c r="A2535" s="23" t="n"/>
      <c r="B2535" s="24" t="inlineStr">
        <is>
          <t>10746</t>
        </is>
      </c>
      <c r="C2535" s="23" t="inlineStr">
        <is>
          <t>МЗС</t>
        </is>
      </c>
      <c r="D2535" s="23" t="inlineStr">
        <is>
          <t>Дмитриевская Л.</t>
        </is>
      </c>
      <c r="E2535" s="23" t="inlineStr">
        <is>
          <t>Ускоренный курс омоложения без подтяжек и операций. Здоровье и красота за 8 недель</t>
        </is>
      </c>
      <c r="F2535" s="23" t="inlineStr">
        <is>
          <t>        </t>
        </is>
      </c>
      <c r="G2535" s="23" t="n">
        <v>123</v>
      </c>
      <c r="H2535" s="23" t="n">
        <v>10</v>
      </c>
      <c r="I2535" s="23" t="n">
        <v>30</v>
      </c>
      <c r="J2535" s="23" t="inlineStr">
        <is>
          <t>978-5-9524-3758-6</t>
        </is>
      </c>
      <c r="K2535" s="23" t="inlineStr">
        <is>
          <t>84x108 1/32 (обл)</t>
        </is>
      </c>
      <c r="L2535" s="23" t="inlineStr">
        <is>
          <t>мяг</t>
        </is>
      </c>
      <c r="M2535" s="23" t="n">
        <v>188</v>
      </c>
      <c r="N2535" s="23" t="n">
        <v>2008</v>
      </c>
      <c r="O2535" s="23" t="n">
        <v>120</v>
      </c>
      <c r="P2535" s="23" t="n"/>
      <c r="Q2535" s="23" t="n"/>
      <c r="R2535" s="25" t="n"/>
      <c r="S2535" s="26">
        <f>HYPERLINK("http://www.cnpol.ru/covers/10746.jpg","фото на сайте")</f>
        <v/>
      </c>
    </row>
    <row r="2536" ht="50.1" customHeight="1" s="3">
      <c r="A2536" s="23" t="n"/>
      <c r="B2536" s="24" t="inlineStr">
        <is>
          <t>11161</t>
        </is>
      </c>
      <c r="C2536" s="23" t="inlineStr">
        <is>
          <t>МЗС</t>
        </is>
      </c>
      <c r="D2536" s="23" t="inlineStr">
        <is>
          <t>Миркин В.</t>
        </is>
      </c>
      <c r="E2536" s="23" t="inlineStr">
        <is>
          <t>Худеем легко и быстро. Минус 5 размеров за 5 месяцев</t>
        </is>
      </c>
      <c r="F2536" s="23" t="inlineStr">
        <is>
          <t>        </t>
        </is>
      </c>
      <c r="G2536" s="23" t="n">
        <v>123</v>
      </c>
      <c r="H2536" s="23" t="n">
        <v>10</v>
      </c>
      <c r="I2536" s="23" t="n">
        <v>30</v>
      </c>
      <c r="J2536" s="23" t="inlineStr">
        <is>
          <t>978-5-9524-4264-1</t>
        </is>
      </c>
      <c r="K2536" s="23" t="inlineStr">
        <is>
          <t>84x108 1/32 (обл)</t>
        </is>
      </c>
      <c r="L2536" s="23" t="inlineStr">
        <is>
          <t>мяг</t>
        </is>
      </c>
      <c r="M2536" s="23" t="n">
        <v>190</v>
      </c>
      <c r="N2536" s="23" t="n">
        <v>2009</v>
      </c>
      <c r="O2536" s="23" t="n">
        <v>120</v>
      </c>
      <c r="P2536" s="23" t="n"/>
      <c r="Q2536" s="23" t="n"/>
      <c r="R2536" s="25" t="n"/>
      <c r="S2536" s="26">
        <f>HYPERLINK("http://www.cnpol.ru/covers/11161.jpg","фото на сайте")</f>
        <v/>
      </c>
    </row>
    <row r="2537" ht="50.1" customHeight="1" s="3">
      <c r="A2537" s="23" t="inlineStr">
        <is>
          <t>Н</t>
        </is>
      </c>
      <c r="B2537" s="24" t="inlineStr">
        <is>
          <t>21884</t>
        </is>
      </c>
      <c r="C2537" s="23" t="inlineStr">
        <is>
          <t>МИ</t>
        </is>
      </c>
      <c r="D2537" s="23" t="inlineStr">
        <is>
          <t>Ллевеллин Дж.</t>
        </is>
      </c>
      <c r="E2537" s="23" t="inlineStr">
        <is>
          <t>Астрология от А до Я. Составление и толкование гороскопов</t>
        </is>
      </c>
      <c r="F2537" s="23" t="inlineStr">
        <is>
          <t>        </t>
        </is>
      </c>
      <c r="G2537" s="27" t="n">
        <v>1231</v>
      </c>
      <c r="H2537" s="23" t="n">
        <v>10</v>
      </c>
      <c r="I2537" s="23" t="n">
        <v>6</v>
      </c>
      <c r="J2537" s="23" t="inlineStr">
        <is>
          <t>978-5-9524-6550-3</t>
        </is>
      </c>
      <c r="K2537" s="23" t="inlineStr">
        <is>
          <t>84x108 1/32</t>
        </is>
      </c>
      <c r="L2537" s="23" t="inlineStr">
        <is>
          <t>тв</t>
        </is>
      </c>
      <c r="M2537" s="23" t="n">
        <v>479</v>
      </c>
      <c r="N2537" s="23" t="n">
        <v>2025</v>
      </c>
      <c r="O2537" s="23" t="n">
        <v>357</v>
      </c>
      <c r="P2537" s="23" t="n"/>
      <c r="Q2537" s="23" t="n"/>
      <c r="R2537" s="25" t="inlineStr">
        <is>
          <t>Книга Ллевеллина Джорджа (1876—1954), выдающегося американского астролога XX века, — первое общедоступное руководство, в котором изложены методы составления и чтения гороскопов, а также предложен простой и практичный способ вычисления карты рождения с учетом зодиакальных аспектов. В книге приведены таблицы полуденных отметок, образцы расчетов натальной карты и примеры толкования гороскопов, которые будут полезны не только начинающему астрологу, но и практикующим специалистам.</t>
        </is>
      </c>
      <c r="S2537" s="26">
        <f>HYPERLINK("http://www.cnpol.ru/covers/21884.jpg","фото на сайте")</f>
        <v/>
      </c>
    </row>
    <row r="2538" ht="50.1" customHeight="1" s="3">
      <c r="A2538" s="23" t="inlineStr">
        <is>
          <t>Д</t>
        </is>
      </c>
      <c r="B2538" s="24" t="inlineStr">
        <is>
          <t>21366</t>
        </is>
      </c>
      <c r="C2538" s="23" t="inlineStr">
        <is>
          <t>МИ</t>
        </is>
      </c>
      <c r="D2538" s="23" t="inlineStr">
        <is>
          <t>Леви Э.</t>
        </is>
      </c>
      <c r="E2538" s="23" t="inlineStr">
        <is>
          <t>История Магии. Обряды, ритуалы и таинства</t>
        </is>
      </c>
      <c r="F2538" s="23" t="inlineStr">
        <is>
          <t>        </t>
        </is>
      </c>
      <c r="G2538" s="27" t="n">
        <v>1117</v>
      </c>
      <c r="H2538" s="23" t="n">
        <v>10</v>
      </c>
      <c r="I2538" s="23" t="n">
        <v>10</v>
      </c>
      <c r="J2538" s="23" t="inlineStr">
        <is>
          <t>978-5-9524-6251-9</t>
        </is>
      </c>
      <c r="K2538" s="23" t="inlineStr">
        <is>
          <t>84x108 1/32</t>
        </is>
      </c>
      <c r="L2538" s="23" t="inlineStr">
        <is>
          <t>тв</t>
        </is>
      </c>
      <c r="M2538" s="23" t="n">
        <v>383</v>
      </c>
      <c r="N2538" s="23" t="n">
        <v>2024</v>
      </c>
      <c r="O2538" s="23" t="n">
        <v>427</v>
      </c>
      <c r="P2538" s="23" t="n"/>
      <c r="Q2538" s="23" t="n"/>
      <c r="R2538" s="25" t="inlineStr">
        <is>
          <t>В книге Элифаса Леви описаны все этапы развития магии с момента ее зарождения. Перед читателем раскрываются тайны символов и знаков, особенности взаимодействия магии и христианства, правда и вымысел легенд о магах и чудотворцах, подлинные ритуалы и практики, важнейшие принципы магических действий и многие другие аспекты роковой науки. Захватывающее повествование увлекает в загадочный мир, на грани которого находится каждый из нас, порой даже не подозревая об этом.</t>
        </is>
      </c>
      <c r="S2538" s="26">
        <f>HYPERLINK("http://www.cnpol.ru/covers/21366.jpg","фото на сайте")</f>
        <v/>
      </c>
    </row>
    <row r="2539" ht="50.1" customHeight="1" s="3">
      <c r="A2539" s="23" t="inlineStr">
        <is>
          <t>Д</t>
        </is>
      </c>
      <c r="B2539" s="24" t="inlineStr">
        <is>
          <t>22146</t>
        </is>
      </c>
      <c r="C2539" s="23" t="inlineStr">
        <is>
          <t>МИ</t>
        </is>
      </c>
      <c r="D2539" s="23" t="inlineStr">
        <is>
          <t>Уэйт А.Э.</t>
        </is>
      </c>
      <c r="E2539" s="23" t="inlineStr">
        <is>
          <t>Каббала</t>
        </is>
      </c>
      <c r="F2539" s="23" t="inlineStr">
        <is>
          <t>        </t>
        </is>
      </c>
      <c r="G2539" s="27" t="n">
        <v>1702</v>
      </c>
      <c r="H2539" s="23" t="n">
        <v>10</v>
      </c>
      <c r="I2539" s="23" t="n">
        <v>5</v>
      </c>
      <c r="J2539" s="23" t="inlineStr">
        <is>
          <t>978-5-9524-6691-3</t>
        </is>
      </c>
      <c r="K2539" s="23" t="inlineStr">
        <is>
          <t>84x108 1/32</t>
        </is>
      </c>
      <c r="L2539" s="23" t="inlineStr">
        <is>
          <t>тв</t>
        </is>
      </c>
      <c r="M2539" s="23" t="n">
        <v>703</v>
      </c>
      <c r="N2539" s="23" t="n">
        <v>2026</v>
      </c>
      <c r="O2539" s="23" t="n">
        <v>698</v>
      </c>
      <c r="P2539" s="23" t="n"/>
      <c r="Q2539" s="23" t="n"/>
      <c r="R2539" s="25" t="inlineStr">
        <is>
          <t>Артур Эдвард Уэйт — один из лучших английских специалистов в области оккультных наук. Его книга — это всестороннее и богато документированное исследование Каббалы, учения о сокровенной еврейской мистической традиции. В ней рассматриваются основополагающие трактаты «сокровенного предания» Сефер Йецира, Зогар и другие, а также труды выдающихся ученых-раввинов. Немало внимания автор уделяет тому влиянию, которое Каббала оказала на крупнейших представителей христианского мира и на всевозможные направления европейской оккультной мысли.</t>
        </is>
      </c>
      <c r="S2539" s="26">
        <f>HYPERLINK("http://www.cnpol.ru/covers/22146.jpg","фото на сайте")</f>
        <v/>
      </c>
    </row>
    <row r="2540" ht="50.1" customHeight="1" s="3">
      <c r="A2540" s="23" t="inlineStr">
        <is>
          <t>Н</t>
        </is>
      </c>
      <c r="B2540" s="24" t="inlineStr">
        <is>
          <t>22280</t>
        </is>
      </c>
      <c r="C2540" s="23" t="inlineStr">
        <is>
          <t>МИП</t>
        </is>
      </c>
      <c r="D2540" s="23" t="inlineStr">
        <is>
          <t>Лиминг Дж</t>
        </is>
      </c>
      <c r="E2540" s="23" t="inlineStr">
        <is>
          <t>Карточные игры, фокусы, трюки. Правила, секреты и термины. Почувствуйте себя уверенно за карточным столом</t>
        </is>
      </c>
      <c r="F2540" s="23" t="inlineStr">
        <is>
          <t>        </t>
        </is>
      </c>
      <c r="G2540" s="23" t="n">
        <v>714</v>
      </c>
      <c r="H2540" s="23" t="n">
        <v>10</v>
      </c>
      <c r="I2540" s="23" t="n">
        <v>10</v>
      </c>
      <c r="J2540" s="23" t="inlineStr">
        <is>
          <t>978-5-9524-6733-0</t>
        </is>
      </c>
      <c r="K2540" s="23" t="inlineStr">
        <is>
          <t>60x90 1/16</t>
        </is>
      </c>
      <c r="L2540" s="23" t="inlineStr">
        <is>
          <t>тв</t>
        </is>
      </c>
      <c r="M2540" s="23" t="n">
        <v>157</v>
      </c>
      <c r="N2540" s="23" t="n">
        <v>2026</v>
      </c>
      <c r="O2540" s="23" t="n">
        <v>275</v>
      </c>
      <c r="P2540" s="23" t="n"/>
      <c r="Q2540" s="23" t="n"/>
      <c r="R2540" s="25" t="inlineStr">
        <is>
          <t>Книга Дж. Лиминга — оригинальный путеводитель в мир карточных игр — включает как известные, так и новые увлекательные игры для любого числа игроков. Среди них — покер, червы, лотерея, слэпджек, «полоумные восьмерки» и многие другие. Коллекцию дополняет подборка фокусов, шуточных номеров, головоломок и исторических фактов. Благодаря увлекательной форме изложения правил каждой игры, простому толкованию терминов любой почувствует себя за карточным столом как рыба в воде.</t>
        </is>
      </c>
      <c r="S2540" s="26">
        <f>HYPERLINK("http://www.cnpol.ru/covers/22280.jpg","фото на сайте")</f>
        <v/>
      </c>
    </row>
    <row r="2541" ht="50.1" customHeight="1" s="3">
      <c r="A2541" s="23" t="inlineStr">
        <is>
          <t>Д</t>
        </is>
      </c>
      <c r="B2541" s="24" t="inlineStr">
        <is>
          <t>21974</t>
        </is>
      </c>
      <c r="C2541" s="23" t="inlineStr">
        <is>
          <t>МИП</t>
        </is>
      </c>
      <c r="D2541" s="23" t="inlineStr">
        <is>
          <t>Хоппер М</t>
        </is>
      </c>
      <c r="E2541" s="23" t="inlineStr">
        <is>
          <t>Нарды. Избранные стратегии для тех, кто любит побеждать</t>
        </is>
      </c>
      <c r="F2541" s="23" t="inlineStr">
        <is>
          <t>        </t>
        </is>
      </c>
      <c r="G2541" s="23" t="n">
        <v>660</v>
      </c>
      <c r="H2541" s="23" t="n">
        <v>10</v>
      </c>
      <c r="I2541" s="23" t="n">
        <v>20</v>
      </c>
      <c r="J2541" s="23" t="inlineStr">
        <is>
          <t>978-5-227-11218-7</t>
        </is>
      </c>
      <c r="K2541" s="23" t="inlineStr">
        <is>
          <t>84x108 1/32</t>
        </is>
      </c>
      <c r="L2541" s="23" t="inlineStr">
        <is>
          <t>тв</t>
        </is>
      </c>
      <c r="M2541" s="23" t="n">
        <v>125</v>
      </c>
      <c r="N2541" s="23" t="n">
        <v>2026</v>
      </c>
      <c r="O2541" s="23" t="n">
        <v>200</v>
      </c>
      <c r="P2541" s="23" t="n"/>
      <c r="Q2541" s="23" t="n"/>
      <c r="R2541" s="25" t="inlineStr">
        <is>
          <t>"Эта книга — руководство для начинающих, которое научит вас играть в короткие нарды и, что самое важное, выигрывать! Основные стратегии игры в нарды объясняются простым, доступным для всех языком и сопровождаются наглядными иллюстрациями. 
Вы научитесь оценивать свои шансы, выбирать стратегию и уверенно идти к победе, как будто играли в нарды всю жизнь.
Книга предназначена для широкого круга читателей."</t>
        </is>
      </c>
      <c r="S2541" s="26">
        <f>HYPERLINK("http://www.cnpol.ru/covers/21974.jpg","фото на сайте")</f>
        <v/>
      </c>
    </row>
    <row r="2542" ht="50.1" customHeight="1" s="3">
      <c r="A2542" s="23" t="n"/>
      <c r="B2542" s="24" t="inlineStr">
        <is>
          <t>3928</t>
        </is>
      </c>
      <c r="C2542" s="23" t="inlineStr">
        <is>
          <t>МИРЫ</t>
        </is>
      </c>
      <c r="D2542" s="23" t="inlineStr">
        <is>
          <t>Плеханов А.</t>
        </is>
      </c>
      <c r="E2542" s="23" t="inlineStr">
        <is>
          <t>Перезагрузка</t>
        </is>
      </c>
      <c r="F2542" s="23" t="inlineStr">
        <is>
          <t>        </t>
        </is>
      </c>
      <c r="G2542" s="23" t="n">
        <v>260</v>
      </c>
      <c r="H2542" s="23" t="n">
        <v>10</v>
      </c>
      <c r="I2542" s="23" t="n">
        <v>12</v>
      </c>
      <c r="J2542" s="23" t="inlineStr">
        <is>
          <t>5-9524-0352-2</t>
        </is>
      </c>
      <c r="K2542" s="23" t="inlineStr">
        <is>
          <t>84x108 1/32</t>
        </is>
      </c>
      <c r="L2542" s="23" t="inlineStr">
        <is>
          <t>тв</t>
        </is>
      </c>
      <c r="M2542" s="23" t="n">
        <v>383</v>
      </c>
      <c r="N2542" s="23" t="n">
        <v>2003</v>
      </c>
      <c r="O2542" s="23" t="n">
        <v>314</v>
      </c>
      <c r="P2542" s="23" t="n"/>
      <c r="Q2542" s="23" t="n"/>
      <c r="R2542" s="25" t="n"/>
      <c r="S2542" s="26">
        <f>HYPERLINK("http://www.cnpol.ru/covers/3928.jpg","фото на сайте")</f>
        <v/>
      </c>
    </row>
    <row r="2543" ht="50.1" customHeight="1" s="3">
      <c r="A2543" s="23" t="n"/>
      <c r="B2543" s="24" t="inlineStr">
        <is>
          <t>3139</t>
        </is>
      </c>
      <c r="C2543" s="23" t="inlineStr">
        <is>
          <t>МИРЫ</t>
        </is>
      </c>
      <c r="D2543" s="23" t="inlineStr">
        <is>
          <t>Плеханов А.</t>
        </is>
      </c>
      <c r="E2543" s="23" t="inlineStr">
        <is>
          <t>Слепое пятно</t>
        </is>
      </c>
      <c r="F2543" s="23" t="inlineStr">
        <is>
          <t>        </t>
        </is>
      </c>
      <c r="G2543" s="23" t="n">
        <v>260</v>
      </c>
      <c r="H2543" s="23" t="n">
        <v>10</v>
      </c>
      <c r="I2543" s="23" t="n">
        <v>10</v>
      </c>
      <c r="J2543" s="23" t="inlineStr">
        <is>
          <t>5-227-01700-X</t>
        </is>
      </c>
      <c r="K2543" s="23" t="inlineStr">
        <is>
          <t>84x108 1/32</t>
        </is>
      </c>
      <c r="L2543" s="23" t="inlineStr">
        <is>
          <t>тв</t>
        </is>
      </c>
      <c r="M2543" s="23" t="n">
        <v>475</v>
      </c>
      <c r="N2543" s="23" t="n">
        <v>2002</v>
      </c>
      <c r="O2543" s="23" t="n">
        <v>370</v>
      </c>
      <c r="P2543" s="23" t="n"/>
      <c r="Q2543" s="23" t="n"/>
      <c r="R2543" s="25" t="n"/>
      <c r="S2543" s="26">
        <f>HYPERLINK("http://www.cnpol.ru/covers/3139.jpg","фото на сайте")</f>
        <v/>
      </c>
    </row>
    <row r="2544" ht="50.1" customHeight="1" s="3">
      <c r="A2544" s="23" t="n"/>
      <c r="B2544" s="24" t="inlineStr">
        <is>
          <t>13767</t>
        </is>
      </c>
      <c r="C2544" s="23" t="inlineStr">
        <is>
          <t>МИХАЛЫЧ</t>
        </is>
      </c>
      <c r="D2544" s="23" t="inlineStr">
        <is>
          <t>Звонарев Н.М.</t>
        </is>
      </c>
      <c r="E2544" s="23" t="inlineStr">
        <is>
          <t>Богатый урожай из теплиц и парников</t>
        </is>
      </c>
      <c r="F2544" s="23" t="inlineStr">
        <is>
          <t>        </t>
        </is>
      </c>
      <c r="G2544" s="23" t="n">
        <v>88</v>
      </c>
      <c r="H2544" s="23" t="n">
        <v>10</v>
      </c>
      <c r="I2544" s="23" t="n">
        <v>50</v>
      </c>
      <c r="J2544" s="23" t="inlineStr">
        <is>
          <t>978-5-227-03387-1</t>
        </is>
      </c>
      <c r="K2544" s="23" t="inlineStr">
        <is>
          <t>70x100 1/32</t>
        </is>
      </c>
      <c r="L2544" s="23" t="inlineStr">
        <is>
          <t>мяг</t>
        </is>
      </c>
      <c r="M2544" s="23" t="n">
        <v>126</v>
      </c>
      <c r="N2544" s="23" t="n">
        <v>2012</v>
      </c>
      <c r="O2544" s="23" t="n">
        <v>66</v>
      </c>
      <c r="P2544" s="23" t="n"/>
      <c r="Q2544" s="23" t="n"/>
      <c r="R2544" s="25" t="inlineStr">
        <is>
          <t>Николай Михалыч расскажет вам то, что нужно знать о теплицах: как выбрать место под сооружение, правильно сориентировать его относительно сторон света, как подготовить почву, рассчитать освещение и обогрев, грамотно соорудить вентиляцию. Вы узнаете все о видах фундаментов, каркасов и покрытиях и сможете выбрать вариант наиболее подходящий для вас, будь то блочная теплица на бетонном фундаменте или легкая арочная конструкция из пластиковых труб и пленки._x000D_
Автор дает советы по устройству теплицы, рассказывает о том, как ранней весной использовать площади теплиц для выращивания первой зелени — кладезя витаминов после долгой зимы. Михалыч научит вас выращивать здоровую рассаду, закалять ее перед высадкой в открытый грунт, расскажет, какие сорта овощей подходят для плодоношения в теплицах, поделится опытом, как удобрять, поливать, ухаживать и собрать высокий урожай.</t>
        </is>
      </c>
      <c r="S2544" s="26">
        <f>HYPERLINK("http://www.cnpol.ru/covers/13767.jpg","фото на сайте")</f>
        <v/>
      </c>
    </row>
    <row r="2545" ht="50.1" customHeight="1" s="3">
      <c r="A2545" s="23" t="n"/>
      <c r="B2545" s="24" t="inlineStr">
        <is>
          <t>13345</t>
        </is>
      </c>
      <c r="C2545" s="23" t="inlineStr">
        <is>
          <t>МИХАЛЫЧ</t>
        </is>
      </c>
      <c r="D2545" s="23" t="inlineStr">
        <is>
          <t>Звонарев Н.М.</t>
        </is>
      </c>
      <c r="E2545" s="23" t="inlineStr">
        <is>
          <t>Богатый урожай из теплиц и парников</t>
        </is>
      </c>
      <c r="F2545" s="23" t="inlineStr">
        <is>
          <t>        </t>
        </is>
      </c>
      <c r="G2545" s="23" t="n">
        <v>88</v>
      </c>
      <c r="H2545" s="23" t="n">
        <v>10</v>
      </c>
      <c r="I2545" s="23" t="n">
        <v>60</v>
      </c>
      <c r="J2545" s="23" t="inlineStr">
        <is>
          <t>978-5-227-03387-1</t>
        </is>
      </c>
      <c r="K2545" s="23" t="inlineStr">
        <is>
          <t>70x100 1/32</t>
        </is>
      </c>
      <c r="L2545" s="23" t="inlineStr">
        <is>
          <t>мяг</t>
        </is>
      </c>
      <c r="M2545" s="23" t="n">
        <v>126</v>
      </c>
      <c r="N2545" s="23" t="n">
        <v>2012</v>
      </c>
      <c r="O2545" s="23" t="n">
        <v>62</v>
      </c>
      <c r="P2545" s="23" t="n"/>
      <c r="Q2545" s="23" t="n"/>
      <c r="R2545" s="25" t="inlineStr">
        <is>
          <t>Николай Михалыч расскажет вам то, что нужно знать о теплицах: как выбрать место под сооружение, правильно сориентировать его относительно сторон света, как подготовить почву, рассчитать освещение и обогрев, грамотно соорудить вентиляцию. Вы узнаете все о видах фундаментов, каркасов и покрытиях и сможете выбрать вариант наиболее подходящий для вас, будь то блочная теплица на бетонном фундаменте или легкая арочная конструкция из пластиковых труб и пленки._x000D_
Автор дает советы по устройству теплицы, рассказывает о том, как ранней весной использовать площади теплиц для выращивания первой зелени — кладезя витаминов после долгой зимы. Михалыч научит вас выращивать здоровую рассаду, закалять ее перед высадкой в открытый грунт, расскажет, какие сорта овощей подходят для плодоношения в теплицах, поделится опытом, как удобрять, поливать, ухаживать и собрать высокий урожай.</t>
        </is>
      </c>
      <c r="S2545" s="26">
        <f>HYPERLINK("http://www.cnpol.ru/covers/13345.jpg","фото на сайте")</f>
        <v/>
      </c>
    </row>
    <row r="2546" ht="50.1" customHeight="1" s="3">
      <c r="A2546" s="23" t="n"/>
      <c r="B2546" s="24" t="inlineStr">
        <is>
          <t>11792</t>
        </is>
      </c>
      <c r="C2546" s="23" t="inlineStr">
        <is>
          <t>МИХАЛЫЧ</t>
        </is>
      </c>
      <c r="D2546" s="23" t="inlineStr">
        <is>
          <t>Звонарев Н.М.</t>
        </is>
      </c>
      <c r="E2546" s="23" t="inlineStr">
        <is>
          <t>Вишня, черешня. Сажаем, выращиваем, заготавливаем</t>
        </is>
      </c>
      <c r="F2546" s="23" t="inlineStr">
        <is>
          <t>        </t>
        </is>
      </c>
      <c r="G2546" s="23" t="n">
        <v>97</v>
      </c>
      <c r="H2546" s="23" t="n">
        <v>10</v>
      </c>
      <c r="I2546" s="23" t="n">
        <v>40</v>
      </c>
      <c r="J2546" s="23" t="inlineStr">
        <is>
          <t>978-5-9524-4752-3</t>
        </is>
      </c>
      <c r="K2546" s="23" t="inlineStr">
        <is>
          <t>70x100 1/32</t>
        </is>
      </c>
      <c r="L2546" s="23" t="inlineStr">
        <is>
          <t>мяг</t>
        </is>
      </c>
      <c r="M2546" s="23" t="n">
        <v>125</v>
      </c>
      <c r="N2546" s="23" t="n">
        <v>2010</v>
      </c>
      <c r="O2546" s="23" t="n">
        <v>62</v>
      </c>
      <c r="P2546" s="23" t="n"/>
      <c r="Q2546" s="23" t="n"/>
      <c r="R2546" s="25" t="inlineStr">
        <is>
          <t>В этой ниге Михалыч-мастер по выращиванию рекордных урожаев вишни и черешни- поделится секретами посадки, ухода и защиты этих культур от вредителей и болезней. Также он поведает все о полезных свойствах этих удивительно вусных ягод, расскажет все о лучших сортах и предпочтительных способах их заготовки. Хотите узнать, как самостоятельно приготовить вишневый мармелад и варенье из черешни? Читайте нашу книгу!_x000D_
Мы уверены, что благодаря советам автора вы без труда вырастите и сохраните богатый урожай спелых, душистых, сочных ягод.</t>
        </is>
      </c>
      <c r="S2546" s="26">
        <f>HYPERLINK("http://www.cnpol.ru/covers/11792.jpg","фото на сайте")</f>
        <v/>
      </c>
    </row>
    <row r="2547" ht="50.1" customHeight="1" s="3">
      <c r="A2547" s="23" t="n"/>
      <c r="B2547" s="24" t="inlineStr">
        <is>
          <t>12606</t>
        </is>
      </c>
      <c r="C2547" s="23" t="inlineStr">
        <is>
          <t>МИХАЛЫЧ</t>
        </is>
      </c>
      <c r="D2547" s="23" t="inlineStr">
        <is>
          <t>Звонарев Н.М.</t>
        </is>
      </c>
      <c r="E2547" s="23" t="inlineStr">
        <is>
          <t>Вишня, черешня. Сажаем, выращиваем, заготавливаем</t>
        </is>
      </c>
      <c r="F2547" s="23" t="inlineStr">
        <is>
          <t>        </t>
        </is>
      </c>
      <c r="G2547" s="23" t="n">
        <v>97</v>
      </c>
      <c r="H2547" s="23" t="n">
        <v>10</v>
      </c>
      <c r="I2547" s="23" t="n">
        <v>80</v>
      </c>
      <c r="J2547" s="23" t="inlineStr">
        <is>
          <t>978-5-227-02707-8</t>
        </is>
      </c>
      <c r="K2547" s="23" t="inlineStr">
        <is>
          <t>70x100 1/32</t>
        </is>
      </c>
      <c r="L2547" s="23" t="inlineStr">
        <is>
          <t>мяг</t>
        </is>
      </c>
      <c r="M2547" s="23" t="n">
        <v>125</v>
      </c>
      <c r="N2547" s="23" t="n">
        <v>2011</v>
      </c>
      <c r="O2547" s="23" t="n">
        <v>64</v>
      </c>
      <c r="P2547" s="23" t="n"/>
      <c r="Q2547" s="23" t="n"/>
      <c r="R2547" s="25" t="inlineStr">
        <is>
          <t>В этой ниге Михалыч-мастер по выращиванию рекордных урожаев вишни и черешни- поделится секретами посадки, ухода и защиты этих культур от вредителей и болезней. Также он поведает все о полезных свойствах этих удивительно вусных ягод, расскажет все о лучших сортах и предпочтительных способах их заготовки. Хотите узнать, как самостоятельно приготовить вишневый мармелад и варенье из черешни? Читайте нашу книгу!_x000D_
Мы уверены, что благодаря советам автора вы без труда вырастите и сохраните богатый урожай спелых, душистых, сочных ягод.</t>
        </is>
      </c>
      <c r="S2547" s="26">
        <f>HYPERLINK("http://www.cnpol.ru/covers/12606.jpg","фото на сайте")</f>
        <v/>
      </c>
    </row>
    <row r="2548" ht="50.1" customHeight="1" s="3">
      <c r="A2548" s="23" t="n"/>
      <c r="B2548" s="24" t="inlineStr">
        <is>
          <t>11279</t>
        </is>
      </c>
      <c r="C2548" s="23" t="inlineStr">
        <is>
          <t>МИХАЛЫЧ</t>
        </is>
      </c>
      <c r="D2548" s="23" t="inlineStr">
        <is>
          <t>Звонарев Н.М.</t>
        </is>
      </c>
      <c r="E2548" s="23" t="inlineStr">
        <is>
          <t>Грибы. Собираем, выращиваем, заготавливаем</t>
        </is>
      </c>
      <c r="F2548" s="23" t="inlineStr">
        <is>
          <t>        </t>
        </is>
      </c>
      <c r="G2548" s="23" t="n">
        <v>97</v>
      </c>
      <c r="H2548" s="23" t="n">
        <v>10</v>
      </c>
      <c r="I2548" s="23" t="n">
        <v>40</v>
      </c>
      <c r="J2548" s="23" t="inlineStr">
        <is>
          <t>978-5-9524-4418-8</t>
        </is>
      </c>
      <c r="K2548" s="23" t="inlineStr">
        <is>
          <t>70x100 1/32</t>
        </is>
      </c>
      <c r="L2548" s="23" t="inlineStr">
        <is>
          <t>мяг</t>
        </is>
      </c>
      <c r="M2548" s="23" t="n">
        <v>125</v>
      </c>
      <c r="N2548" s="23" t="n">
        <v>2009</v>
      </c>
      <c r="O2548" s="23" t="n">
        <v>62</v>
      </c>
      <c r="P2548" s="23" t="n"/>
      <c r="Q2548" s="23" t="n"/>
      <c r="R2548" s="25" t="inlineStr">
        <is>
          <t>Николай Михайлович — большой любитель «тихой охоты». В своей новой книге он рассказывает о грибах. Не растения и не животные, сытные, как мясо, и в то же время постные... Но самое главное — вкусные и полезные в любом виде: сыром, жареном, соленом, маринованном! Где искать и когда собирать, какие грибы хороши на тарелке, а какие опасны для здоровья и как сохранить «добычу» — обо всем этом вы узнаете из книги. А любителям экзотики, не желающим часами бродить по лесу, — рассказ о том, как вырастить грибы дома или на даче.</t>
        </is>
      </c>
      <c r="S2548" s="26">
        <f>HYPERLINK("http://www.cnpol.ru/covers/11279.jpg","фото на сайте")</f>
        <v/>
      </c>
    </row>
    <row r="2549" ht="50.1" customHeight="1" s="3">
      <c r="A2549" s="23" t="n"/>
      <c r="B2549" s="24" t="inlineStr">
        <is>
          <t>13625</t>
        </is>
      </c>
      <c r="C2549" s="23" t="inlineStr">
        <is>
          <t>МИХАЛЫЧ</t>
        </is>
      </c>
      <c r="D2549" s="23" t="inlineStr">
        <is>
          <t>Звонарев Н.М.</t>
        </is>
      </c>
      <c r="E2549" s="23" t="inlineStr">
        <is>
          <t>Декоративный сад своими руками. Газоны, бордюры, клумбы, альпийские горки, декоративные деревья...</t>
        </is>
      </c>
      <c r="F2549" s="23" t="inlineStr">
        <is>
          <t>        </t>
        </is>
      </c>
      <c r="G2549" s="23" t="n">
        <v>97</v>
      </c>
      <c r="H2549" s="23" t="n">
        <v>10</v>
      </c>
      <c r="I2549" s="23" t="n">
        <v>60</v>
      </c>
      <c r="J2549" s="23" t="inlineStr">
        <is>
          <t>978-5-227-03379-6</t>
        </is>
      </c>
      <c r="K2549" s="23" t="inlineStr">
        <is>
          <t>70x100 1/32</t>
        </is>
      </c>
      <c r="L2549" s="23" t="inlineStr">
        <is>
          <t>мяг</t>
        </is>
      </c>
      <c r="M2549" s="23" t="n">
        <v>126</v>
      </c>
      <c r="N2549" s="23" t="n">
        <v>2012</v>
      </c>
      <c r="O2549" s="23" t="n">
        <v>64</v>
      </c>
      <c r="P2549" s="23" t="n"/>
      <c r="Q2549" s="23" t="n"/>
      <c r="R2549" s="25" t="inlineStr">
        <is>
          <t>"Можно так оформить свой участок, что помимо скучных овощных грядок и трудолюбивых плодовых деревьев на нем найдется место и декоративной растительности. Главное — так подобрать цветы и кустарники, чтобы цветение не прерывалось с весны до глубокой осени.
Николай Михайлович поделится с вами секретами оформления декоративного сада и ухода за ним. Газоны и бордюры, клумбы, альпийские горки и одиноко стоящие роскошные декоративные деревья будут радовать ваш глаз с ранней весны и до поздней осени."</t>
        </is>
      </c>
      <c r="S2549" s="26">
        <f>HYPERLINK("http://www.cnpol.ru/covers/13625.jpg","фото на сайте")</f>
        <v/>
      </c>
    </row>
    <row r="2550" ht="50.1" customHeight="1" s="3">
      <c r="A2550" s="23" t="n"/>
      <c r="B2550" s="24" t="inlineStr">
        <is>
          <t>12045</t>
        </is>
      </c>
      <c r="C2550" s="23" t="inlineStr">
        <is>
          <t>МИХАЛЫЧ</t>
        </is>
      </c>
      <c r="D2550" s="23" t="inlineStr">
        <is>
          <t>Звонарев Н.М.</t>
        </is>
      </c>
      <c r="E2550" s="23" t="inlineStr">
        <is>
          <t>Домашний столяр</t>
        </is>
      </c>
      <c r="F2550" s="23" t="inlineStr">
        <is>
          <t>        </t>
        </is>
      </c>
      <c r="G2550" s="23" t="n">
        <v>79</v>
      </c>
      <c r="H2550" s="23" t="n">
        <v>10</v>
      </c>
      <c r="I2550" s="23" t="n">
        <v>40</v>
      </c>
      <c r="J2550" s="23" t="inlineStr">
        <is>
          <t>978-5-227-02217-2</t>
        </is>
      </c>
      <c r="K2550" s="23" t="inlineStr">
        <is>
          <t>70x100 1/32</t>
        </is>
      </c>
      <c r="L2550" s="23" t="inlineStr">
        <is>
          <t>мяг</t>
        </is>
      </c>
      <c r="M2550" s="23" t="n">
        <v>128</v>
      </c>
      <c r="N2550" s="23" t="n">
        <v>2010</v>
      </c>
      <c r="O2550" s="23" t="n">
        <v>62</v>
      </c>
      <c r="P2550" s="23" t="n"/>
      <c r="Q2550" s="23" t="n"/>
      <c r="R2550" s="25" t="inlineStr">
        <is>
          <t>Хотите преобразить дом или дачу, сэкономив значительную сумму денег, и овладеть при этом основами столярного мастерства? Тогда эта книга — для вас! Следуя приведенным в ней простым рекомендациям, вы сможете изготовить любые столярные изделия и произвести отделку их поверхности; сделать ремонт или устранить дефекты, портящие внешний вид двери или любимого шкафа, и выполнить множество других столярных работ.</t>
        </is>
      </c>
      <c r="S2550" s="26">
        <f>HYPERLINK("http://www.cnpol.ru/covers/12045.jpg","фото на сайте")</f>
        <v/>
      </c>
    </row>
    <row r="2551" ht="50.1" customHeight="1" s="3">
      <c r="A2551" s="23" t="n"/>
      <c r="B2551" s="24" t="inlineStr">
        <is>
          <t>11921</t>
        </is>
      </c>
      <c r="C2551" s="23" t="inlineStr">
        <is>
          <t>МИХАЛЫЧ</t>
        </is>
      </c>
      <c r="D2551" s="23" t="inlineStr">
        <is>
          <t>Звонарев Н.М.</t>
        </is>
      </c>
      <c r="E2551" s="23" t="inlineStr">
        <is>
          <t>Изгороди и заборы своими руками</t>
        </is>
      </c>
      <c r="F2551" s="23" t="inlineStr">
        <is>
          <t>        </t>
        </is>
      </c>
      <c r="G2551" s="23" t="n">
        <v>79</v>
      </c>
      <c r="H2551" s="23" t="n">
        <v>10</v>
      </c>
      <c r="I2551" s="23" t="n">
        <v>40</v>
      </c>
      <c r="J2551" s="23" t="inlineStr">
        <is>
          <t>978-5-227-02030-7</t>
        </is>
      </c>
      <c r="K2551" s="23" t="inlineStr">
        <is>
          <t>70x100 1/32</t>
        </is>
      </c>
      <c r="L2551" s="23" t="inlineStr">
        <is>
          <t>мяг</t>
        </is>
      </c>
      <c r="M2551" s="23" t="n">
        <v>125</v>
      </c>
      <c r="N2551" s="23" t="n">
        <v>2010</v>
      </c>
      <c r="O2551" s="23" t="n">
        <v>62</v>
      </c>
      <c r="P2551" s="23" t="n"/>
      <c r="Q2551" s="23" t="n"/>
      <c r="R2551" s="25" t="inlineStr">
        <is>
          <t>Следуя пошаговым рекомендациям, приведенным в этой книге, вы сможете в кратчайшие сроки построить на своем дачном или садовом участке надежное ограждение: будь то плетень, глухой деревянный забор, частокол, кованая ограда, стена из ивняка, изгородь из габионов, сетки, штакетника или жердей. А для ценителей красоты и комфорта предлагается множество вариантов живых изгородей: с живописными кронами, яркими соцветиями, привлекательными плодами или пестрой листвой.</t>
        </is>
      </c>
      <c r="S2551" s="26">
        <f>HYPERLINK("http://www.cnpol.ru/covers/11921.jpg","фото на сайте")</f>
        <v/>
      </c>
    </row>
    <row r="2552" ht="50.1" customHeight="1" s="3">
      <c r="A2552" s="23" t="n"/>
      <c r="B2552" s="24" t="inlineStr">
        <is>
          <t>12046</t>
        </is>
      </c>
      <c r="C2552" s="23" t="inlineStr">
        <is>
          <t>МИХАЛЫЧ</t>
        </is>
      </c>
      <c r="D2552" s="23" t="inlineStr">
        <is>
          <t>Звонарев Н.М.</t>
        </is>
      </c>
      <c r="E2552" s="23" t="inlineStr">
        <is>
          <t>Календарь умного садовода и огородника</t>
        </is>
      </c>
      <c r="F2552" s="23" t="inlineStr">
        <is>
          <t>        </t>
        </is>
      </c>
      <c r="G2552" s="23" t="n">
        <v>97</v>
      </c>
      <c r="H2552" s="23" t="n">
        <v>10</v>
      </c>
      <c r="I2552" s="23" t="n">
        <v>52</v>
      </c>
      <c r="J2552" s="23" t="inlineStr">
        <is>
          <t>978-5-227-02218-9</t>
        </is>
      </c>
      <c r="K2552" s="23" t="inlineStr">
        <is>
          <t>70x100 1/32</t>
        </is>
      </c>
      <c r="L2552" s="23" t="inlineStr">
        <is>
          <t>мяг</t>
        </is>
      </c>
      <c r="M2552" s="23" t="n">
        <v>127</v>
      </c>
      <c r="N2552" s="23" t="n">
        <v>2010</v>
      </c>
      <c r="O2552" s="23" t="n">
        <v>64</v>
      </c>
      <c r="P2552" s="23" t="n"/>
      <c r="Q2552" s="23" t="n"/>
      <c r="R2552" s="25" t="inlineStr">
        <is>
          <t>В этой книге непревзойденный садовод и огородник Михалыч без утайки поделится секретами сезонных работ на земле. Подробные советы и рекомендации даны на каждый месяц года, ведь земельные хлопоты не прекращаются даже зимой! Вооружившись его знаниями и богатым опытом, даже начинающий огородник научится грамотно, а главное - своевременно сеять и жать, рыхлить и поливать, удобрять и укрывать. Как сохранить урожай, как выиграть войну с болезнями и вредителями, не применяя химии, и что приготовить из плодов своего труда - все ответы под этой обложкой!</t>
        </is>
      </c>
      <c r="S2552" s="26">
        <f>HYPERLINK("http://www.cnpol.ru/covers/12046.jpg","фото на сайте")</f>
        <v/>
      </c>
    </row>
    <row r="2553" ht="50.1" customHeight="1" s="3">
      <c r="A2553" s="23" t="n"/>
      <c r="B2553" s="24" t="inlineStr">
        <is>
          <t>10374</t>
        </is>
      </c>
      <c r="C2553" s="23" t="inlineStr">
        <is>
          <t>МИХАЛЫЧ</t>
        </is>
      </c>
      <c r="D2553" s="23" t="inlineStr">
        <is>
          <t>Звонарев Н.М.</t>
        </is>
      </c>
      <c r="E2553" s="23" t="inlineStr">
        <is>
          <t>Календарь умного садовода и огородника</t>
        </is>
      </c>
      <c r="F2553" s="23" t="inlineStr">
        <is>
          <t>        </t>
        </is>
      </c>
      <c r="G2553" s="23" t="n">
        <v>97</v>
      </c>
      <c r="H2553" s="23" t="n">
        <v>10</v>
      </c>
      <c r="I2553" s="23" t="n">
        <v>40</v>
      </c>
      <c r="J2553" s="23" t="inlineStr">
        <is>
          <t>978-5-9524-3550-6</t>
        </is>
      </c>
      <c r="K2553" s="23" t="inlineStr">
        <is>
          <t>70x100 1/32</t>
        </is>
      </c>
      <c r="L2553" s="23" t="inlineStr">
        <is>
          <t>мяг</t>
        </is>
      </c>
      <c r="M2553" s="23" t="n">
        <v>128</v>
      </c>
      <c r="N2553" s="23" t="n">
        <v>2008</v>
      </c>
      <c r="O2553" s="23" t="n">
        <v>62</v>
      </c>
      <c r="P2553" s="23" t="n"/>
      <c r="Q2553" s="23" t="n"/>
      <c r="R2553" s="25" t="inlineStr">
        <is>
          <t>В этой книге непревзойденный садовод и огородник Михалыч без утайки поделится секретами сезонных работ на земле. Подробные советы и рекомендации даны на каждый месяц года, ведь земельные хлопоты не прекращаются даже зимой! Вооружившись его знаниями и богатым опытом, даже начинающий огородник научится грамотно, а главное - своевременно сеять и жать, рыхлить и поливать, удобрять и укрывать. Как сохранить урожай, как выиграть войну с болезнями и вредителями, не применяя химии, и что приготовить из плодов своего труда - все ответы под этой обложкой!</t>
        </is>
      </c>
      <c r="S2553" s="26">
        <f>HYPERLINK("http://www.cnpol.ru/covers/10374.jpg","фото на сайте")</f>
        <v/>
      </c>
    </row>
    <row r="2554" ht="50.1" customHeight="1" s="3">
      <c r="A2554" s="23" t="n"/>
      <c r="B2554" s="24" t="inlineStr">
        <is>
          <t>11791</t>
        </is>
      </c>
      <c r="C2554" s="23" t="inlineStr">
        <is>
          <t>МИХАЛЫЧ</t>
        </is>
      </c>
      <c r="D2554" s="23" t="inlineStr">
        <is>
          <t>Звонарев Н.М.</t>
        </is>
      </c>
      <c r="E2554" s="23" t="inlineStr">
        <is>
          <t>Крыжовник. Сажаем, выращиваем, заготавливаем</t>
        </is>
      </c>
      <c r="F2554" s="23" t="inlineStr">
        <is>
          <t>        </t>
        </is>
      </c>
      <c r="G2554" s="23" t="n">
        <v>97</v>
      </c>
      <c r="H2554" s="23" t="n">
        <v>10</v>
      </c>
      <c r="I2554" s="23" t="n">
        <v>40</v>
      </c>
      <c r="J2554" s="23" t="inlineStr">
        <is>
          <t>978-5-9524-4825-4</t>
        </is>
      </c>
      <c r="K2554" s="23" t="inlineStr">
        <is>
          <t>70x100 1/32</t>
        </is>
      </c>
      <c r="L2554" s="23" t="inlineStr">
        <is>
          <t>мяг</t>
        </is>
      </c>
      <c r="M2554" s="23" t="n">
        <v>127</v>
      </c>
      <c r="N2554" s="23" t="n">
        <v>2010</v>
      </c>
      <c r="O2554" s="23" t="n">
        <v>62</v>
      </c>
      <c r="P2554" s="23" t="n"/>
      <c r="Q2554" s="23" t="n"/>
      <c r="R2554" s="25" t="inlineStr">
        <is>
          <t>В этой книге Михалыч, мастер по выращиванию рекордных урожаев крыжовника, поделится секретами посадки, ухода и защиты кустарника от вредителей. Также он расскажет все о лучших сортах и поведает, что и как можно приготовить из этой ягоды. Воспользуйтесь его советами - и суровый на вид кустарник на долгие годы станет вашим верным другом, давая устойчивые и высокие урожаи.</t>
        </is>
      </c>
      <c r="S2554" s="26">
        <f>HYPERLINK("http://www.cnpol.ru/covers/11791.jpg","фото на сайте")</f>
        <v/>
      </c>
    </row>
    <row r="2555" ht="50.1" customHeight="1" s="3">
      <c r="A2555" s="23" t="n"/>
      <c r="B2555" s="24" t="inlineStr">
        <is>
          <t>12271</t>
        </is>
      </c>
      <c r="C2555" s="23" t="inlineStr">
        <is>
          <t>МИХАЛЫЧ</t>
        </is>
      </c>
      <c r="D2555" s="23" t="inlineStr">
        <is>
          <t>Звонарев Н.М.</t>
        </is>
      </c>
      <c r="E2555" s="23" t="inlineStr">
        <is>
          <t>Лучшие рецепты от похмелья</t>
        </is>
      </c>
      <c r="F2555" s="23" t="inlineStr">
        <is>
          <t>        </t>
        </is>
      </c>
      <c r="G2555" s="23" t="n">
        <v>79</v>
      </c>
      <c r="H2555" s="23" t="n">
        <v>10</v>
      </c>
      <c r="I2555" s="23" t="n">
        <v>80</v>
      </c>
      <c r="J2555" s="23" t="inlineStr">
        <is>
          <t>978-5-227-02409-1</t>
        </is>
      </c>
      <c r="K2555" s="23" t="inlineStr">
        <is>
          <t>70x100 1/32</t>
        </is>
      </c>
      <c r="L2555" s="23" t="inlineStr">
        <is>
          <t>мяг</t>
        </is>
      </c>
      <c r="M2555" s="23" t="n">
        <v>125</v>
      </c>
      <c r="N2555" s="23" t="n">
        <v>2010</v>
      </c>
      <c r="O2555" s="23" t="n">
        <v>62</v>
      </c>
      <c r="P2555" s="23" t="n"/>
      <c r="Q2555" s="23" t="n"/>
      <c r="R2555" s="25" t="inlineStr">
        <is>
          <t>Мы не будем рассказывать о вреде чрезмерного употребления алкоголя и читать нравоучения. Потому что такая неприятность, как похмелье, может случиться буквально с каждым. Нека­чественный алкоголь, индивидуальная непереносимость, большая радость и как следствие неумеренная доза употребления, да мало ли что еще — и утро не кажется добрым… О том, как заранее подготовиться к застолью, и избежать алкогольного отравления, и как можно быстрее справиться с ним, если это уже случившийся факт, расскажет эта книга.</t>
        </is>
      </c>
      <c r="S2555" s="26">
        <f>HYPERLINK("http://www.cnpol.ru/covers/12271.jpg","фото на сайте")</f>
        <v/>
      </c>
    </row>
    <row r="2556" ht="50.1" customHeight="1" s="3">
      <c r="A2556" s="23" t="n"/>
      <c r="B2556" s="24" t="inlineStr">
        <is>
          <t>12769</t>
        </is>
      </c>
      <c r="C2556" s="23" t="inlineStr">
        <is>
          <t>МИХАЛЫЧ</t>
        </is>
      </c>
      <c r="D2556" s="23" t="inlineStr">
        <is>
          <t>Звонарев Н.М.</t>
        </is>
      </c>
      <c r="E2556" s="23" t="inlineStr">
        <is>
          <t>Лучшие рецепты от похмелья</t>
        </is>
      </c>
      <c r="F2556" s="23" t="inlineStr">
        <is>
          <t>        </t>
        </is>
      </c>
      <c r="G2556" s="23" t="n">
        <v>79</v>
      </c>
      <c r="H2556" s="23" t="n">
        <v>10</v>
      </c>
      <c r="I2556" s="23" t="n">
        <v>60</v>
      </c>
      <c r="J2556" s="23" t="inlineStr">
        <is>
          <t>978-5-227-02875-4</t>
        </is>
      </c>
      <c r="K2556" s="23" t="inlineStr">
        <is>
          <t>70x100 1/32</t>
        </is>
      </c>
      <c r="L2556" s="23" t="inlineStr">
        <is>
          <t>мяг</t>
        </is>
      </c>
      <c r="M2556" s="23" t="n">
        <v>128</v>
      </c>
      <c r="N2556" s="23" t="n">
        <v>2011</v>
      </c>
      <c r="O2556" s="23" t="n">
        <v>64</v>
      </c>
      <c r="P2556" s="23" t="n"/>
      <c r="Q2556" s="23" t="n"/>
      <c r="R2556" s="25" t="inlineStr">
        <is>
          <t>Мы не будем рассказывать о вреде чрезмерного употребления алкоголя и читать нравоучения. Потому что такая неприятность, как похмелье, может случиться буквально с каждым. Нека­чественный алкоголь, индивидуальная непереносимость, большая радость и как следствие неумеренная доза употребления, да мало ли что еще — и утро не кажется добрым… О том, как заранее подготовиться к застолью, и избежать алкогольного отравления, и как можно быстрее справиться с ним, если это уже случившийся факт, расскажет эта книга.</t>
        </is>
      </c>
      <c r="S2556" s="26">
        <f>HYPERLINK("http://www.cnpol.ru/covers/12769.jpg","фото на сайте")</f>
        <v/>
      </c>
    </row>
    <row r="2557" ht="50.1" customHeight="1" s="3">
      <c r="A2557" s="23" t="n"/>
      <c r="B2557" s="24" t="inlineStr">
        <is>
          <t>11770</t>
        </is>
      </c>
      <c r="C2557" s="23" t="inlineStr">
        <is>
          <t>МИХАЛЫЧ</t>
        </is>
      </c>
      <c r="D2557" s="23" t="inlineStr">
        <is>
          <t>Звонарев Н.М.</t>
        </is>
      </c>
      <c r="E2557" s="23" t="inlineStr">
        <is>
          <t>Малина, ежевика. Сорта, выращивание, уход</t>
        </is>
      </c>
      <c r="F2557" s="23" t="inlineStr">
        <is>
          <t>        </t>
        </is>
      </c>
      <c r="G2557" s="23" t="n">
        <v>97</v>
      </c>
      <c r="H2557" s="23" t="n">
        <v>10</v>
      </c>
      <c r="I2557" s="23" t="n">
        <v>40</v>
      </c>
      <c r="J2557" s="23" t="inlineStr">
        <is>
          <t>978-5-9524-4760-8</t>
        </is>
      </c>
      <c r="K2557" s="23" t="inlineStr">
        <is>
          <t>70x100 1/32</t>
        </is>
      </c>
      <c r="L2557" s="23" t="inlineStr">
        <is>
          <t>мяг</t>
        </is>
      </c>
      <c r="M2557" s="23" t="n">
        <v>124</v>
      </c>
      <c r="N2557" s="23" t="n">
        <v>2010</v>
      </c>
      <c r="O2557" s="23" t="n">
        <v>62</v>
      </c>
      <c r="P2557" s="23" t="n"/>
      <c r="Q2557" s="23" t="n"/>
      <c r="R2557" s="25" t="inlineStr">
        <is>
          <t>Николай Михалыч может похвастаться поистине громадным жизненным опытом, который он приобрел, постигая тайны многих ремесел. Шутка ли, за свою долгую жизнь работал поваром, строителем, плотником, агрономом... Он может все!_x000D_
На белом свете не осталось ни одного вопроса, на который Николай Михалыч не смог бы ответить. Хотите узнать, как скрестить фейхоа с огурцом, подковать блоху, сварить пельмени в электрочайнике или запустить табуретку в космос? Михалыч научит вас всему: сажать, выращивать, строить, красить, готовить, а также всяко мастерить и починять._x000D_
В этой книге Михалыч-мастер по выращиванию рекордных урожаев душистой малины и спелой ежевики-поделится секретами посадки, ухода и защиты кустарников от вредителей и болезней. Также он расскажет все о лучших сортах и поведает, что и как можно приготоить из этих целебных ягод._x000D_
Воспользуйтесь его советами-и суровые на вид кустарники на долгие годы станут вашими верными друзьями, давая устойчивые и высокие урожаи.</t>
        </is>
      </c>
      <c r="S2557" s="26">
        <f>HYPERLINK("http://www.cnpol.ru/covers/11770.jpg","фото на сайте")</f>
        <v/>
      </c>
    </row>
    <row r="2558" ht="50.1" customHeight="1" s="3">
      <c r="A2558" s="23" t="n"/>
      <c r="B2558" s="24" t="inlineStr">
        <is>
          <t>11920</t>
        </is>
      </c>
      <c r="C2558" s="23" t="inlineStr">
        <is>
          <t>МИХАЛЫЧ</t>
        </is>
      </c>
      <c r="D2558" s="23" t="inlineStr">
        <is>
          <t>Звонарев Н.М.</t>
        </is>
      </c>
      <c r="E2558" s="23" t="inlineStr">
        <is>
          <t>Печи и камины своими руками</t>
        </is>
      </c>
      <c r="F2558" s="23" t="inlineStr">
        <is>
          <t>        </t>
        </is>
      </c>
      <c r="G2558" s="23" t="n">
        <v>79</v>
      </c>
      <c r="H2558" s="23" t="n">
        <v>10</v>
      </c>
      <c r="I2558" s="23" t="n">
        <v>40</v>
      </c>
      <c r="J2558" s="23" t="inlineStr">
        <is>
          <t>978-5-227-02029-1</t>
        </is>
      </c>
      <c r="K2558" s="23" t="inlineStr">
        <is>
          <t>70x100 1/32</t>
        </is>
      </c>
      <c r="L2558" s="23" t="inlineStr">
        <is>
          <t>мяг</t>
        </is>
      </c>
      <c r="M2558" s="23" t="n">
        <v>124</v>
      </c>
      <c r="N2558" s="23" t="n">
        <v>2010</v>
      </c>
      <c r="O2558" s="23" t="n">
        <v>64</v>
      </c>
      <c r="P2558" s="23" t="n"/>
      <c r="Q2558" s="23" t="n"/>
      <c r="R2558" s="25" t="n"/>
      <c r="S2558" s="26">
        <f>HYPERLINK("http://www.cnpol.ru/covers/11920.jpg","фото на сайте")</f>
        <v/>
      </c>
    </row>
    <row r="2559" ht="50.1" customHeight="1" s="3">
      <c r="A2559" s="23" t="n"/>
      <c r="B2559" s="24" t="inlineStr">
        <is>
          <t>12298</t>
        </is>
      </c>
      <c r="C2559" s="23" t="inlineStr">
        <is>
          <t>МИХАЛЫЧ</t>
        </is>
      </c>
      <c r="D2559" s="23" t="inlineStr">
        <is>
          <t>Звонарев Н.М.</t>
        </is>
      </c>
      <c r="E2559" s="23" t="inlineStr">
        <is>
          <t>Печи и камины своими руками</t>
        </is>
      </c>
      <c r="F2559" s="23" t="inlineStr">
        <is>
          <t>        </t>
        </is>
      </c>
      <c r="G2559" s="23" t="n">
        <v>79</v>
      </c>
      <c r="H2559" s="23" t="n">
        <v>10</v>
      </c>
      <c r="I2559" s="23" t="n">
        <v>80</v>
      </c>
      <c r="J2559" s="23" t="inlineStr">
        <is>
          <t>978-5-227-02427-5</t>
        </is>
      </c>
      <c r="K2559" s="23" t="inlineStr">
        <is>
          <t>70x100 1/32</t>
        </is>
      </c>
      <c r="L2559" s="23" t="inlineStr">
        <is>
          <t>мяг</t>
        </is>
      </c>
      <c r="M2559" s="23" t="n">
        <v>124</v>
      </c>
      <c r="N2559" s="23" t="n">
        <v>2010</v>
      </c>
      <c r="O2559" s="23" t="n">
        <v>64</v>
      </c>
      <c r="P2559" s="23" t="n"/>
      <c r="Q2559" s="23" t="n"/>
      <c r="R2559" s="25" t="n"/>
      <c r="S2559" s="26">
        <f>HYPERLINK("http://www.cnpol.ru/covers/12298.jpg","фото на сайте")</f>
        <v/>
      </c>
    </row>
    <row r="2560" ht="50.1" customHeight="1" s="3">
      <c r="A2560" s="23" t="n"/>
      <c r="B2560" s="24" t="inlineStr">
        <is>
          <t>12630</t>
        </is>
      </c>
      <c r="C2560" s="23" t="inlineStr">
        <is>
          <t>МИХАЛЫЧ</t>
        </is>
      </c>
      <c r="D2560" s="23" t="inlineStr">
        <is>
          <t>Звонарев Н.М.</t>
        </is>
      </c>
      <c r="E2560" s="23" t="inlineStr">
        <is>
          <t>Печи и камины своими руками</t>
        </is>
      </c>
      <c r="F2560" s="23" t="inlineStr">
        <is>
          <t>        </t>
        </is>
      </c>
      <c r="G2560" s="23" t="n">
        <v>79</v>
      </c>
      <c r="H2560" s="23" t="n">
        <v>10</v>
      </c>
      <c r="I2560" s="23" t="n">
        <v>60</v>
      </c>
      <c r="J2560" s="23" t="inlineStr">
        <is>
          <t>978-5-227-02427-5</t>
        </is>
      </c>
      <c r="K2560" s="23" t="inlineStr">
        <is>
          <t>70x100 1/32</t>
        </is>
      </c>
      <c r="L2560" s="23" t="inlineStr">
        <is>
          <t>мяг</t>
        </is>
      </c>
      <c r="M2560" s="23" t="n">
        <v>128</v>
      </c>
      <c r="N2560" s="23" t="n">
        <v>2011</v>
      </c>
      <c r="O2560" s="23" t="n">
        <v>64</v>
      </c>
      <c r="P2560" s="23" t="n"/>
      <c r="Q2560" s="23" t="n"/>
      <c r="R2560" s="25" t="n"/>
      <c r="S2560" s="26">
        <f>HYPERLINK("http://www.cnpol.ru/covers/12630.jpg","фото на сайте")</f>
        <v/>
      </c>
    </row>
    <row r="2561" ht="50.1" customHeight="1" s="3">
      <c r="A2561" s="23" t="n"/>
      <c r="B2561" s="24" t="inlineStr">
        <is>
          <t>13374</t>
        </is>
      </c>
      <c r="C2561" s="23" t="inlineStr">
        <is>
          <t>МИХАЛЫЧ</t>
        </is>
      </c>
      <c r="D2561" s="23" t="inlineStr">
        <is>
          <t>Звонарев Н.М.</t>
        </is>
      </c>
      <c r="E2561" s="23" t="inlineStr">
        <is>
          <t>Помидоры, огурцы</t>
        </is>
      </c>
      <c r="F2561" s="23" t="inlineStr">
        <is>
          <t>        </t>
        </is>
      </c>
      <c r="G2561" s="23" t="n">
        <v>97</v>
      </c>
      <c r="H2561" s="23" t="n">
        <v>10</v>
      </c>
      <c r="I2561" s="23" t="n">
        <v>48</v>
      </c>
      <c r="J2561" s="23" t="inlineStr">
        <is>
          <t>978-5-227-03401-4</t>
        </is>
      </c>
      <c r="K2561" s="23" t="inlineStr">
        <is>
          <t>70x100 1/32</t>
        </is>
      </c>
      <c r="L2561" s="23" t="inlineStr">
        <is>
          <t>мяг</t>
        </is>
      </c>
      <c r="M2561" s="23" t="n">
        <v>126</v>
      </c>
      <c r="N2561" s="23" t="n">
        <v>2012</v>
      </c>
      <c r="O2561" s="23" t="n">
        <v>64</v>
      </c>
      <c r="P2561" s="23" t="n"/>
      <c r="Q2561" s="23" t="n"/>
      <c r="R2561" s="25" t="n"/>
      <c r="S2561" s="26">
        <f>HYPERLINK("http://www.cnpol.ru/covers/13374.jpg","фото на сайте")</f>
        <v/>
      </c>
    </row>
    <row r="2562" ht="50.1" customHeight="1" s="3">
      <c r="A2562" s="23" t="n"/>
      <c r="B2562" s="24" t="inlineStr">
        <is>
          <t>14931</t>
        </is>
      </c>
      <c r="C2562" s="23" t="inlineStr">
        <is>
          <t>МИХАЛЫЧ</t>
        </is>
      </c>
      <c r="D2562" s="23" t="inlineStr">
        <is>
          <t>Звонарев Н.М.</t>
        </is>
      </c>
      <c r="E2562" s="23" t="inlineStr">
        <is>
          <t>Прибыльное разведение рыбы</t>
        </is>
      </c>
      <c r="F2562" s="23" t="inlineStr">
        <is>
          <t>        </t>
        </is>
      </c>
      <c r="G2562" s="23" t="n">
        <v>97</v>
      </c>
      <c r="H2562" s="23" t="n">
        <v>10</v>
      </c>
      <c r="I2562" s="23" t="n">
        <v>48</v>
      </c>
      <c r="J2562" s="23" t="inlineStr">
        <is>
          <t>978-5-227-04819-6</t>
        </is>
      </c>
      <c r="K2562" s="23" t="inlineStr">
        <is>
          <t>70x100 1/32</t>
        </is>
      </c>
      <c r="L2562" s="23" t="inlineStr">
        <is>
          <t>мяг</t>
        </is>
      </c>
      <c r="M2562" s="23" t="n">
        <v>125</v>
      </c>
      <c r="N2562" s="23" t="n">
        <v>2014</v>
      </c>
      <c r="O2562" s="23" t="n">
        <v>62</v>
      </c>
      <c r="P2562" s="23" t="n"/>
      <c r="Q2562" s="23" t="n"/>
      <c r="R2562" s="25" t="n"/>
      <c r="S2562" s="26">
        <f>HYPERLINK("http://www.cnpol.ru/covers/14931.jpg","фото на сайте")</f>
        <v/>
      </c>
    </row>
    <row r="2563" ht="50.1" customHeight="1" s="3">
      <c r="A2563" s="23" t="n"/>
      <c r="B2563" s="24" t="inlineStr">
        <is>
          <t>12594</t>
        </is>
      </c>
      <c r="C2563" s="23" t="inlineStr">
        <is>
          <t>МИХАЛЫЧ</t>
        </is>
      </c>
      <c r="D2563" s="23" t="inlineStr">
        <is>
          <t>Звонарев Н.М.</t>
        </is>
      </c>
      <c r="E2563" s="23" t="inlineStr">
        <is>
          <t>Пряные травы</t>
        </is>
      </c>
      <c r="F2563" s="23" t="inlineStr">
        <is>
          <t>        </t>
        </is>
      </c>
      <c r="G2563" s="23" t="n">
        <v>97</v>
      </c>
      <c r="H2563" s="23" t="n">
        <v>10</v>
      </c>
      <c r="I2563" s="23" t="n">
        <v>80</v>
      </c>
      <c r="J2563" s="23" t="inlineStr">
        <is>
          <t>978-5-227-02692-7</t>
        </is>
      </c>
      <c r="K2563" s="23" t="inlineStr">
        <is>
          <t>70x100 1/32</t>
        </is>
      </c>
      <c r="L2563" s="23" t="inlineStr">
        <is>
          <t>мяг</t>
        </is>
      </c>
      <c r="M2563" s="23" t="n">
        <v>125</v>
      </c>
      <c r="N2563" s="23" t="n">
        <v>2011</v>
      </c>
      <c r="O2563" s="23" t="n">
        <v>64</v>
      </c>
      <c r="P2563" s="23" t="n"/>
      <c r="Q2563" s="23" t="n"/>
      <c r="R2563" s="25" t="n"/>
      <c r="S2563" s="26">
        <f>HYPERLINK("http://www.cnpol.ru/covers/12594.jpg","фото на сайте")</f>
        <v/>
      </c>
    </row>
    <row r="2564" ht="50.1" customHeight="1" s="3">
      <c r="A2564" s="23" t="n"/>
      <c r="B2564" s="24" t="inlineStr">
        <is>
          <t>12044</t>
        </is>
      </c>
      <c r="C2564" s="23" t="inlineStr">
        <is>
          <t>МИХАЛЫЧ</t>
        </is>
      </c>
      <c r="D2564" s="23" t="inlineStr">
        <is>
          <t>Звонарев Н.М.</t>
        </is>
      </c>
      <c r="E2564" s="23" t="inlineStr">
        <is>
          <t>Садово-огородные хитрости. Постройки и инвентарь</t>
        </is>
      </c>
      <c r="F2564" s="23" t="inlineStr">
        <is>
          <t>        </t>
        </is>
      </c>
      <c r="G2564" s="23" t="n">
        <v>97</v>
      </c>
      <c r="H2564" s="23" t="n">
        <v>10</v>
      </c>
      <c r="I2564" s="23" t="n">
        <v>40</v>
      </c>
      <c r="J2564" s="23" t="inlineStr">
        <is>
          <t>978-5-227-02215-8</t>
        </is>
      </c>
      <c r="K2564" s="23" t="inlineStr">
        <is>
          <t>70x100 1/32</t>
        </is>
      </c>
      <c r="L2564" s="23" t="inlineStr">
        <is>
          <t>мяг</t>
        </is>
      </c>
      <c r="M2564" s="23" t="n">
        <v>125</v>
      </c>
      <c r="N2564" s="23" t="n">
        <v>2010</v>
      </c>
      <c r="O2564" s="23" t="n">
        <v>62</v>
      </c>
      <c r="P2564" s="23" t="n"/>
      <c r="Q2564" s="23" t="n"/>
      <c r="R2564" s="25" t="n"/>
      <c r="S2564" s="26">
        <f>HYPERLINK("http://www.cnpol.ru/covers/12044.jpg","фото на сайте")</f>
        <v/>
      </c>
    </row>
    <row r="2565" ht="50.1" customHeight="1" s="3">
      <c r="A2565" s="23" t="n"/>
      <c r="B2565" s="24" t="inlineStr">
        <is>
          <t>11796</t>
        </is>
      </c>
      <c r="C2565" s="23" t="inlineStr">
        <is>
          <t>МИХАЛЫЧ</t>
        </is>
      </c>
      <c r="D2565" s="23" t="inlineStr">
        <is>
          <t>Звонарев Н.М.</t>
        </is>
      </c>
      <c r="E2565" s="23" t="inlineStr">
        <is>
          <t>Слива, терн, алыча... Сорта, выращивание, календарь садовых работ</t>
        </is>
      </c>
      <c r="F2565" s="23" t="inlineStr">
        <is>
          <t>        </t>
        </is>
      </c>
      <c r="G2565" s="23" t="n">
        <v>97</v>
      </c>
      <c r="H2565" s="23" t="n">
        <v>10</v>
      </c>
      <c r="I2565" s="23" t="n">
        <v>40</v>
      </c>
      <c r="J2565" s="23" t="inlineStr">
        <is>
          <t>978-5-9524-4754-7</t>
        </is>
      </c>
      <c r="K2565" s="23" t="inlineStr">
        <is>
          <t>70x100 1/32</t>
        </is>
      </c>
      <c r="L2565" s="23" t="inlineStr">
        <is>
          <t>мяг</t>
        </is>
      </c>
      <c r="M2565" s="23" t="n">
        <v>126</v>
      </c>
      <c r="N2565" s="23" t="n">
        <v>2010</v>
      </c>
      <c r="O2565" s="23" t="n">
        <v>56</v>
      </c>
      <c r="P2565" s="23" t="n"/>
      <c r="Q2565" s="23" t="n"/>
      <c r="R2565" s="25" t="n"/>
      <c r="S2565" s="26">
        <f>HYPERLINK("http://www.cnpol.ru/covers/11796.jpg","фото на сайте")</f>
        <v/>
      </c>
    </row>
    <row r="2566" ht="50.1" customHeight="1" s="3">
      <c r="A2566" s="23" t="n"/>
      <c r="B2566" s="24" t="inlineStr">
        <is>
          <t>12607</t>
        </is>
      </c>
      <c r="C2566" s="23" t="inlineStr">
        <is>
          <t>МИХАЛЫЧ</t>
        </is>
      </c>
      <c r="D2566" s="23" t="inlineStr">
        <is>
          <t>Звонарев Н.М.</t>
        </is>
      </c>
      <c r="E2566" s="23" t="inlineStr">
        <is>
          <t>Смородина. Сажаем, выращиваем, заготавливаем</t>
        </is>
      </c>
      <c r="F2566" s="23" t="inlineStr">
        <is>
          <t>        </t>
        </is>
      </c>
      <c r="G2566" s="23" t="n">
        <v>97</v>
      </c>
      <c r="H2566" s="23" t="n">
        <v>10</v>
      </c>
      <c r="I2566" s="23" t="n">
        <v>80</v>
      </c>
      <c r="J2566" s="23" t="inlineStr">
        <is>
          <t>978-5-227-02709-2</t>
        </is>
      </c>
      <c r="K2566" s="23" t="inlineStr">
        <is>
          <t>70x100 1/32</t>
        </is>
      </c>
      <c r="L2566" s="23" t="inlineStr">
        <is>
          <t>мяг</t>
        </is>
      </c>
      <c r="M2566" s="23" t="n">
        <v>125</v>
      </c>
      <c r="N2566" s="23" t="n">
        <v>2011</v>
      </c>
      <c r="O2566" s="23" t="n">
        <v>62</v>
      </c>
      <c r="P2566" s="23" t="n"/>
      <c r="Q2566" s="23" t="n"/>
      <c r="R2566" s="25" t="n"/>
      <c r="S2566" s="26">
        <f>HYPERLINK("http://www.cnpol.ru/covers/12607.jpg","фото на сайте")</f>
        <v/>
      </c>
    </row>
    <row r="2567" ht="50.1" customHeight="1" s="3">
      <c r="A2567" s="23" t="n"/>
      <c r="B2567" s="24" t="inlineStr">
        <is>
          <t>7305</t>
        </is>
      </c>
      <c r="C2567" s="23" t="inlineStr">
        <is>
          <t>МК</t>
        </is>
      </c>
      <c r="D2567" s="23" t="inlineStr">
        <is>
          <t>Котляр</t>
        </is>
      </c>
      <c r="E2567" s="23" t="inlineStr">
        <is>
          <t>Остров зверей</t>
        </is>
      </c>
      <c r="F2567" s="23" t="inlineStr">
        <is>
          <t>        </t>
        </is>
      </c>
      <c r="G2567" s="23" t="n">
        <v>168</v>
      </c>
      <c r="H2567" s="23" t="n">
        <v>10</v>
      </c>
      <c r="I2567" s="23" t="n">
        <v>56</v>
      </c>
      <c r="J2567" s="23" t="inlineStr">
        <is>
          <t>5-9524-1659-4</t>
        </is>
      </c>
      <c r="K2567" s="23" t="inlineStr">
        <is>
          <t>60x70 1/16</t>
        </is>
      </c>
      <c r="L2567" s="23" t="inlineStr">
        <is>
          <t>картон</t>
        </is>
      </c>
      <c r="M2567" s="23" t="n">
        <v>16</v>
      </c>
      <c r="N2567" s="23" t="n">
        <v>2008</v>
      </c>
      <c r="O2567" s="23" t="n">
        <v>122</v>
      </c>
      <c r="P2567" s="23" t="n"/>
      <c r="Q2567" s="23" t="n"/>
      <c r="R2567" s="25" t="n"/>
      <c r="S2567" s="26">
        <f>HYPERLINK("http://www.cnpol.ru/covers/7305.jpg","фото на сайте")</f>
        <v/>
      </c>
    </row>
    <row r="2568" ht="50.1" customHeight="1" s="3">
      <c r="A2568" s="23" t="n"/>
      <c r="B2568" s="24" t="inlineStr">
        <is>
          <t>7307</t>
        </is>
      </c>
      <c r="C2568" s="23" t="inlineStr">
        <is>
          <t>МК</t>
        </is>
      </c>
      <c r="D2568" s="23" t="inlineStr">
        <is>
          <t>Мошковская</t>
        </is>
      </c>
      <c r="E2568" s="23" t="inlineStr">
        <is>
          <t>Подарите крокодила</t>
        </is>
      </c>
      <c r="F2568" s="23" t="inlineStr">
        <is>
          <t>        </t>
        </is>
      </c>
      <c r="G2568" s="23" t="n">
        <v>168</v>
      </c>
      <c r="H2568" s="23" t="n">
        <v>10</v>
      </c>
      <c r="I2568" s="23" t="n">
        <v>56</v>
      </c>
      <c r="J2568" s="23" t="inlineStr">
        <is>
          <t>5-9524-1757-4</t>
        </is>
      </c>
      <c r="K2568" s="23" t="inlineStr">
        <is>
          <t>60x70 1/16</t>
        </is>
      </c>
      <c r="L2568" s="23" t="inlineStr">
        <is>
          <t>картон</t>
        </is>
      </c>
      <c r="M2568" s="23" t="n">
        <v>16</v>
      </c>
      <c r="N2568" s="23" t="n">
        <v>2007</v>
      </c>
      <c r="O2568" s="23" t="n">
        <v>122</v>
      </c>
      <c r="P2568" s="23" t="n"/>
      <c r="Q2568" s="23" t="n"/>
      <c r="R2568" s="25" t="n"/>
      <c r="S2568" s="26">
        <f>HYPERLINK("http://www.cnpol.ru/covers/7307.jpg","фото на сайте")</f>
        <v/>
      </c>
    </row>
    <row r="2569" ht="50.1" customHeight="1" s="3">
      <c r="A2569" s="23" t="n"/>
      <c r="B2569" s="24" t="inlineStr">
        <is>
          <t>2199</t>
        </is>
      </c>
      <c r="C2569" s="23" t="inlineStr">
        <is>
          <t>МКД</t>
        </is>
      </c>
      <c r="D2569" s="23" t="inlineStr">
        <is>
          <t>Чейз Д.Х.</t>
        </is>
      </c>
      <c r="E2569" s="23" t="inlineStr">
        <is>
          <t>Избавьте меня от нее</t>
        </is>
      </c>
      <c r="F2569" s="23" t="inlineStr">
        <is>
          <t>        </t>
        </is>
      </c>
      <c r="G2569" s="23" t="n">
        <v>105</v>
      </c>
      <c r="H2569" s="23" t="n">
        <v>10</v>
      </c>
      <c r="I2569" s="23" t="n">
        <v>40</v>
      </c>
      <c r="J2569" s="23" t="inlineStr">
        <is>
          <t>5-227-00745-4</t>
        </is>
      </c>
      <c r="K2569" s="23" t="inlineStr">
        <is>
          <t>70x90 1/32</t>
        </is>
      </c>
      <c r="L2569" s="23" t="inlineStr">
        <is>
          <t>мяг</t>
        </is>
      </c>
      <c r="M2569" s="23" t="inlineStr">
        <is>
          <t>    </t>
        </is>
      </c>
      <c r="N2569" s="23" t="inlineStr">
        <is>
          <t>    </t>
        </is>
      </c>
      <c r="O2569" s="23" t="inlineStr">
        <is>
          <t>     </t>
        </is>
      </c>
      <c r="P2569" s="23" t="n"/>
      <c r="Q2569" s="23" t="n"/>
      <c r="R2569" s="25" t="inlineStr">
        <is>
          <t>Ловкачу и вымогателю денег у богатых дамочек Джулиану Лукану сделали необычное предложение, убить жену миллионера, и посулили такую сумму, что он не мог отказаться. Для начала он решил навести справки, и, узнав, что это не так просто сделать, нанял киллера. Вдвоем они решают разыграть свою карту. И вот уже женщина похищена, а киллер требует с миллионера сумму, намного превышающую обещанный прежде «го­норар»...</t>
        </is>
      </c>
      <c r="S2569" s="26">
        <f>HYPERLINK("http://www.cnpol.ru/covers/2199.jpg","фото на сайте")</f>
        <v/>
      </c>
    </row>
    <row r="2570" ht="50.1" customHeight="1" s="3">
      <c r="A2570" s="23" t="n"/>
      <c r="B2570" s="24" t="inlineStr">
        <is>
          <t>10221</t>
        </is>
      </c>
      <c r="C2570" s="23" t="inlineStr">
        <is>
          <t>МКД</t>
        </is>
      </c>
      <c r="D2570" s="23" t="inlineStr">
        <is>
          <t>Чейз Д.Х.</t>
        </is>
      </c>
      <c r="E2570" s="23" t="inlineStr">
        <is>
          <t>Каждый умирает в одиночку</t>
        </is>
      </c>
      <c r="F2570" s="23" t="inlineStr">
        <is>
          <t>        </t>
        </is>
      </c>
      <c r="G2570" s="23" t="n">
        <v>105</v>
      </c>
      <c r="H2570" s="23" t="n">
        <v>10</v>
      </c>
      <c r="I2570" s="23" t="n">
        <v>28</v>
      </c>
      <c r="J2570" s="23" t="inlineStr">
        <is>
          <t>978-5-9524-3410-3</t>
        </is>
      </c>
      <c r="K2570" s="23" t="inlineStr">
        <is>
          <t>70x90 1/32</t>
        </is>
      </c>
      <c r="L2570" s="23" t="inlineStr">
        <is>
          <t>мяг</t>
        </is>
      </c>
      <c r="M2570" s="23" t="n">
        <v>270</v>
      </c>
      <c r="N2570" s="23" t="n">
        <v>2008</v>
      </c>
      <c r="O2570" s="23" t="n">
        <v>120</v>
      </c>
      <c r="P2570" s="23" t="n"/>
      <c r="Q2570" s="23" t="n"/>
      <c r="R2570" s="25" t="inlineStr">
        <is>
          <t>Джей Серф, владелец крупной компании, подозревает, что его жену шантажируют. Обыскивая ее комнату, он находит чемодан с чужими вещами. Появляются новые во-просы: либо его жена  клептоманка, либо кто-то хочет ее дискредитировать. Но кто? ...</t>
        </is>
      </c>
      <c r="S2570" s="26">
        <f>HYPERLINK("http://www.cnpol.ru/covers/10221.jpg","фото на сайте")</f>
        <v/>
      </c>
    </row>
    <row r="2571" ht="50.1" customHeight="1" s="3">
      <c r="A2571" s="23" t="n"/>
      <c r="B2571" s="24" t="inlineStr">
        <is>
          <t>10777</t>
        </is>
      </c>
      <c r="C2571" s="23" t="inlineStr">
        <is>
          <t>МКД</t>
        </is>
      </c>
      <c r="D2571" s="23" t="inlineStr">
        <is>
          <t>Чейз Д.Х.</t>
        </is>
      </c>
      <c r="E2571" s="23" t="inlineStr">
        <is>
          <t>Легкие деньги</t>
        </is>
      </c>
      <c r="F2571" s="23" t="inlineStr">
        <is>
          <t>        </t>
        </is>
      </c>
      <c r="G2571" s="23" t="n">
        <v>105</v>
      </c>
      <c r="H2571" s="23" t="n">
        <v>10</v>
      </c>
      <c r="I2571" s="23" t="n">
        <v>32</v>
      </c>
      <c r="J2571" s="23" t="inlineStr">
        <is>
          <t>978-5-9524-3692-3</t>
        </is>
      </c>
      <c r="K2571" s="23" t="inlineStr">
        <is>
          <t>70x90 1/32</t>
        </is>
      </c>
      <c r="L2571" s="23" t="inlineStr">
        <is>
          <t>мяг</t>
        </is>
      </c>
      <c r="M2571" s="23" t="n">
        <v>255</v>
      </c>
      <c r="N2571" s="23" t="n">
        <v>2008</v>
      </c>
      <c r="O2571" s="23" t="n">
        <v>106</v>
      </c>
      <c r="P2571" s="23" t="n"/>
      <c r="Q2571" s="23" t="n"/>
      <c r="R2571" s="25" t="inlineStr">
        <is>
          <t>Знакомство с проституткой Евой коренным образом меняет жизнь преуспевающего писателя Клива Фарстона ("Небеса могут подождать"). Биржевому спекулянту Престену Кайлу необходимо разработать план поиска похищенных сокровищ махараджи ("Легкие деньги"). Героям Дж.X.Чейза, короля мирового детектива, приходится порой совершать невозможное, чтобы выпутаться из сложной ситуации.</t>
        </is>
      </c>
      <c r="S2571" s="26">
        <f>HYPERLINK("http://www.cnpol.ru/covers/10777.jpg","фото на сайте")</f>
        <v/>
      </c>
    </row>
    <row r="2572" ht="50.1" customHeight="1" s="3">
      <c r="A2572" s="23" t="n"/>
      <c r="B2572" s="24" t="inlineStr">
        <is>
          <t>7978</t>
        </is>
      </c>
      <c r="C2572" s="23" t="inlineStr">
        <is>
          <t>МКД</t>
        </is>
      </c>
      <c r="D2572" s="23" t="inlineStr">
        <is>
          <t>Чейз Д.Х.</t>
        </is>
      </c>
      <c r="E2572" s="23" t="inlineStr">
        <is>
          <t>Миссия в Сиену</t>
        </is>
      </c>
      <c r="F2572" s="23" t="inlineStr">
        <is>
          <t>        </t>
        </is>
      </c>
      <c r="G2572" s="23" t="n">
        <v>105</v>
      </c>
      <c r="H2572" s="23" t="n">
        <v>10</v>
      </c>
      <c r="I2572" s="23" t="n">
        <v>32</v>
      </c>
      <c r="J2572" s="23" t="inlineStr">
        <is>
          <t>978-5-9524-2909-3</t>
        </is>
      </c>
      <c r="K2572" s="23" t="inlineStr">
        <is>
          <t>70x90 1/32</t>
        </is>
      </c>
      <c r="L2572" s="23" t="inlineStr">
        <is>
          <t>мяг</t>
        </is>
      </c>
      <c r="M2572" s="23" t="n">
        <v>254</v>
      </c>
      <c r="N2572" s="23" t="n">
        <v>2008</v>
      </c>
      <c r="O2572" s="23" t="n">
        <v>110</v>
      </c>
      <c r="P2572" s="23" t="n"/>
      <c r="Q2572" s="23" t="n"/>
      <c r="R2572" s="25" t="n"/>
      <c r="S2572" s="26">
        <f>HYPERLINK("http://www.cnpol.ru/covers/7978.jpg","фото на сайте")</f>
        <v/>
      </c>
    </row>
    <row r="2573" ht="50.1" customHeight="1" s="3">
      <c r="A2573" s="23" t="n"/>
      <c r="B2573" s="24" t="inlineStr">
        <is>
          <t>10486</t>
        </is>
      </c>
      <c r="C2573" s="23" t="inlineStr">
        <is>
          <t>МКД</t>
        </is>
      </c>
      <c r="D2573" s="23" t="inlineStr">
        <is>
          <t>Чейз Д.Х.</t>
        </is>
      </c>
      <c r="E2573" s="23" t="inlineStr">
        <is>
          <t>Мэлори</t>
        </is>
      </c>
      <c r="F2573" s="23" t="inlineStr">
        <is>
          <t>        </t>
        </is>
      </c>
      <c r="G2573" s="23" t="n">
        <v>105</v>
      </c>
      <c r="H2573" s="23" t="n">
        <v>10</v>
      </c>
      <c r="I2573" s="23" t="n">
        <v>32</v>
      </c>
      <c r="J2573" s="23" t="inlineStr">
        <is>
          <t>978-5-9524-3597-1</t>
        </is>
      </c>
      <c r="K2573" s="23" t="inlineStr">
        <is>
          <t>70x90 1/32</t>
        </is>
      </c>
      <c r="L2573" s="23" t="inlineStr">
        <is>
          <t>мяг</t>
        </is>
      </c>
      <c r="M2573" s="23" t="n">
        <v>255</v>
      </c>
      <c r="N2573" s="23" t="n">
        <v>2008</v>
      </c>
      <c r="O2573" s="23" t="n">
        <v>110</v>
      </c>
      <c r="P2573" s="23" t="n"/>
      <c r="Q2573" s="23" t="n"/>
      <c r="R2573" s="25" t="n"/>
      <c r="S2573" s="26">
        <f>HYPERLINK("http://www.cnpol.ru/covers/10486.jpg","фото на сайте")</f>
        <v/>
      </c>
    </row>
    <row r="2574" ht="50.1" customHeight="1" s="3">
      <c r="A2574" s="23" t="n"/>
      <c r="B2574" s="24" t="inlineStr">
        <is>
          <t>9015</t>
        </is>
      </c>
      <c r="C2574" s="23" t="inlineStr">
        <is>
          <t>МКД</t>
        </is>
      </c>
      <c r="D2574" s="23" t="inlineStr">
        <is>
          <t>Чейз Д.Х.</t>
        </is>
      </c>
      <c r="E2574" s="23" t="inlineStr">
        <is>
          <t>На что способны женщины</t>
        </is>
      </c>
      <c r="F2574" s="23" t="inlineStr">
        <is>
          <t>        </t>
        </is>
      </c>
      <c r="G2574" s="23" t="n">
        <v>105</v>
      </c>
      <c r="H2574" s="23" t="n">
        <v>10</v>
      </c>
      <c r="I2574" s="23" t="n">
        <v>32</v>
      </c>
      <c r="J2574" s="23" t="inlineStr">
        <is>
          <t>978-5-9524-3168-3</t>
        </is>
      </c>
      <c r="K2574" s="23" t="inlineStr">
        <is>
          <t>70x90 1/32</t>
        </is>
      </c>
      <c r="L2574" s="23" t="inlineStr">
        <is>
          <t>мяг</t>
        </is>
      </c>
      <c r="M2574" s="23" t="n">
        <v>251</v>
      </c>
      <c r="N2574" s="23" t="n">
        <v>2008</v>
      </c>
      <c r="O2574" s="23" t="inlineStr">
        <is>
          <t>     </t>
        </is>
      </c>
      <c r="P2574" s="23" t="n"/>
      <c r="Q2574" s="23" t="n"/>
      <c r="R2574" s="25" t="n"/>
      <c r="S2574" s="26">
        <f>HYPERLINK("http://www.cnpol.ru/covers/9015.jpg","фото на сайте")</f>
        <v/>
      </c>
    </row>
    <row r="2575" ht="50.1" customHeight="1" s="3">
      <c r="A2575" s="23" t="n"/>
      <c r="B2575" s="24" t="inlineStr">
        <is>
          <t>10418</t>
        </is>
      </c>
      <c r="C2575" s="23" t="inlineStr">
        <is>
          <t>МКД</t>
        </is>
      </c>
      <c r="D2575" s="23" t="inlineStr">
        <is>
          <t>Чейз Д.Х.</t>
        </is>
      </c>
      <c r="E2575" s="23" t="inlineStr">
        <is>
          <t>Напрасное прикрытие</t>
        </is>
      </c>
      <c r="F2575" s="23" t="inlineStr">
        <is>
          <t>        </t>
        </is>
      </c>
      <c r="G2575" s="23" t="n">
        <v>105</v>
      </c>
      <c r="H2575" s="23" t="n">
        <v>10</v>
      </c>
      <c r="I2575" s="23" t="n">
        <v>32</v>
      </c>
      <c r="J2575" s="23" t="inlineStr">
        <is>
          <t>978-5-9524-3598-8</t>
        </is>
      </c>
      <c r="K2575" s="23" t="inlineStr">
        <is>
          <t>70x90 1/32</t>
        </is>
      </c>
      <c r="L2575" s="23" t="inlineStr">
        <is>
          <t>мяг</t>
        </is>
      </c>
      <c r="M2575" s="23" t="n">
        <v>222</v>
      </c>
      <c r="N2575" s="23" t="n">
        <v>2008</v>
      </c>
      <c r="O2575" s="23" t="n">
        <v>106</v>
      </c>
      <c r="P2575" s="23" t="n"/>
      <c r="Q2575" s="23" t="n"/>
      <c r="R2575" s="25" t="n"/>
      <c r="S2575" s="26">
        <f>HYPERLINK("http://www.cnpol.ru/covers/10418.jpg","фото на сайте")</f>
        <v/>
      </c>
    </row>
    <row r="2576" ht="50.1" customHeight="1" s="3">
      <c r="A2576" s="23" t="n"/>
      <c r="B2576" s="24" t="inlineStr">
        <is>
          <t>2622</t>
        </is>
      </c>
      <c r="C2576" s="23" t="inlineStr">
        <is>
          <t>МКД</t>
        </is>
      </c>
      <c r="D2576" s="23" t="inlineStr">
        <is>
          <t>Чейз Д.Х.</t>
        </is>
      </c>
      <c r="E2576" s="23" t="inlineStr">
        <is>
          <t>Репортер Кейд</t>
        </is>
      </c>
      <c r="F2576" s="23" t="inlineStr">
        <is>
          <t>        </t>
        </is>
      </c>
      <c r="G2576" s="23" t="n">
        <v>105</v>
      </c>
      <c r="H2576" s="23" t="n">
        <v>10</v>
      </c>
      <c r="I2576" s="23" t="n">
        <v>40</v>
      </c>
      <c r="J2576" s="23" t="inlineStr">
        <is>
          <t>5-227-01320-9</t>
        </is>
      </c>
      <c r="K2576" s="23" t="inlineStr">
        <is>
          <t>70x90 1/32</t>
        </is>
      </c>
      <c r="L2576" s="23" t="inlineStr">
        <is>
          <t>мяг</t>
        </is>
      </c>
      <c r="M2576" s="23" t="inlineStr">
        <is>
          <t>    </t>
        </is>
      </c>
      <c r="N2576" s="23" t="inlineStr">
        <is>
          <t>    </t>
        </is>
      </c>
      <c r="O2576" s="23" t="inlineStr">
        <is>
          <t>     </t>
        </is>
      </c>
      <c r="P2576" s="23" t="n"/>
      <c r="Q2576" s="23" t="n"/>
      <c r="R2576" s="25" t="n"/>
      <c r="S2576" s="26">
        <f>HYPERLINK("http://www.cnpol.ru/covers/2622.jpg","фото на сайте")</f>
        <v/>
      </c>
    </row>
    <row r="2577" ht="50.1" customHeight="1" s="3">
      <c r="A2577" s="23" t="n"/>
      <c r="B2577" s="24" t="inlineStr">
        <is>
          <t>10428</t>
        </is>
      </c>
      <c r="C2577" s="23" t="inlineStr">
        <is>
          <t>МКД</t>
        </is>
      </c>
      <c r="D2577" s="23" t="inlineStr">
        <is>
          <t>Чейз Д.Х.</t>
        </is>
      </c>
      <c r="E2577" s="23" t="inlineStr">
        <is>
          <t>Теперь это ему ни к чему</t>
        </is>
      </c>
      <c r="F2577" s="23" t="inlineStr">
        <is>
          <t>        </t>
        </is>
      </c>
      <c r="G2577" s="23" t="n">
        <v>105</v>
      </c>
      <c r="H2577" s="23" t="n">
        <v>10</v>
      </c>
      <c r="I2577" s="23" t="n">
        <v>32</v>
      </c>
      <c r="J2577" s="23" t="inlineStr">
        <is>
          <t>978-5-9524-3507-0</t>
        </is>
      </c>
      <c r="K2577" s="23" t="inlineStr">
        <is>
          <t>70x90 1/32</t>
        </is>
      </c>
      <c r="L2577" s="23" t="inlineStr">
        <is>
          <t>мяг</t>
        </is>
      </c>
      <c r="M2577" s="23" t="n">
        <v>222</v>
      </c>
      <c r="N2577" s="23" t="n">
        <v>2008</v>
      </c>
      <c r="O2577" s="23" t="n">
        <v>108</v>
      </c>
      <c r="P2577" s="23" t="n"/>
      <c r="Q2577" s="23" t="n"/>
      <c r="R2577" s="25" t="n"/>
      <c r="S2577" s="26">
        <f>HYPERLINK("http://www.cnpol.ru/covers/10428.jpg","фото на сайте")</f>
        <v/>
      </c>
    </row>
    <row r="2578" ht="50.1" customHeight="1" s="3">
      <c r="A2578" s="23" t="n"/>
      <c r="B2578" s="24" t="inlineStr">
        <is>
          <t>0126</t>
        </is>
      </c>
      <c r="C2578" s="23" t="inlineStr">
        <is>
          <t>МКД НО</t>
        </is>
      </c>
      <c r="D2578" s="23" t="inlineStr">
        <is>
          <t>Чейз Д.Х.</t>
        </is>
      </c>
      <c r="E2578" s="23" t="inlineStr">
        <is>
          <t>А что же случится со мной?</t>
        </is>
      </c>
      <c r="F2578" s="23" t="inlineStr">
        <is>
          <t>        </t>
        </is>
      </c>
      <c r="G2578" s="23" t="n">
        <v>177</v>
      </c>
      <c r="H2578" s="23" t="n">
        <v>10</v>
      </c>
      <c r="I2578" s="23" t="n">
        <v>32</v>
      </c>
      <c r="J2578" s="23" t="inlineStr">
        <is>
          <t>978-5-227-06942-9</t>
        </is>
      </c>
      <c r="K2578" s="23" t="inlineStr">
        <is>
          <t>70x90 1/32</t>
        </is>
      </c>
      <c r="L2578" s="23" t="inlineStr">
        <is>
          <t>мяг</t>
        </is>
      </c>
      <c r="M2578" s="23" t="n">
        <v>256</v>
      </c>
      <c r="N2578" s="23" t="n">
        <v>2016</v>
      </c>
      <c r="O2578" s="23" t="n">
        <v>108</v>
      </c>
      <c r="P2578" s="23" t="n"/>
      <c r="Q2578" s="23" t="n"/>
      <c r="R2578" s="25" t="inlineStr">
        <is>
          <t>Джек Крейн, ветеран вьетнамской войны, привык к риску и большим деньгам. Ему надоело прожигать жизнь в дешевых барах захолустного городка. Поэтому предложение его бывшего командира полковника Ольсона угнать эксклюзивный самолет олигарха Эссекса показалось ему заманчивым...</t>
        </is>
      </c>
      <c r="S2578" s="26">
        <f>HYPERLINK("http://www.cnpol.ru/covers/0126.jpg","фото на сайте")</f>
        <v/>
      </c>
    </row>
    <row r="2579" ht="50.1" customHeight="1" s="3">
      <c r="A2579" s="23" t="n"/>
      <c r="B2579" s="24" t="inlineStr">
        <is>
          <t>16819</t>
        </is>
      </c>
      <c r="C2579" s="23" t="inlineStr">
        <is>
          <t>МКД НО</t>
        </is>
      </c>
      <c r="D2579" s="23" t="inlineStr">
        <is>
          <t>Чейз Д.Х.</t>
        </is>
      </c>
      <c r="E2579" s="23" t="inlineStr">
        <is>
          <t>Банка с червями</t>
        </is>
      </c>
      <c r="F2579" s="23" t="inlineStr">
        <is>
          <t>        </t>
        </is>
      </c>
      <c r="G2579" s="23" t="n">
        <v>177</v>
      </c>
      <c r="H2579" s="23" t="n">
        <v>10</v>
      </c>
      <c r="I2579" s="23" t="n">
        <v>32</v>
      </c>
      <c r="J2579" s="23" t="inlineStr">
        <is>
          <t>978-5-227-06810-1</t>
        </is>
      </c>
      <c r="K2579" s="23" t="inlineStr">
        <is>
          <t>70x90 1/32</t>
        </is>
      </c>
      <c r="L2579" s="23" t="inlineStr">
        <is>
          <t>мяг</t>
        </is>
      </c>
      <c r="M2579" s="23" t="n">
        <v>256</v>
      </c>
      <c r="N2579" s="23" t="n">
        <v>2016</v>
      </c>
      <c r="O2579" s="23" t="n">
        <v>110</v>
      </c>
      <c r="P2579" s="23" t="n"/>
      <c r="Q2579" s="23" t="n"/>
      <c r="R2579" s="25" t="inlineStr">
        <is>
          <t>Частный детектив Барт Андерсен должен был следить за Нэнси Хэмел — женой состоятельного писателя, поскольку муж не совсем доверял ей. Однако дело оказалось не таким уж банальным. Вскоре Барт выяснил, что Нэнси связана с грабителем и убийцей Поффери, которого давно разыскивает полиция. И тогда он решается на шантаж и требует с Нэнси плату за молчание — сто тысяч долларов. Но все происходит совсем не так, как предполагал Барт...</t>
        </is>
      </c>
      <c r="S2579" s="26">
        <f>HYPERLINK("http://www.cnpol.ru/covers/16819.jpg","фото на сайте")</f>
        <v/>
      </c>
    </row>
    <row r="2580" ht="50.1" customHeight="1" s="3">
      <c r="A2580" s="23" t="n"/>
      <c r="B2580" s="24" t="inlineStr">
        <is>
          <t>0112</t>
        </is>
      </c>
      <c r="C2580" s="23" t="inlineStr">
        <is>
          <t>МКД НО</t>
        </is>
      </c>
      <c r="D2580" s="23" t="inlineStr">
        <is>
          <t>Чейз Д.Х.</t>
        </is>
      </c>
      <c r="E2580" s="23" t="inlineStr">
        <is>
          <t>Без денег ты мертв</t>
        </is>
      </c>
      <c r="F2580" s="23" t="inlineStr">
        <is>
          <t>        </t>
        </is>
      </c>
      <c r="G2580" s="23" t="n">
        <v>177</v>
      </c>
      <c r="H2580" s="23" t="n">
        <v>10</v>
      </c>
      <c r="I2580" s="23" t="n">
        <v>32</v>
      </c>
      <c r="J2580" s="23" t="inlineStr">
        <is>
          <t>978-5-227-06943-6</t>
        </is>
      </c>
      <c r="K2580" s="23" t="inlineStr">
        <is>
          <t>70x90 1/32</t>
        </is>
      </c>
      <c r="L2580" s="23" t="inlineStr">
        <is>
          <t>мяг</t>
        </is>
      </c>
      <c r="M2580" s="23" t="n">
        <v>256</v>
      </c>
      <c r="N2580" s="23" t="n">
        <v>2016</v>
      </c>
      <c r="O2580" s="23" t="n">
        <v>108</v>
      </c>
      <c r="P2580" s="23" t="n"/>
      <c r="Q2580" s="23" t="n"/>
      <c r="R2580" s="25" t="inlineStr">
        <is>
          <t>После автокатастрофы известный киноактер Дон Эллиот потерял выгодный контракт и запутался в долгах. Ради легких денег он готов на все. И тут знакомый антиквар дает ему шанс: за 250 тысяч долларов он должен украсть ценные марки. Идея нравится Эллиоту, но водиночку действовать опасно. Волей случая он знакомится с людьми, которые тоже нуждаются в деньгах и давно мечтают о настоящем деле...</t>
        </is>
      </c>
      <c r="S2580" s="26">
        <f>HYPERLINK("http://www.cnpol.ru/covers/0112.jpg","фото на сайте")</f>
        <v/>
      </c>
    </row>
    <row r="2581" ht="50.1" customHeight="1" s="3">
      <c r="A2581" s="23" t="n"/>
      <c r="B2581" s="24" t="inlineStr">
        <is>
          <t>0113</t>
        </is>
      </c>
      <c r="C2581" s="23" t="inlineStr">
        <is>
          <t>МКД НО</t>
        </is>
      </c>
      <c r="D2581" s="23" t="inlineStr">
        <is>
          <t>Чейз Д.Х.</t>
        </is>
      </c>
      <c r="E2581" s="23" t="inlineStr">
        <is>
          <t>Блондинка из Пекина</t>
        </is>
      </c>
      <c r="F2581" s="23" t="inlineStr">
        <is>
          <t>        </t>
        </is>
      </c>
      <c r="G2581" s="23" t="n">
        <v>177</v>
      </c>
      <c r="H2581" s="23" t="n">
        <v>10</v>
      </c>
      <c r="I2581" s="23" t="n">
        <v>32</v>
      </c>
      <c r="J2581" s="23" t="inlineStr">
        <is>
          <t>978-5-227-06944-3</t>
        </is>
      </c>
      <c r="K2581" s="23" t="inlineStr">
        <is>
          <t>70x90 1/32</t>
        </is>
      </c>
      <c r="L2581" s="23" t="inlineStr">
        <is>
          <t>мяг</t>
        </is>
      </c>
      <c r="M2581" s="23" t="n">
        <v>256</v>
      </c>
      <c r="N2581" s="23" t="n">
        <v>2016</v>
      </c>
      <c r="O2581" s="23" t="n">
        <v>108</v>
      </c>
      <c r="P2581" s="23" t="n"/>
      <c r="Q2581" s="23" t="n"/>
      <c r="R2581" s="25" t="inlineStr">
        <is>
          <t>Любовница китайского ученого, работающего над созданием нового оружия, найдена в Париже... в бессознательном состоянии. Диагноз - амнезия. Бывший агент ЦРУ Марк Гирланд соглашается сыграть роль ее мужа, чтобы выведать секреты восточного гения. За лжесупругами начинается настоящая охота спецслужб и бандитов разных стран...</t>
        </is>
      </c>
      <c r="S2581" s="26">
        <f>HYPERLINK("http://www.cnpol.ru/covers/0113.jpg","фото на сайте")</f>
        <v/>
      </c>
    </row>
    <row r="2582" ht="50.1" customHeight="1" s="3">
      <c r="A2582" s="23" t="n"/>
      <c r="B2582" s="24" t="inlineStr">
        <is>
          <t>0120</t>
        </is>
      </c>
      <c r="C2582" s="23" t="inlineStr">
        <is>
          <t>МКД НО</t>
        </is>
      </c>
      <c r="D2582" s="23" t="inlineStr">
        <is>
          <t>Чейз Д.Х.</t>
        </is>
      </c>
      <c r="E2582" s="23" t="inlineStr">
        <is>
          <t>Венок из лотоса</t>
        </is>
      </c>
      <c r="F2582" s="23" t="inlineStr">
        <is>
          <t>        </t>
        </is>
      </c>
      <c r="G2582" s="23" t="n">
        <v>177</v>
      </c>
      <c r="H2582" s="23" t="n">
        <v>10</v>
      </c>
      <c r="I2582" s="23" t="n">
        <v>32</v>
      </c>
      <c r="J2582" s="23" t="inlineStr">
        <is>
          <t>978-5-227-06945-0</t>
        </is>
      </c>
      <c r="K2582" s="23" t="inlineStr">
        <is>
          <t>70x90 1/32</t>
        </is>
      </c>
      <c r="L2582" s="23" t="inlineStr">
        <is>
          <t>мяг</t>
        </is>
      </c>
      <c r="M2582" s="23" t="n">
        <v>288</v>
      </c>
      <c r="N2582" s="23" t="n">
        <v>2016</v>
      </c>
      <c r="O2582" s="23" t="n">
        <v>106</v>
      </c>
      <c r="P2582" s="23" t="n"/>
      <c r="Q2582" s="23" t="n"/>
      <c r="R2582" s="25" t="inlineStr">
        <is>
          <t>Только ради денег американец Джеф согласился работать в этой вьетнамской дыре. До поры до времени любовь к юной Нхан и выпивка спасали его от жуткой тоски. Когда американец по чистой случайности наткнулся на тайник с бриллиантами, в него словно бес вселился — алчность превратила Джефа в дикого зверя и он убил своего слугу, вьетнамца Хоума. Отныне он вне закона и сделает все, чтобы вырваться из  Вьетнама и  продать проклятые бриллианты…</t>
        </is>
      </c>
      <c r="S2582" s="26">
        <f>HYPERLINK("http://www.cnpol.ru/covers/0120.jpg","фото на сайте")</f>
        <v/>
      </c>
    </row>
    <row r="2583" ht="50.1" customHeight="1" s="3">
      <c r="A2583" s="23" t="n"/>
      <c r="B2583" s="24" t="inlineStr">
        <is>
          <t>0114</t>
        </is>
      </c>
      <c r="C2583" s="23" t="inlineStr">
        <is>
          <t>МКД НО</t>
        </is>
      </c>
      <c r="D2583" s="23" t="inlineStr">
        <is>
          <t>Чейз Д.Х.</t>
        </is>
      </c>
      <c r="E2583" s="23" t="inlineStr">
        <is>
          <t>Весь мир в кармане</t>
        </is>
      </c>
      <c r="F2583" s="23" t="inlineStr">
        <is>
          <t>        </t>
        </is>
      </c>
      <c r="G2583" s="23" t="n">
        <v>177</v>
      </c>
      <c r="H2583" s="23" t="n">
        <v>10</v>
      </c>
      <c r="I2583" s="23" t="n">
        <v>32</v>
      </c>
      <c r="J2583" s="23" t="inlineStr">
        <is>
          <t>978-5-227-06947-4</t>
        </is>
      </c>
      <c r="K2583" s="23" t="inlineStr">
        <is>
          <t>70x90 1/32</t>
        </is>
      </c>
      <c r="L2583" s="23" t="inlineStr">
        <is>
          <t>мяг</t>
        </is>
      </c>
      <c r="M2583" s="23" t="n">
        <v>256</v>
      </c>
      <c r="N2583" s="23" t="n">
        <v>2016</v>
      </c>
      <c r="O2583" s="23" t="n">
        <v>108</v>
      </c>
      <c r="P2583" s="23" t="n"/>
      <c r="Q2583" s="23" t="n"/>
      <c r="R2583" s="25" t="inlineStr">
        <is>
          <t>Некая девица втягивает Джеффа Гордона в грязное дело, в результате чего его обвиняют в покушении на убийство. Джефф вынужден исчезнуть из города на какое-то время, и ему еще предстоит доказать свою невиновность («Все дело в деньгах»)._x000D_
Тюрьма не лишила Фрэнка Моргана любви к легким  деньгам. На этот раз вор собрался оставить без зарплаты сотрудников научного учреждения. И вот, вместе с первоклассными помощниками, он начал отрабатывать аварию на маршруте броневика с миллионной начинкой...("Весь мир в кармане").</t>
        </is>
      </c>
      <c r="S2583" s="26">
        <f>HYPERLINK("http://www.cnpol.ru/covers/0114.jpg","фото на сайте")</f>
        <v/>
      </c>
    </row>
    <row r="2584" ht="50.1" customHeight="1" s="3">
      <c r="A2584" s="23" t="n"/>
      <c r="B2584" s="24" t="inlineStr">
        <is>
          <t>0127</t>
        </is>
      </c>
      <c r="C2584" s="23" t="inlineStr">
        <is>
          <t>МКД НО</t>
        </is>
      </c>
      <c r="D2584" s="23" t="inlineStr">
        <is>
          <t>Чейз Д.Х.</t>
        </is>
      </c>
      <c r="E2584" s="23" t="inlineStr">
        <is>
          <t>Все дело в деньгах</t>
        </is>
      </c>
      <c r="F2584" s="23" t="inlineStr">
        <is>
          <t>        </t>
        </is>
      </c>
      <c r="G2584" s="23" t="n">
        <v>177</v>
      </c>
      <c r="H2584" s="23" t="n">
        <v>10</v>
      </c>
      <c r="I2584" s="23" t="n">
        <v>32</v>
      </c>
      <c r="J2584" s="23" t="inlineStr">
        <is>
          <t>978-5-227-06948-1</t>
        </is>
      </c>
      <c r="K2584" s="23" t="inlineStr">
        <is>
          <t>70x90 1/32</t>
        </is>
      </c>
      <c r="L2584" s="23" t="inlineStr">
        <is>
          <t>мяг</t>
        </is>
      </c>
      <c r="M2584" s="23" t="n">
        <v>256</v>
      </c>
      <c r="N2584" s="23" t="n">
        <v>2016</v>
      </c>
      <c r="O2584" s="23" t="n">
        <v>100</v>
      </c>
      <c r="P2584" s="23" t="n"/>
      <c r="Q2584" s="23" t="n"/>
      <c r="R2584" s="25" t="inlineStr">
        <is>
          <t>Некая девица втягивает Джеффа Гордона в грязное дело, в результате чего его обвиняют в покушении на убийство. Джефф вынужден исчезнуть из города на какое-то время, и ему еще предстоит доказать свою невиновность («Все дело в деньгах»). Мировой финансовый воротила Радниц предлагает Гирланду сделку: убить Роберта Кейри, шпиона. Отказ для Гирланда равносилен смерти, но убивать он никого не намерен («Это серьезно»). Чак всегда мечтал о красивой жизни, и наконец ему повезло. Знакомство с индейцем Тахолой обещает прибыльное дельце. Чак берется за него, несмотря на то что прибыль будет окрашена чьей-то кровью («Хотите остаться живым»).</t>
        </is>
      </c>
      <c r="S2584" s="26">
        <f>HYPERLINK("http://www.cnpol.ru/covers/0127.jpg","фото на сайте")</f>
        <v/>
      </c>
    </row>
    <row r="2585" ht="50.1" customHeight="1" s="3">
      <c r="A2585" s="23" t="n"/>
      <c r="B2585" s="24" t="inlineStr">
        <is>
          <t>0156</t>
        </is>
      </c>
      <c r="C2585" s="23" t="inlineStr">
        <is>
          <t>МКД НО</t>
        </is>
      </c>
      <c r="D2585" s="23" t="inlineStr">
        <is>
          <t>Чейз Д.Х.</t>
        </is>
      </c>
      <c r="E2585" s="23" t="inlineStr">
        <is>
          <t>Все тузы у меня</t>
        </is>
      </c>
      <c r="F2585" s="23" t="inlineStr">
        <is>
          <t>        </t>
        </is>
      </c>
      <c r="G2585" s="23" t="n">
        <v>177</v>
      </c>
      <c r="H2585" s="23" t="n">
        <v>10</v>
      </c>
      <c r="I2585" s="23" t="n">
        <v>32</v>
      </c>
      <c r="J2585" s="23" t="inlineStr">
        <is>
          <t>978-5-227-06949-8</t>
        </is>
      </c>
      <c r="K2585" s="23" t="inlineStr">
        <is>
          <t>70x90 1/32</t>
        </is>
      </c>
      <c r="L2585" s="23" t="inlineStr">
        <is>
          <t>мяг</t>
        </is>
      </c>
      <c r="M2585" s="23" t="n">
        <v>256</v>
      </c>
      <c r="N2585" s="23" t="n">
        <v>2016</v>
      </c>
      <c r="O2585" s="23" t="n">
        <v>108</v>
      </c>
      <c r="P2585" s="23" t="n"/>
      <c r="Q2585" s="23" t="n"/>
      <c r="R2585" s="25" t="inlineStr">
        <is>
          <t>Хельга Рольф, жена одного из богатейших людей мира, живет одной надеждой — что прикованный к инвалидному креслу муж вскоре умрет и наследство в 60 миллионов долларов перейдет к ней. Но единственное условие Германа Рольфа — супружеская верность — нарушено. Он узнает о связи Хельги с Джеком Арчером...</t>
        </is>
      </c>
      <c r="S2585" s="26">
        <f>HYPERLINK("http://www.cnpol.ru/covers/0156.jpg","фото на сайте")</f>
        <v/>
      </c>
    </row>
    <row r="2586" ht="50.1" customHeight="1" s="3">
      <c r="A2586" s="23" t="n"/>
      <c r="B2586" s="24" t="inlineStr">
        <is>
          <t>0115</t>
        </is>
      </c>
      <c r="C2586" s="23" t="inlineStr">
        <is>
          <t>МКД НО</t>
        </is>
      </c>
      <c r="D2586" s="23" t="inlineStr">
        <is>
          <t>Чейз Д.Х.</t>
        </is>
      </c>
      <c r="E2586" s="23" t="inlineStr">
        <is>
          <t>Выбор пал на меня</t>
        </is>
      </c>
      <c r="F2586" s="23" t="inlineStr">
        <is>
          <t>        </t>
        </is>
      </c>
      <c r="G2586" s="23" t="n">
        <v>177</v>
      </c>
      <c r="H2586" s="23" t="n">
        <v>10</v>
      </c>
      <c r="I2586" s="23" t="n">
        <v>32</v>
      </c>
      <c r="J2586" s="23" t="inlineStr">
        <is>
          <t>978-5-227-06950-4</t>
        </is>
      </c>
      <c r="K2586" s="23" t="inlineStr">
        <is>
          <t>70x90 1/32</t>
        </is>
      </c>
      <c r="L2586" s="23" t="inlineStr">
        <is>
          <t>мяг</t>
        </is>
      </c>
      <c r="M2586" s="23" t="n">
        <v>256</v>
      </c>
      <c r="N2586" s="23" t="n">
        <v>2016</v>
      </c>
      <c r="O2586" s="23" t="n">
        <v>106</v>
      </c>
      <c r="P2586" s="23" t="n"/>
      <c r="Q2586" s="23" t="n"/>
      <c r="R2586" s="25" t="inlineStr">
        <is>
          <t>Корридон — типичный «солдат удачи», работающий на тех, кто платит больше. Поэтому, когда бывший армейский сослуживец полковник Ричи предлагает ему опасное, но хорошо оплачиваемое дело, он смело бросается в водоворот событий и внедряется в банду._x000D_
Удастся ли ему обнаружить и перехитрить главаря их группировки и не навредить полковнику? Теперь не только успех предприятия, но и жизнь Корридона зависит от его хитрости и умения быстро ориентироваться в сложившейся ситуации… В противном случае ему уже никогда не видеть парижской весны...</t>
        </is>
      </c>
      <c r="S2586" s="26">
        <f>HYPERLINK("http://www.cnpol.ru/covers/0115.jpg","фото на сайте")</f>
        <v/>
      </c>
    </row>
    <row r="2587" ht="50.1" customHeight="1" s="3">
      <c r="A2587" s="23" t="n"/>
      <c r="B2587" s="24" t="inlineStr">
        <is>
          <t>0172</t>
        </is>
      </c>
      <c r="C2587" s="23" t="inlineStr">
        <is>
          <t>МКД НО</t>
        </is>
      </c>
      <c r="D2587" s="23" t="inlineStr">
        <is>
          <t>Чейз Д.Х.</t>
        </is>
      </c>
      <c r="E2587" s="23" t="inlineStr">
        <is>
          <t>Гроб из Гонконга</t>
        </is>
      </c>
      <c r="F2587" s="23" t="inlineStr">
        <is>
          <t>        </t>
        </is>
      </c>
      <c r="G2587" s="23" t="n">
        <v>177</v>
      </c>
      <c r="H2587" s="23" t="n">
        <v>10</v>
      </c>
      <c r="I2587" s="23" t="n">
        <v>32</v>
      </c>
      <c r="J2587" s="23" t="inlineStr">
        <is>
          <t>978-5-227-06951-1</t>
        </is>
      </c>
      <c r="K2587" s="23" t="inlineStr">
        <is>
          <t>70x90 1/32</t>
        </is>
      </c>
      <c r="L2587" s="23" t="inlineStr">
        <is>
          <t>мяг</t>
        </is>
      </c>
      <c r="M2587" s="23" t="n">
        <v>256</v>
      </c>
      <c r="N2587" s="23" t="n">
        <v>2016</v>
      </c>
      <c r="O2587" s="23" t="n">
        <v>108</v>
      </c>
      <c r="P2587" s="23" t="n"/>
      <c r="Q2587" s="23" t="n"/>
      <c r="R2587" s="25" t="inlineStr">
        <is>
          <t>Частный детектив Нельсон Райян получает задание от некоего Джона Хардвика проследить за его женой, пока он будет в отъезде. После безрезультатного многочасового ожидания детектив узнает, что дом пуст и по указанному клиентом адресу живут совсем другие люди. Озадаченный, он возвращается в офис и находит там труп красивой китаянки...</t>
        </is>
      </c>
      <c r="S2587" s="26">
        <f>HYPERLINK("http://www.cnpol.ru/covers/0172.jpg","фото на сайте")</f>
        <v/>
      </c>
    </row>
    <row r="2588" ht="50.1" customHeight="1" s="3">
      <c r="A2588" s="23" t="n"/>
      <c r="B2588" s="24" t="inlineStr">
        <is>
          <t>0135</t>
        </is>
      </c>
      <c r="C2588" s="23" t="inlineStr">
        <is>
          <t>МКД НО</t>
        </is>
      </c>
      <c r="D2588" s="23" t="inlineStr">
        <is>
          <t>Чейз Д.Х.</t>
        </is>
      </c>
      <c r="E2588" s="23" t="inlineStr">
        <is>
          <t>Двойная сдача</t>
        </is>
      </c>
      <c r="F2588" s="23" t="inlineStr">
        <is>
          <t>        </t>
        </is>
      </c>
      <c r="G2588" s="23" t="n">
        <v>177</v>
      </c>
      <c r="H2588" s="23" t="n">
        <v>10</v>
      </c>
      <c r="I2588" s="23" t="n">
        <v>32</v>
      </c>
      <c r="J2588" s="23" t="inlineStr">
        <is>
          <t>978-5-227-06952-8</t>
        </is>
      </c>
      <c r="K2588" s="23" t="inlineStr">
        <is>
          <t>70x90 1/32</t>
        </is>
      </c>
      <c r="L2588" s="23" t="inlineStr">
        <is>
          <t>мяг</t>
        </is>
      </c>
      <c r="M2588" s="23" t="n">
        <v>256</v>
      </c>
      <c r="N2588" s="23" t="n">
        <v>2016</v>
      </c>
      <c r="O2588" s="23" t="n">
        <v>108</v>
      </c>
      <c r="P2588" s="23" t="n"/>
      <c r="Q2588" s="23" t="n"/>
      <c r="R2588" s="25" t="inlineStr">
        <is>
          <t>Страховой агент из-за смерти клиентки оказывается под подозрением "Двойная сдача". Влиятельный бизнесмен обвиняется в убийстве, которого не совершал "Я сам похороню своих мертвых". Частный детектив находит в офисе мертвую китаянку "Гроб из Гонконга". Героям Дж.Х. Чейза, короля мирового детектива, порой приходится совершать невозможное...</t>
        </is>
      </c>
      <c r="S2588" s="26">
        <f>HYPERLINK("http://www.cnpol.ru/covers/0135.jpg","фото на сайте")</f>
        <v/>
      </c>
    </row>
    <row r="2589" ht="50.1" customHeight="1" s="3">
      <c r="A2589" s="23" t="n"/>
      <c r="B2589" s="24" t="inlineStr">
        <is>
          <t>0168</t>
        </is>
      </c>
      <c r="C2589" s="23" t="inlineStr">
        <is>
          <t>МКД НО</t>
        </is>
      </c>
      <c r="D2589" s="23" t="inlineStr">
        <is>
          <t>Чейз Д.Х.</t>
        </is>
      </c>
      <c r="E2589" s="23" t="inlineStr">
        <is>
          <t>Дело лишь во времени</t>
        </is>
      </c>
      <c r="F2589" s="23" t="inlineStr">
        <is>
          <t>        </t>
        </is>
      </c>
      <c r="G2589" s="23" t="n">
        <v>177</v>
      </c>
      <c r="H2589" s="23" t="n">
        <v>10</v>
      </c>
      <c r="I2589" s="23" t="n">
        <v>32</v>
      </c>
      <c r="J2589" s="23" t="inlineStr">
        <is>
          <t>978-5-227-06953-5</t>
        </is>
      </c>
      <c r="K2589" s="23" t="inlineStr">
        <is>
          <t>70x90 1/32</t>
        </is>
      </c>
      <c r="L2589" s="23" t="inlineStr">
        <is>
          <t>мяг</t>
        </is>
      </c>
      <c r="M2589" s="23" t="n">
        <v>224</v>
      </c>
      <c r="N2589" s="23" t="n">
        <v>2016</v>
      </c>
      <c r="O2589" s="23" t="n">
        <v>96</v>
      </c>
      <c r="P2589" s="23" t="n"/>
      <c r="Q2589" s="23" t="n"/>
      <c r="R2589" s="25" t="inlineStr">
        <is>
          <t>Бромхэд был солидным и добропорядочным шофером старой дамы Морелли Джонсон — владелицы миллионного состояния, драгоценных мехов, редких лимузинов, картин и недвижимости. Но никто не догадывался о его богатом криминальном прошлом. Зная, что миллионерша доверяет своему банковскому поверенному Крису Петтерсону, Бромхэд составил беспроигрышный план для того, чтобы сорвать самый крупный куш в своей жизни. Но тут в дело вмешалась любовь, и все пошло кувырком...</t>
        </is>
      </c>
      <c r="S2589" s="26">
        <f>HYPERLINK("http://www.cnpol.ru/covers/0168.jpg","фото на сайте")</f>
        <v/>
      </c>
    </row>
    <row r="2590" ht="50.1" customHeight="1" s="3">
      <c r="A2590" s="23" t="n"/>
      <c r="B2590" s="24" t="inlineStr">
        <is>
          <t>0144</t>
        </is>
      </c>
      <c r="C2590" s="23" t="inlineStr">
        <is>
          <t>МКД НО</t>
        </is>
      </c>
      <c r="D2590" s="23" t="inlineStr">
        <is>
          <t>Чейз Д.Х.</t>
        </is>
      </c>
      <c r="E2590" s="23" t="inlineStr">
        <is>
          <t>Джокер в колоде</t>
        </is>
      </c>
      <c r="F2590" s="23" t="inlineStr">
        <is>
          <t>        </t>
        </is>
      </c>
      <c r="G2590" s="23" t="n">
        <v>177</v>
      </c>
      <c r="H2590" s="23" t="n">
        <v>10</v>
      </c>
      <c r="I2590" s="23" t="n">
        <v>32</v>
      </c>
      <c r="J2590" s="23" t="inlineStr">
        <is>
          <t>978-5-227-06954-2</t>
        </is>
      </c>
      <c r="K2590" s="23" t="inlineStr">
        <is>
          <t>70x90 1/32</t>
        </is>
      </c>
      <c r="L2590" s="23" t="inlineStr">
        <is>
          <t>мяг</t>
        </is>
      </c>
      <c r="M2590" s="23" t="n">
        <v>240</v>
      </c>
      <c r="N2590" s="23" t="n">
        <v>2016</v>
      </c>
      <c r="O2590" s="23" t="n">
        <v>100</v>
      </c>
      <c r="P2590" s="23" t="n"/>
      <c r="Q2590" s="23" t="n"/>
      <c r="R2590" s="25" t="inlineStr">
        <is>
          <t>Хельга Рольф вот-вот получит в наследство 60 миллионов  мужа-инвалида, уличившего ее в измене, хватил удар, и деньги почти у нее в кармане. Но перед смертью мистер Рольф успел написать поверенному об отмене завещания, и теперь это письмо исчезло.</t>
        </is>
      </c>
      <c r="S2590" s="26">
        <f>HYPERLINK("http://www.cnpol.ru/covers/0144.jpg","фото на сайте")</f>
        <v/>
      </c>
    </row>
    <row r="2591" ht="50.1" customHeight="1" s="3">
      <c r="A2591" s="23" t="n"/>
      <c r="B2591" s="24" t="inlineStr">
        <is>
          <t>13406</t>
        </is>
      </c>
      <c r="C2591" s="23" t="inlineStr">
        <is>
          <t>МКД НО</t>
        </is>
      </c>
      <c r="D2591" s="23" t="inlineStr">
        <is>
          <t>Чейз Д.Х.</t>
        </is>
      </c>
      <c r="E2591" s="23" t="inlineStr">
        <is>
          <t>Еще одна попытка</t>
        </is>
      </c>
      <c r="F2591" s="23" t="inlineStr">
        <is>
          <t>        </t>
        </is>
      </c>
      <c r="G2591" s="23" t="n">
        <v>177</v>
      </c>
      <c r="H2591" s="23" t="n">
        <v>10</v>
      </c>
      <c r="I2591" s="23" t="n">
        <v>32</v>
      </c>
      <c r="J2591" s="23" t="inlineStr">
        <is>
          <t>978-5-227-03510-3</t>
        </is>
      </c>
      <c r="K2591" s="23" t="inlineStr">
        <is>
          <t>70x90 1/32</t>
        </is>
      </c>
      <c r="L2591" s="23" t="inlineStr">
        <is>
          <t>мяг</t>
        </is>
      </c>
      <c r="M2591" s="23" t="n">
        <v>253</v>
      </c>
      <c r="N2591" s="23" t="n">
        <v>2012</v>
      </c>
      <c r="O2591" s="23" t="n">
        <v>110</v>
      </c>
      <c r="P2591" s="23" t="n"/>
      <c r="Q2591" s="23" t="n"/>
      <c r="R2591" s="25" t="inlineStr">
        <is>
          <t>Безденежье и неверие в справедливость вынудили бывшего журналиста Гарри Барбера согласиться на предложение богатой дамочки организовать фиктивное похищение ее падчерицы. Риск велик, но сумма в 50 тысяч долларов соблазнительна, и Гарри начинает подготовку, а чтобы подстраховаться, записывает разговор с заказчицей на дик- тофон...</t>
        </is>
      </c>
      <c r="S2591" s="26">
        <f>HYPERLINK("http://www.cnpol.ru/covers/13406.jpg","фото на сайте")</f>
        <v/>
      </c>
    </row>
    <row r="2592" ht="50.1" customHeight="1" s="3">
      <c r="A2592" s="23" t="n"/>
      <c r="B2592" s="24" t="inlineStr">
        <is>
          <t>0133</t>
        </is>
      </c>
      <c r="C2592" s="23" t="inlineStr">
        <is>
          <t>МКД НО</t>
        </is>
      </c>
      <c r="D2592" s="23" t="inlineStr">
        <is>
          <t>Чейз Д.Х.</t>
        </is>
      </c>
      <c r="E2592" s="23" t="inlineStr">
        <is>
          <t>Еще одна попытка</t>
        </is>
      </c>
      <c r="F2592" s="23" t="inlineStr">
        <is>
          <t>        </t>
        </is>
      </c>
      <c r="G2592" s="23" t="n">
        <v>177</v>
      </c>
      <c r="H2592" s="23" t="n">
        <v>10</v>
      </c>
      <c r="I2592" s="23" t="n">
        <v>32</v>
      </c>
      <c r="J2592" s="23" t="inlineStr">
        <is>
          <t>978-5-227-06955-9</t>
        </is>
      </c>
      <c r="K2592" s="23" t="inlineStr">
        <is>
          <t>70x90 1/32</t>
        </is>
      </c>
      <c r="L2592" s="23" t="inlineStr">
        <is>
          <t>мяг</t>
        </is>
      </c>
      <c r="M2592" s="23" t="n">
        <v>256</v>
      </c>
      <c r="N2592" s="23" t="n">
        <v>2016</v>
      </c>
      <c r="O2592" s="23" t="n">
        <v>110</v>
      </c>
      <c r="P2592" s="23" t="n"/>
      <c r="Q2592" s="23" t="n"/>
      <c r="R2592" s="25" t="inlineStr">
        <is>
          <t>Безденежье и неверие в справедливость вынудили бывшего журналиста Гарри Барбера согласиться на предложение богатой дамочки организовать фиктивное похищение ее падчерицы. Риск велик, но сумма в 50 тысяч долларов соблазнительна, и Гарри начинает подготовку, а чтобы подстраховаться, записывает разговор с заказчицей на дик- тофон...</t>
        </is>
      </c>
      <c r="S2592" s="26">
        <f>HYPERLINK("http://www.cnpol.ru/covers/0133.jpg","фото на сайте")</f>
        <v/>
      </c>
    </row>
    <row r="2593" ht="50.1" customHeight="1" s="3">
      <c r="A2593" s="23" t="n"/>
      <c r="B2593" s="24" t="inlineStr">
        <is>
          <t>0164</t>
        </is>
      </c>
      <c r="C2593" s="23" t="inlineStr">
        <is>
          <t>МКД НО</t>
        </is>
      </c>
      <c r="D2593" s="23" t="inlineStr">
        <is>
          <t>Чейз Д.Х.</t>
        </is>
      </c>
      <c r="E2593" s="23" t="inlineStr">
        <is>
          <t>Жизнь дешевле спичек</t>
        </is>
      </c>
      <c r="F2593" s="23" t="inlineStr">
        <is>
          <t>        </t>
        </is>
      </c>
      <c r="G2593" s="23" t="n">
        <v>177</v>
      </c>
      <c r="H2593" s="23" t="n">
        <v>10</v>
      </c>
      <c r="I2593" s="23" t="n">
        <v>32</v>
      </c>
      <c r="J2593" s="23" t="inlineStr">
        <is>
          <t>978-5-227-06956-6</t>
        </is>
      </c>
      <c r="K2593" s="23" t="inlineStr">
        <is>
          <t>70x90 1/32</t>
        </is>
      </c>
      <c r="L2593" s="23" t="inlineStr">
        <is>
          <t>мяг</t>
        </is>
      </c>
      <c r="M2593" s="23" t="n">
        <v>256</v>
      </c>
      <c r="N2593" s="23" t="n">
        <v>2016</v>
      </c>
      <c r="O2593" s="23" t="n">
        <v>108</v>
      </c>
      <c r="P2593" s="23" t="n"/>
      <c r="Q2593" s="23" t="n"/>
      <c r="R2593" s="25" t="inlineStr">
        <is>
          <t>Порой человеческая жизнь ценится дешевле коробка спичек. В этом пришлось убедиться частному детективу Лу Брэндону. Он-то думал, что приморский городок Сент- Рафаэль — настоящий рай на земле, однако на пляже убивают его друга, а местная полиция явно стремится замять расследование, ведь в деле замешаны очень влиятельные персоны...</t>
        </is>
      </c>
      <c r="S2593" s="26">
        <f>HYPERLINK("http://www.cnpol.ru/covers/0164.jpg","фото на сайте")</f>
        <v/>
      </c>
    </row>
    <row r="2594" ht="50.1" customHeight="1" s="3">
      <c r="A2594" s="23" t="n"/>
      <c r="B2594" s="24" t="inlineStr">
        <is>
          <t>0134</t>
        </is>
      </c>
      <c r="C2594" s="23" t="inlineStr">
        <is>
          <t>МКД НО</t>
        </is>
      </c>
      <c r="D2594" s="23" t="inlineStr">
        <is>
          <t>Чейз Д.Х.</t>
        </is>
      </c>
      <c r="E2594" s="23" t="inlineStr">
        <is>
          <t>За все надо платить</t>
        </is>
      </c>
      <c r="F2594" s="23" t="inlineStr">
        <is>
          <t>        </t>
        </is>
      </c>
      <c r="G2594" s="23" t="n">
        <v>177</v>
      </c>
      <c r="H2594" s="23" t="n">
        <v>10</v>
      </c>
      <c r="I2594" s="23" t="n">
        <v>32</v>
      </c>
      <c r="J2594" s="23" t="inlineStr">
        <is>
          <t>978-5-227-06957-3</t>
        </is>
      </c>
      <c r="K2594" s="23" t="inlineStr">
        <is>
          <t>70x90 1/32</t>
        </is>
      </c>
      <c r="L2594" s="23" t="inlineStr">
        <is>
          <t>мяг</t>
        </is>
      </c>
      <c r="M2594" s="23" t="n">
        <v>256</v>
      </c>
      <c r="N2594" s="23" t="n">
        <v>2016</v>
      </c>
      <c r="O2594" s="23" t="n">
        <v>105</v>
      </c>
      <c r="P2594" s="23" t="n"/>
      <c r="Q2594" s="23" t="n"/>
      <c r="R2594" s="25" t="inlineStr">
        <is>
          <t>Голливудский продюсер Эрл Дестер обязан своим спасением Глину Нэшу. В благодарность миллионер предлагает парню стать его личным шофером. Через некоторое время Дестер застрелился. Его очаровательная вдова и новый водитель вынашивают планы получения страховки на огромную сумму. Однако мертвец приготовил для них хитроумную ловушку...</t>
        </is>
      </c>
      <c r="S2594" s="26">
        <f>HYPERLINK("http://www.cnpol.ru/covers/0134.jpg","фото на сайте")</f>
        <v/>
      </c>
    </row>
    <row r="2595" ht="50.1" customHeight="1" s="3">
      <c r="A2595" s="23" t="n"/>
      <c r="B2595" s="24" t="inlineStr">
        <is>
          <t>0176</t>
        </is>
      </c>
      <c r="C2595" s="23" t="inlineStr">
        <is>
          <t>МКД НО</t>
        </is>
      </c>
      <c r="D2595" s="23" t="inlineStr">
        <is>
          <t>Чейз Д.Х.</t>
        </is>
      </c>
      <c r="E2595" s="23" t="inlineStr">
        <is>
          <t>За последней чертой</t>
        </is>
      </c>
      <c r="F2595" s="23" t="inlineStr">
        <is>
          <t>        </t>
        </is>
      </c>
      <c r="G2595" s="23" t="n">
        <v>177</v>
      </c>
      <c r="H2595" s="23" t="n">
        <v>10</v>
      </c>
      <c r="I2595" s="23" t="n">
        <v>32</v>
      </c>
      <c r="J2595" s="23" t="inlineStr">
        <is>
          <t>978-5-227-06958-0</t>
        </is>
      </c>
      <c r="K2595" s="23" t="inlineStr">
        <is>
          <t>70x90 1/32</t>
        </is>
      </c>
      <c r="L2595" s="23" t="inlineStr">
        <is>
          <t>мяг</t>
        </is>
      </c>
      <c r="M2595" s="23" t="n">
        <v>192</v>
      </c>
      <c r="N2595" s="23" t="n">
        <v>2016</v>
      </c>
      <c r="O2595" s="23" t="n">
        <v>80</v>
      </c>
      <c r="P2595" s="23" t="n"/>
      <c r="Q2595" s="23" t="n"/>
      <c r="R2595" s="25" t="inlineStr">
        <is>
          <t>В этих небольших, но очень емких новеллах Джеймса Хедли Чейза герои становятся действующими лицами кровавых драм и непоправимых трагедий, которые разыгрываются в их жизни из-за непомерных амбиций, слепой страсти, грязных денег и обыкновенного предательства...</t>
        </is>
      </c>
      <c r="S2595" s="26">
        <f>HYPERLINK("http://www.cnpol.ru/covers/0176.jpg","фото на сайте")</f>
        <v/>
      </c>
    </row>
    <row r="2596" ht="50.1" customHeight="1" s="3">
      <c r="A2596" s="23" t="n"/>
      <c r="B2596" s="24" t="inlineStr">
        <is>
          <t>0167</t>
        </is>
      </c>
      <c r="C2596" s="23" t="inlineStr">
        <is>
          <t>МКД НО</t>
        </is>
      </c>
      <c r="D2596" s="23" t="inlineStr">
        <is>
          <t>Чейз Д.Х.</t>
        </is>
      </c>
      <c r="E2596" s="23" t="inlineStr">
        <is>
          <t>Занятие для мужчин</t>
        </is>
      </c>
      <c r="F2596" s="23" t="inlineStr">
        <is>
          <t>        </t>
        </is>
      </c>
      <c r="G2596" s="23" t="n">
        <v>177</v>
      </c>
      <c r="H2596" s="23" t="n">
        <v>10</v>
      </c>
      <c r="I2596" s="23" t="n">
        <v>32</v>
      </c>
      <c r="J2596" s="23" t="inlineStr">
        <is>
          <t>978-5-227-06959-7</t>
        </is>
      </c>
      <c r="K2596" s="23" t="inlineStr">
        <is>
          <t>70x90 1/32</t>
        </is>
      </c>
      <c r="L2596" s="23" t="inlineStr">
        <is>
          <t>мяг</t>
        </is>
      </c>
      <c r="M2596" s="23" t="n">
        <v>224</v>
      </c>
      <c r="N2596" s="23" t="n">
        <v>2016</v>
      </c>
      <c r="O2596" s="23" t="n">
        <v>94</v>
      </c>
      <c r="P2596" s="23" t="n"/>
      <c r="Q2596" s="23" t="n"/>
      <c r="R2596" s="25" t="inlineStr">
        <is>
          <t>Владелец автомастерской становится объектом шантажа "Занятие для мужчин". Секретный агент рискует головой ради крупной суммы денег "Предоставьте это мне". Бывший военный, чтобы выжить, вспоминает свое смертельное ремесло "Хиппи на дороге". Героям Дж. Х. Чейза, короля мирового детектива, приходится порой совершать невозможное...</t>
        </is>
      </c>
      <c r="S2596" s="26">
        <f>HYPERLINK("http://www.cnpol.ru/covers/0167.jpg","фото на сайте")</f>
        <v/>
      </c>
    </row>
    <row r="2597" ht="50.1" customHeight="1" s="3">
      <c r="A2597" s="23" t="n"/>
      <c r="B2597" s="24" t="inlineStr">
        <is>
          <t>0132</t>
        </is>
      </c>
      <c r="C2597" s="23" t="inlineStr">
        <is>
          <t>МКД НО</t>
        </is>
      </c>
      <c r="D2597" s="23" t="inlineStr">
        <is>
          <t>Чейз Д.Х.</t>
        </is>
      </c>
      <c r="E2597" s="23" t="inlineStr">
        <is>
          <t>Заставьте танцевать мертвеца</t>
        </is>
      </c>
      <c r="F2597" s="23" t="inlineStr">
        <is>
          <t>        </t>
        </is>
      </c>
      <c r="G2597" s="23" t="n">
        <v>177</v>
      </c>
      <c r="H2597" s="23" t="n">
        <v>10</v>
      </c>
      <c r="I2597" s="23" t="n">
        <v>32</v>
      </c>
      <c r="J2597" s="23" t="inlineStr">
        <is>
          <t>978-5-227-06960-3</t>
        </is>
      </c>
      <c r="K2597" s="23" t="inlineStr">
        <is>
          <t>70x90 1/32</t>
        </is>
      </c>
      <c r="L2597" s="23" t="inlineStr">
        <is>
          <t>мяг</t>
        </is>
      </c>
      <c r="M2597" s="23" t="n">
        <v>256</v>
      </c>
      <c r="N2597" s="23" t="n">
        <v>2016</v>
      </c>
      <c r="O2597" s="23" t="n">
        <v>110</v>
      </c>
      <c r="P2597" s="23" t="n"/>
      <c r="Q2597" s="23" t="n"/>
      <c r="R2597" s="25" t="inlineStr">
        <is>
          <t>Толстяку Ролло сделали необычное предложение: за приличную сумму он должен узнать секрет таитян — как оживлять мертвецов. Ролло обратился к доктору Мартину, чтобы тот помог ему в этом дельце. Не долго думая Мартин предложил устроить перед заказчиком небольшое представление — оживить кого-нибудь, кто согласится побыть трупом.</t>
        </is>
      </c>
      <c r="S2597" s="26">
        <f>HYPERLINK("http://www.cnpol.ru/covers/0132.jpg","фото на сайте")</f>
        <v/>
      </c>
    </row>
    <row r="2598" ht="50.1" customHeight="1" s="3">
      <c r="A2598" s="23" t="n"/>
      <c r="B2598" s="24" t="inlineStr">
        <is>
          <t>0138</t>
        </is>
      </c>
      <c r="C2598" s="23" t="inlineStr">
        <is>
          <t>МКД НО</t>
        </is>
      </c>
      <c r="D2598" s="23" t="inlineStr">
        <is>
          <t>Чейз Д.Х.</t>
        </is>
      </c>
      <c r="E2598" s="23" t="inlineStr">
        <is>
          <t>Звонок мертвеца</t>
        </is>
      </c>
      <c r="F2598" s="23" t="inlineStr">
        <is>
          <t>        </t>
        </is>
      </c>
      <c r="G2598" s="23" t="n">
        <v>177</v>
      </c>
      <c r="H2598" s="23" t="n">
        <v>10</v>
      </c>
      <c r="I2598" s="23" t="n">
        <v>32</v>
      </c>
      <c r="J2598" s="23" t="inlineStr">
        <is>
          <t>978-5-227-06961-0</t>
        </is>
      </c>
      <c r="K2598" s="23" t="inlineStr">
        <is>
          <t>70x90 1/32</t>
        </is>
      </c>
      <c r="L2598" s="23" t="inlineStr">
        <is>
          <t>мяг</t>
        </is>
      </c>
      <c r="M2598" s="23" t="n">
        <v>256</v>
      </c>
      <c r="N2598" s="23" t="n">
        <v>2016</v>
      </c>
      <c r="O2598" s="23" t="n">
        <v>104</v>
      </c>
      <c r="P2598" s="23" t="n"/>
      <c r="Q2598" s="23" t="n"/>
      <c r="R2598" s="25" t="inlineStr">
        <is>
          <t>Хорошенькая танцовщица Фей Бенсон, звезда которой лишь начинала всходить, пропала. Девушка покинула гримерную в сценическом костюме, но на сцену не вышла. Почему никто на улицах города не обратил внимания на юную леди в блестящих шортах, в цилиндре, с едва прикрытой грудью?.._x000D_
Чет Слейден, сотрудник популярного журнала "Криминальные факты", выяснил, что те несколько человек, которые могли бы поведать, куда направилась Фей, вскоре после ее исчезновения погибли при странных обстоятельствах...</t>
        </is>
      </c>
      <c r="S2598" s="26">
        <f>HYPERLINK("http://www.cnpol.ru/covers/0138.jpg","фото на сайте")</f>
        <v/>
      </c>
    </row>
    <row r="2599" ht="50.1" customHeight="1" s="3">
      <c r="A2599" s="23" t="n"/>
      <c r="B2599" s="24" t="inlineStr">
        <is>
          <t>0139</t>
        </is>
      </c>
      <c r="C2599" s="23" t="inlineStr">
        <is>
          <t>МКД НО</t>
        </is>
      </c>
      <c r="D2599" s="23" t="inlineStr">
        <is>
          <t>Чейз Д.Х.</t>
        </is>
      </c>
      <c r="E2599" s="23" t="inlineStr">
        <is>
          <t>И мы очистим город</t>
        </is>
      </c>
      <c r="F2599" s="23" t="inlineStr">
        <is>
          <t>        </t>
        </is>
      </c>
      <c r="G2599" s="23" t="n">
        <v>177</v>
      </c>
      <c r="H2599" s="23" t="n">
        <v>10</v>
      </c>
      <c r="I2599" s="23" t="n">
        <v>32</v>
      </c>
      <c r="J2599" s="23" t="inlineStr">
        <is>
          <t>978-5-227-06962-7</t>
        </is>
      </c>
      <c r="K2599" s="23" t="inlineStr">
        <is>
          <t>70x90 1/32</t>
        </is>
      </c>
      <c r="L2599" s="23" t="inlineStr">
        <is>
          <t>мяг</t>
        </is>
      </c>
      <c r="M2599" s="23" t="n">
        <v>256</v>
      </c>
      <c r="N2599" s="23" t="n">
        <v>2016</v>
      </c>
      <c r="O2599" s="23" t="n">
        <v>110</v>
      </c>
      <c r="P2599" s="23" t="n"/>
      <c r="Q2599" s="23" t="n"/>
      <c r="R2599" s="25" t="inlineStr">
        <is>
          <t>Преступная организация, шесть лет державшая под контролем весь игорный бизнес небольшого промышленного городка, разлетелась вдребезги за три дня. А все потому, что легкомысленная Лорелли влюбилась в красавца Дьюка и совершенно случайно спутала все карты бывалым мафиози.</t>
        </is>
      </c>
      <c r="S2599" s="26">
        <f>HYPERLINK("http://www.cnpol.ru/covers/0139.jpg","фото на сайте")</f>
        <v/>
      </c>
    </row>
    <row r="2600" ht="50.1" customHeight="1" s="3">
      <c r="A2600" s="23" t="n"/>
      <c r="B2600" s="24" t="inlineStr">
        <is>
          <t>0169</t>
        </is>
      </c>
      <c r="C2600" s="23" t="inlineStr">
        <is>
          <t>МКД НО</t>
        </is>
      </c>
      <c r="D2600" s="23" t="inlineStr">
        <is>
          <t>Чейз Д.Х.</t>
        </is>
      </c>
      <c r="E2600" s="23" t="inlineStr">
        <is>
          <t>Игра по-крупному</t>
        </is>
      </c>
      <c r="F2600" s="23" t="inlineStr">
        <is>
          <t>        </t>
        </is>
      </c>
      <c r="G2600" s="23" t="n">
        <v>177</v>
      </c>
      <c r="H2600" s="23" t="n">
        <v>10</v>
      </c>
      <c r="I2600" s="23" t="n">
        <v>32</v>
      </c>
      <c r="J2600" s="23" t="inlineStr">
        <is>
          <t>978-5-227-06963-4</t>
        </is>
      </c>
      <c r="K2600" s="23" t="inlineStr">
        <is>
          <t>70x90 1/32</t>
        </is>
      </c>
      <c r="L2600" s="23" t="inlineStr">
        <is>
          <t>мяг</t>
        </is>
      </c>
      <c r="M2600" s="23" t="n">
        <v>256</v>
      </c>
      <c r="N2600" s="23" t="n">
        <v>2016</v>
      </c>
      <c r="O2600" s="23" t="n">
        <v>108</v>
      </c>
      <c r="P2600" s="23" t="n"/>
      <c r="Q2600" s="23" t="n"/>
      <c r="R2600" s="25" t="inlineStr">
        <is>
          <t>"Обманувшему ее любовнику Лариса готова простить причиненную боль, но только не исчезновение семейной реликвии. За помощью она обращается к опытному следователю Таранову, который решает помочь понравившейся ему женщине и начинает поиски злоумышленника.
В милицию тем временем одно за другим поступают заявления от женщин, обманутых неким Германом — брачным аферистом с необычной, яркой внешностью. Опытный экстрасенс, актриса в возрасте и многие другие женщины попадаются на его уловки. Что же толкает их, казалось бы вполне успешных, в объятия обманщика?
Там, где разум бессилен, порой только сердце по-настоящему любящей женщины может творить чудеса...
"</t>
        </is>
      </c>
      <c r="S2600" s="26">
        <f>HYPERLINK("http://www.cnpol.ru/covers/0169.jpg","фото на сайте")</f>
        <v/>
      </c>
    </row>
    <row r="2601" ht="50.1" customHeight="1" s="3">
      <c r="A2601" s="23" t="n"/>
      <c r="B2601" s="24" t="inlineStr">
        <is>
          <t>16818</t>
        </is>
      </c>
      <c r="C2601" s="23" t="inlineStr">
        <is>
          <t>МКД НО</t>
        </is>
      </c>
      <c r="D2601" s="23" t="inlineStr">
        <is>
          <t>Чейз Д.Х.</t>
        </is>
      </c>
      <c r="E2601" s="23" t="inlineStr">
        <is>
          <t>Избавьте меня от нее</t>
        </is>
      </c>
      <c r="F2601" s="23" t="inlineStr">
        <is>
          <t>        </t>
        </is>
      </c>
      <c r="G2601" s="23" t="n">
        <v>177</v>
      </c>
      <c r="H2601" s="23" t="n">
        <v>10</v>
      </c>
      <c r="I2601" s="23" t="n">
        <v>32</v>
      </c>
      <c r="J2601" s="23" t="inlineStr">
        <is>
          <t>978-5-227-06811-8</t>
        </is>
      </c>
      <c r="K2601" s="23" t="inlineStr">
        <is>
          <t>70x90 1/32</t>
        </is>
      </c>
      <c r="L2601" s="23" t="inlineStr">
        <is>
          <t>мяг</t>
        </is>
      </c>
      <c r="M2601" s="23" t="n">
        <v>256</v>
      </c>
      <c r="N2601" s="23" t="n">
        <v>2016</v>
      </c>
      <c r="O2601" s="23" t="n">
        <v>110</v>
      </c>
      <c r="P2601" s="23" t="n"/>
      <c r="Q2601" s="23" t="n"/>
      <c r="R2601" s="25" t="inlineStr">
        <is>
          <t>Ловкачу и вымогателю денег у богатых дамочек Джулиану Лукану сделали необычное предложение, убить жену миллионера, и посулили такую сумму, что он не мог отказаться. Для начала он решил навести справки, и, узнав, что это не так просто сделать, нанял киллера. Вдвоем они решают разыграть свою карту. И вот уже женщина похищена, а киллер требует с миллионера сумму, намного превышающую обещанный прежде «го­норар»...</t>
        </is>
      </c>
      <c r="S2601" s="26">
        <f>HYPERLINK("http://www.cnpol.ru/covers/16818.jpg","фото на сайте")</f>
        <v/>
      </c>
    </row>
    <row r="2602" ht="50.1" customHeight="1" s="3">
      <c r="A2602" s="23" t="n"/>
      <c r="B2602" s="24" t="inlineStr">
        <is>
          <t>13338</t>
        </is>
      </c>
      <c r="C2602" s="23" t="inlineStr">
        <is>
          <t>МКД НО</t>
        </is>
      </c>
      <c r="D2602" s="23" t="inlineStr">
        <is>
          <t>Чейз Д.Х.</t>
        </is>
      </c>
      <c r="E2602" s="23" t="inlineStr">
        <is>
          <t>Иногда деньги пахнут</t>
        </is>
      </c>
      <c r="F2602" s="23" t="inlineStr">
        <is>
          <t>        </t>
        </is>
      </c>
      <c r="G2602" s="23" t="n">
        <v>177</v>
      </c>
      <c r="H2602" s="23" t="n">
        <v>10</v>
      </c>
      <c r="I2602" s="23" t="n">
        <v>32</v>
      </c>
      <c r="J2602" s="23" t="inlineStr">
        <is>
          <t>978-5-227-03487-8</t>
        </is>
      </c>
      <c r="K2602" s="23" t="inlineStr">
        <is>
          <t>70x90 1/32</t>
        </is>
      </c>
      <c r="L2602" s="23" t="inlineStr">
        <is>
          <t>мяг</t>
        </is>
      </c>
      <c r="M2602" s="23" t="n">
        <v>250</v>
      </c>
      <c r="N2602" s="23" t="n">
        <v>2012</v>
      </c>
      <c r="O2602" s="23" t="n">
        <v>106</v>
      </c>
      <c r="P2602" s="23" t="n"/>
      <c r="Q2602" s="23" t="n"/>
      <c r="R2602" s="25" t="inlineStr">
        <is>
          <t>Генри Шерман, кандидат в президенты США, в разгар выборной кампании получает `сувенир из Парижа` - видеокассету с записью порнофильма, где главная героиня - его дочь. Огласка будет означать крах политической карьеры Шермана. Разобраться с шантажистом поручено бывшему агенту ЦРУ Гирланду.</t>
        </is>
      </c>
      <c r="S2602" s="26">
        <f>HYPERLINK("http://www.cnpol.ru/covers/13338.jpg","фото на сайте")</f>
        <v/>
      </c>
    </row>
    <row r="2603" ht="50.1" customHeight="1" s="3">
      <c r="A2603" s="23" t="n"/>
      <c r="B2603" s="24" t="inlineStr">
        <is>
          <t>0131</t>
        </is>
      </c>
      <c r="C2603" s="23" t="inlineStr">
        <is>
          <t>МКД НО</t>
        </is>
      </c>
      <c r="D2603" s="23" t="inlineStr">
        <is>
          <t>Чейз Д.Х.</t>
        </is>
      </c>
      <c r="E2603" s="23" t="inlineStr">
        <is>
          <t>Иногда деньги пахнут</t>
        </is>
      </c>
      <c r="F2603" s="23" t="inlineStr">
        <is>
          <t>        </t>
        </is>
      </c>
      <c r="G2603" s="23" t="n">
        <v>177</v>
      </c>
      <c r="H2603" s="23" t="n">
        <v>10</v>
      </c>
      <c r="I2603" s="23" t="n">
        <v>32</v>
      </c>
      <c r="J2603" s="23" t="inlineStr">
        <is>
          <t>978-5-227-06964-1</t>
        </is>
      </c>
      <c r="K2603" s="23" t="inlineStr">
        <is>
          <t>70x90 1/32</t>
        </is>
      </c>
      <c r="L2603" s="23" t="inlineStr">
        <is>
          <t>мяг</t>
        </is>
      </c>
      <c r="M2603" s="23" t="n">
        <v>256</v>
      </c>
      <c r="N2603" s="23" t="n">
        <v>2016</v>
      </c>
      <c r="O2603" s="23" t="n">
        <v>106</v>
      </c>
      <c r="P2603" s="23" t="n"/>
      <c r="Q2603" s="23" t="n"/>
      <c r="R2603" s="25" t="inlineStr">
        <is>
          <t>Генри Шерман, кандидат в президенты США, в разгар выборной кампании получает `сувенир из Парижа` - видеокассету с записью порнофильма, где главная героиня - его дочь. Огласка будет означать крах политической карьеры Шермана. Разобраться с шантажистом поручено бывшему агенту ЦРУ Гирланду.</t>
        </is>
      </c>
      <c r="S2603" s="26">
        <f>HYPERLINK("http://www.cnpol.ru/covers/0131.jpg","фото на сайте")</f>
        <v/>
      </c>
    </row>
    <row r="2604" ht="50.1" customHeight="1" s="3">
      <c r="A2604" s="23" t="n"/>
      <c r="B2604" s="24" t="inlineStr">
        <is>
          <t>0143</t>
        </is>
      </c>
      <c r="C2604" s="23" t="inlineStr">
        <is>
          <t>МКД НО</t>
        </is>
      </c>
      <c r="D2604" s="23" t="inlineStr">
        <is>
          <t>Чейз Д.Х.</t>
        </is>
      </c>
      <c r="E2604" s="23" t="inlineStr">
        <is>
          <t>Каждый умирает в одиночку</t>
        </is>
      </c>
      <c r="F2604" s="23" t="inlineStr">
        <is>
          <t>        </t>
        </is>
      </c>
      <c r="G2604" s="23" t="n">
        <v>177</v>
      </c>
      <c r="H2604" s="23" t="n">
        <v>10</v>
      </c>
      <c r="I2604" s="23" t="n">
        <v>32</v>
      </c>
      <c r="J2604" s="23" t="inlineStr">
        <is>
          <t>978-5-227-06965-8</t>
        </is>
      </c>
      <c r="K2604" s="23" t="inlineStr">
        <is>
          <t>70x90 1/32</t>
        </is>
      </c>
      <c r="L2604" s="23" t="inlineStr">
        <is>
          <t>мяг</t>
        </is>
      </c>
      <c r="M2604" s="23" t="n">
        <v>272</v>
      </c>
      <c r="N2604" s="23" t="n">
        <v>2016</v>
      </c>
      <c r="O2604" s="23" t="n">
        <v>114</v>
      </c>
      <c r="P2604" s="23" t="n"/>
      <c r="Q2604" s="23" t="n"/>
      <c r="R2604" s="25" t="inlineStr">
        <is>
          <t>Джей Серф, владелец крупной компании, подозревает, что его жену шантажируют. Обыскивая ее комнату, он находит чемодан с чужими вещами. Появляются новые во-просы: либо его жена  клептоманка, либо кто-то хочет ее дискредитировать. Но кто? ...</t>
        </is>
      </c>
      <c r="S2604" s="26">
        <f>HYPERLINK("http://www.cnpol.ru/covers/0143.jpg","фото на сайте")</f>
        <v/>
      </c>
    </row>
    <row r="2605" ht="50.1" customHeight="1" s="3">
      <c r="A2605" s="23" t="n"/>
      <c r="B2605" s="24" t="inlineStr">
        <is>
          <t>0141</t>
        </is>
      </c>
      <c r="C2605" s="23" t="inlineStr">
        <is>
          <t>МКД НО</t>
        </is>
      </c>
      <c r="D2605" s="23" t="inlineStr">
        <is>
          <t>Чейз Д.Х.</t>
        </is>
      </c>
      <c r="E2605" s="23" t="inlineStr">
        <is>
          <t>Когда прерывается фильм</t>
        </is>
      </c>
      <c r="F2605" s="23" t="inlineStr">
        <is>
          <t>        </t>
        </is>
      </c>
      <c r="G2605" s="23" t="n">
        <v>177</v>
      </c>
      <c r="H2605" s="23" t="n">
        <v>10</v>
      </c>
      <c r="I2605" s="23" t="n">
        <v>32</v>
      </c>
      <c r="J2605" s="23" t="inlineStr">
        <is>
          <t>978-5-227-06966-5</t>
        </is>
      </c>
      <c r="K2605" s="23" t="inlineStr">
        <is>
          <t>70x90 1/32</t>
        </is>
      </c>
      <c r="L2605" s="23" t="inlineStr">
        <is>
          <t>мяг</t>
        </is>
      </c>
      <c r="M2605" s="23" t="n">
        <v>256</v>
      </c>
      <c r="N2605" s="23" t="n">
        <v>2016</v>
      </c>
      <c r="O2605" s="23" t="n">
        <v>108</v>
      </c>
      <c r="P2605" s="23" t="n"/>
      <c r="Q2605" s="23" t="n"/>
      <c r="R2605" s="25" t="inlineStr">
        <is>
          <t>Частный детектив Терелл расследует дело о зверском убийстве молодой женщины, которая не брезговала проституцией. Золотая зажигалка, найденная рядом с трупом, как выяснилось, когда-то принадлежала зятю миллионера Бурнетта. Однако последние два года молодой человек находится под надзором врачей. Существует ли связь между семьей миллионера и убитой проституткой?</t>
        </is>
      </c>
      <c r="S2605" s="26">
        <f>HYPERLINK("http://www.cnpol.ru/covers/0141.jpg","фото на сайте")</f>
        <v/>
      </c>
    </row>
    <row r="2606" ht="50.1" customHeight="1" s="3">
      <c r="A2606" s="23" t="n"/>
      <c r="B2606" s="24" t="inlineStr">
        <is>
          <t>0140</t>
        </is>
      </c>
      <c r="C2606" s="23" t="inlineStr">
        <is>
          <t>МКД НО</t>
        </is>
      </c>
      <c r="D2606" s="23" t="inlineStr">
        <is>
          <t>Чейз Д.Х.</t>
        </is>
      </c>
      <c r="E2606" s="23" t="inlineStr">
        <is>
          <t>Кто останется жив-будет смеятся</t>
        </is>
      </c>
      <c r="F2606" s="23" t="inlineStr">
        <is>
          <t>        </t>
        </is>
      </c>
      <c r="G2606" s="23" t="n">
        <v>177</v>
      </c>
      <c r="H2606" s="23" t="n">
        <v>10</v>
      </c>
      <c r="I2606" s="23" t="n">
        <v>32</v>
      </c>
      <c r="J2606" s="23" t="inlineStr">
        <is>
          <t>978-5-227-06967-2</t>
        </is>
      </c>
      <c r="K2606" s="23" t="inlineStr">
        <is>
          <t>70x90 1/32</t>
        </is>
      </c>
      <c r="L2606" s="23" t="inlineStr">
        <is>
          <t>мяг</t>
        </is>
      </c>
      <c r="M2606" s="23" t="n">
        <v>256</v>
      </c>
      <c r="N2606" s="23" t="n">
        <v>2016</v>
      </c>
      <c r="O2606" s="23" t="n">
        <v>110</v>
      </c>
      <c r="P2606" s="23" t="n"/>
      <c r="Q2606" s="23" t="n"/>
      <c r="R2606" s="25" t="inlineStr">
        <is>
          <t>Когда специалист по банковским охранным системам Ларри Лукас познакомился с Глендой Марш, он был уверен, что обрел прекрасную любовницу. Но первое же свидание обернулось для него катастрофой. Неожиданно появившийся мистер Марш после стычки с Ларри оказывается убит. И теперь главарь банды грабителей, на которых работала Гленда, ставит перед Ларри условие — либо его сдают полиции, либо он помогает им ограбить банк с самой надежной системой защиты...</t>
        </is>
      </c>
      <c r="S2606" s="26">
        <f>HYPERLINK("http://www.cnpol.ru/covers/0140.jpg","фото на сайте")</f>
        <v/>
      </c>
    </row>
    <row r="2607" ht="50.1" customHeight="1" s="3">
      <c r="A2607" s="23" t="n"/>
      <c r="B2607" s="24" t="inlineStr">
        <is>
          <t>0170</t>
        </is>
      </c>
      <c r="C2607" s="23" t="inlineStr">
        <is>
          <t>МКД НО</t>
        </is>
      </c>
      <c r="D2607" s="23" t="inlineStr">
        <is>
          <t>Чейз Д.Х.</t>
        </is>
      </c>
      <c r="E2607" s="23" t="inlineStr">
        <is>
          <t>Легкие деньги</t>
        </is>
      </c>
      <c r="F2607" s="23" t="inlineStr">
        <is>
          <t>        </t>
        </is>
      </c>
      <c r="G2607" s="23" t="n">
        <v>177</v>
      </c>
      <c r="H2607" s="23" t="n">
        <v>10</v>
      </c>
      <c r="I2607" s="23" t="n">
        <v>32</v>
      </c>
      <c r="J2607" s="23" t="inlineStr">
        <is>
          <t>978-5-227-06968-9</t>
        </is>
      </c>
      <c r="K2607" s="23" t="inlineStr">
        <is>
          <t>70x90 1/32</t>
        </is>
      </c>
      <c r="L2607" s="23" t="inlineStr">
        <is>
          <t>мяг</t>
        </is>
      </c>
      <c r="M2607" s="23" t="n">
        <v>256</v>
      </c>
      <c r="N2607" s="23" t="n">
        <v>2016</v>
      </c>
      <c r="O2607" s="23" t="n">
        <v>110</v>
      </c>
      <c r="P2607" s="23" t="n"/>
      <c r="Q2607" s="23" t="n"/>
      <c r="R2607" s="25" t="inlineStr">
        <is>
          <t>Знакомство с проституткой Евой коренным образом меняет жизнь преуспевающего писателя Клива Фарстона ("Небеса могут подождать"). Биржевому спекулянту Престену Кайлу необходимо разработать план поиска похищенных сокровищ махараджи ("Легкие деньги"). Героям Дж.X.Чейза, короля мирового детектива, приходится порой совершать невозможное, чтобы выпутаться из сложной ситуации.</t>
        </is>
      </c>
      <c r="S2607" s="26">
        <f>HYPERLINK("http://www.cnpol.ru/covers/0170.jpg","фото на сайте")</f>
        <v/>
      </c>
    </row>
    <row r="2608" ht="50.1" customHeight="1" s="3">
      <c r="A2608" s="23" t="n"/>
      <c r="B2608" s="24" t="inlineStr">
        <is>
          <t>0149</t>
        </is>
      </c>
      <c r="C2608" s="23" t="inlineStr">
        <is>
          <t>МКД НО</t>
        </is>
      </c>
      <c r="D2608" s="23" t="inlineStr">
        <is>
          <t>Чейз Д.Х.</t>
        </is>
      </c>
      <c r="E2608" s="23" t="inlineStr">
        <is>
          <t>Лиса в капкане</t>
        </is>
      </c>
      <c r="F2608" s="23" t="inlineStr">
        <is>
          <t>        </t>
        </is>
      </c>
      <c r="G2608" s="23" t="n">
        <v>177</v>
      </c>
      <c r="H2608" s="23" t="n">
        <v>10</v>
      </c>
      <c r="I2608" s="23" t="n">
        <v>32</v>
      </c>
      <c r="J2608" s="23" t="inlineStr">
        <is>
          <t>978-5-227-06969-6</t>
        </is>
      </c>
      <c r="K2608" s="23" t="inlineStr">
        <is>
          <t>70x90 1/32</t>
        </is>
      </c>
      <c r="L2608" s="23" t="inlineStr">
        <is>
          <t>мяг</t>
        </is>
      </c>
      <c r="M2608" s="23" t="n">
        <v>256</v>
      </c>
      <c r="N2608" s="23" t="n">
        <v>2016</v>
      </c>
      <c r="O2608" s="23" t="n">
        <v>110</v>
      </c>
      <c r="P2608" s="23" t="n"/>
      <c r="Q2608" s="23" t="n"/>
      <c r="R2608" s="25" t="inlineStr">
        <is>
          <t>Став диктором фашистского радио, англичанин Кашмен обеспечил себе благополучие в военное время и ненависть соотечественников. Но он понимал, что конец Третьего рейха неизбежен, и разработал план спасения. Первый шаг сделан — Кашмен устроился работать в концлагерь и присмотрел подходящего британского солдата. Второй шаг оказался труднее...</t>
        </is>
      </c>
      <c r="S2608" s="26">
        <f>HYPERLINK("http://www.cnpol.ru/covers/0149.jpg","фото на сайте")</f>
        <v/>
      </c>
    </row>
    <row r="2609" ht="50.1" customHeight="1" s="3">
      <c r="A2609" s="23" t="n"/>
      <c r="B2609" s="24" t="inlineStr">
        <is>
          <t>0142</t>
        </is>
      </c>
      <c r="C2609" s="23" t="inlineStr">
        <is>
          <t>МКД НО</t>
        </is>
      </c>
      <c r="D2609" s="23" t="inlineStr">
        <is>
          <t>Чейз Д.Х.</t>
        </is>
      </c>
      <c r="E2609" s="23" t="inlineStr">
        <is>
          <t>Лучше остаться бедным</t>
        </is>
      </c>
      <c r="F2609" s="23" t="inlineStr">
        <is>
          <t>        </t>
        </is>
      </c>
      <c r="G2609" s="23" t="n">
        <v>177</v>
      </c>
      <c r="H2609" s="23" t="n">
        <v>10</v>
      </c>
      <c r="I2609" s="23" t="n">
        <v>32</v>
      </c>
      <c r="J2609" s="23" t="inlineStr">
        <is>
          <t>978-5-227-06971-9</t>
        </is>
      </c>
      <c r="K2609" s="23" t="inlineStr">
        <is>
          <t>70x90 1/32</t>
        </is>
      </c>
      <c r="L2609" s="23" t="inlineStr">
        <is>
          <t>мяг</t>
        </is>
      </c>
      <c r="M2609" s="23" t="n">
        <v>256</v>
      </c>
      <c r="N2609" s="23" t="n">
        <v>2016</v>
      </c>
      <c r="O2609" s="23" t="n">
        <v>108</v>
      </c>
      <c r="P2609" s="23" t="n"/>
      <c r="Q2609" s="23" t="n"/>
      <c r="R2609" s="25" t="inlineStr">
        <is>
          <t>Неудачник Дэйв Кэлвин не мог смириться с участью и скромными доходами банковского клерка и ждал подходящего случая, чтобы обогатиться. Как и хозяйка пансионата Кит, мечтавшая о шикарной и беззаботной жизни. Ко-     гда такая возможность им представилась, парочка начала осуществлять тщательно продуманный план ограбления банка...</t>
        </is>
      </c>
      <c r="S2609" s="26">
        <f>HYPERLINK("http://www.cnpol.ru/covers/0142.jpg","фото на сайте")</f>
        <v/>
      </c>
    </row>
    <row r="2610" ht="50.1" customHeight="1" s="3">
      <c r="A2610" s="23" t="n"/>
      <c r="B2610" s="24" t="inlineStr">
        <is>
          <t>16612</t>
        </is>
      </c>
      <c r="C2610" s="23" t="inlineStr">
        <is>
          <t>МКД НО</t>
        </is>
      </c>
      <c r="D2610" s="23" t="inlineStr">
        <is>
          <t>Чейз Д.Х.</t>
        </is>
      </c>
      <c r="E2610" s="23" t="inlineStr">
        <is>
          <t>Мертвые не кусаются</t>
        </is>
      </c>
      <c r="F2610" s="23" t="inlineStr">
        <is>
          <t>        </t>
        </is>
      </c>
      <c r="G2610" s="23" t="n">
        <v>177</v>
      </c>
      <c r="H2610" s="23" t="n">
        <v>10</v>
      </c>
      <c r="I2610" s="23" t="n">
        <v>32</v>
      </c>
      <c r="J2610" s="23" t="inlineStr">
        <is>
          <t>978-5-227-06548-3</t>
        </is>
      </c>
      <c r="K2610" s="23" t="inlineStr">
        <is>
          <t>70x90 1/32</t>
        </is>
      </c>
      <c r="L2610" s="23" t="inlineStr">
        <is>
          <t>мяг</t>
        </is>
      </c>
      <c r="M2610" s="23" t="n">
        <v>256</v>
      </c>
      <c r="N2610" s="23" t="n">
        <v>2016</v>
      </c>
      <c r="O2610" s="23" t="n">
        <v>106</v>
      </c>
      <c r="P2610" s="23" t="n"/>
      <c r="Q2610" s="23" t="n"/>
      <c r="R2610" s="25" t="n"/>
      <c r="S2610" s="26">
        <f>HYPERLINK("http://www.cnpol.ru/covers/16612.jpg","фото на сайте")</f>
        <v/>
      </c>
    </row>
    <row r="2611" ht="50.1" customHeight="1" s="3">
      <c r="A2611" s="23" t="n"/>
      <c r="B2611" s="24" t="inlineStr">
        <is>
          <t>0171</t>
        </is>
      </c>
      <c r="C2611" s="23" t="inlineStr">
        <is>
          <t>МКД НО</t>
        </is>
      </c>
      <c r="D2611" s="23" t="inlineStr">
        <is>
          <t>Чейз Д.Х.</t>
        </is>
      </c>
      <c r="E2611" s="23" t="inlineStr">
        <is>
          <t>Мертвые не кусаются</t>
        </is>
      </c>
      <c r="F2611" s="23" t="inlineStr">
        <is>
          <t>        </t>
        </is>
      </c>
      <c r="G2611" s="23" t="n">
        <v>177</v>
      </c>
      <c r="H2611" s="23" t="n">
        <v>10</v>
      </c>
      <c r="I2611" s="23" t="n">
        <v>32</v>
      </c>
      <c r="J2611" s="23" t="inlineStr">
        <is>
          <t>978-5-227-06972-6</t>
        </is>
      </c>
      <c r="K2611" s="23" t="inlineStr">
        <is>
          <t>70x90 1/32</t>
        </is>
      </c>
      <c r="L2611" s="23" t="inlineStr">
        <is>
          <t>мяг</t>
        </is>
      </c>
      <c r="M2611" s="23" t="n">
        <v>256</v>
      </c>
      <c r="N2611" s="23" t="n">
        <v>2016</v>
      </c>
      <c r="O2611" s="23" t="n">
        <v>106</v>
      </c>
      <c r="P2611" s="23" t="n"/>
      <c r="Q2611" s="23" t="n"/>
      <c r="R2611" s="25" t="n"/>
      <c r="S2611" s="26">
        <f>HYPERLINK("http://www.cnpol.ru/covers/0171.jpg","фото на сайте")</f>
        <v/>
      </c>
    </row>
    <row r="2612" ht="50.1" customHeight="1" s="3">
      <c r="A2612" s="23" t="n"/>
      <c r="B2612" s="24" t="inlineStr">
        <is>
          <t>0148</t>
        </is>
      </c>
      <c r="C2612" s="23" t="inlineStr">
        <is>
          <t>МКД НО</t>
        </is>
      </c>
      <c r="D2612" s="23" t="inlineStr">
        <is>
          <t>Чейз Д.Х.</t>
        </is>
      </c>
      <c r="E2612" s="23" t="inlineStr">
        <is>
          <t>Меткий стрелок</t>
        </is>
      </c>
      <c r="F2612" s="23" t="inlineStr">
        <is>
          <t>        </t>
        </is>
      </c>
      <c r="G2612" s="23" t="n">
        <v>177</v>
      </c>
      <c r="H2612" s="23" t="n">
        <v>10</v>
      </c>
      <c r="I2612" s="23" t="n">
        <v>32</v>
      </c>
      <c r="J2612" s="23" t="inlineStr">
        <is>
          <t>978-5-227-06973-3</t>
        </is>
      </c>
      <c r="K2612" s="23" t="inlineStr">
        <is>
          <t>70x90 1/32</t>
        </is>
      </c>
      <c r="L2612" s="23" t="inlineStr">
        <is>
          <t>мяг</t>
        </is>
      </c>
      <c r="M2612" s="23" t="n">
        <v>256</v>
      </c>
      <c r="N2612" s="23" t="n">
        <v>2016</v>
      </c>
      <c r="O2612" s="23" t="n">
        <v>110</v>
      </c>
      <c r="P2612" s="23" t="n"/>
      <c r="Q2612" s="23" t="n"/>
      <c r="R2612" s="25" t="n"/>
      <c r="S2612" s="26">
        <f>HYPERLINK("http://www.cnpol.ru/covers/0148.jpg","фото на сайте")</f>
        <v/>
      </c>
    </row>
    <row r="2613" ht="50.1" customHeight="1" s="3">
      <c r="A2613" s="23" t="n"/>
      <c r="B2613" s="24" t="inlineStr">
        <is>
          <t>0146</t>
        </is>
      </c>
      <c r="C2613" s="23" t="inlineStr">
        <is>
          <t>МКД НО</t>
        </is>
      </c>
      <c r="D2613" s="23" t="inlineStr">
        <is>
          <t>Чейз Д.Х.</t>
        </is>
      </c>
      <c r="E2613" s="23" t="inlineStr">
        <is>
          <t>Мисс Каллиган впадает в печаль</t>
        </is>
      </c>
      <c r="F2613" s="23" t="inlineStr">
        <is>
          <t>        </t>
        </is>
      </c>
      <c r="G2613" s="23" t="n">
        <v>177</v>
      </c>
      <c r="H2613" s="23" t="n">
        <v>10</v>
      </c>
      <c r="I2613" s="23" t="n">
        <v>32</v>
      </c>
      <c r="J2613" s="23" t="inlineStr">
        <is>
          <t>978-5-227-06974-0</t>
        </is>
      </c>
      <c r="K2613" s="23" t="inlineStr">
        <is>
          <t>70x90 1/32</t>
        </is>
      </c>
      <c r="L2613" s="23" t="inlineStr">
        <is>
          <t>мяг</t>
        </is>
      </c>
      <c r="M2613" s="23" t="n">
        <v>256</v>
      </c>
      <c r="N2613" s="23" t="n">
        <v>2016</v>
      </c>
      <c r="O2613" s="23" t="n">
        <v>110</v>
      </c>
      <c r="P2613" s="23" t="n"/>
      <c r="Q2613" s="23" t="n"/>
      <c r="R2613" s="25" t="n"/>
      <c r="S2613" s="26">
        <f>HYPERLINK("http://www.cnpol.ru/covers/0146.jpg","фото на сайте")</f>
        <v/>
      </c>
    </row>
    <row r="2614" ht="50.1" customHeight="1" s="3">
      <c r="A2614" s="23" t="n"/>
      <c r="B2614" s="24" t="inlineStr">
        <is>
          <t>0154</t>
        </is>
      </c>
      <c r="C2614" s="23" t="inlineStr">
        <is>
          <t>МКД НО</t>
        </is>
      </c>
      <c r="D2614" s="23" t="inlineStr">
        <is>
          <t>Чейз Д.Х.</t>
        </is>
      </c>
      <c r="E2614" s="23" t="inlineStr">
        <is>
          <t>Мисс Шамуэй правит бал</t>
        </is>
      </c>
      <c r="F2614" s="23" t="inlineStr">
        <is>
          <t>        </t>
        </is>
      </c>
      <c r="G2614" s="23" t="n">
        <v>177</v>
      </c>
      <c r="H2614" s="23" t="n">
        <v>10</v>
      </c>
      <c r="I2614" s="23" t="n">
        <v>32</v>
      </c>
      <c r="J2614" s="23" t="inlineStr">
        <is>
          <t>978-5-227-06975-7</t>
        </is>
      </c>
      <c r="K2614" s="23" t="inlineStr">
        <is>
          <t>70x90 1/32</t>
        </is>
      </c>
      <c r="L2614" s="23" t="inlineStr">
        <is>
          <t>мяг</t>
        </is>
      </c>
      <c r="M2614" s="23" t="n">
        <v>256</v>
      </c>
      <c r="N2614" s="23" t="n">
        <v>2016</v>
      </c>
      <c r="O2614" s="23" t="n">
        <v>108</v>
      </c>
      <c r="P2614" s="23" t="n"/>
      <c r="Q2614" s="23" t="n"/>
      <c r="R2614" s="25" t="n"/>
      <c r="S2614" s="26">
        <f>HYPERLINK("http://www.cnpol.ru/covers/0154.jpg","фото на сайте")</f>
        <v/>
      </c>
    </row>
    <row r="2615" ht="50.1" customHeight="1" s="3">
      <c r="A2615" s="23" t="n"/>
      <c r="B2615" s="24" t="inlineStr">
        <is>
          <t>16762</t>
        </is>
      </c>
      <c r="C2615" s="23" t="inlineStr">
        <is>
          <t>МКД НО</t>
        </is>
      </c>
      <c r="D2615" s="23" t="inlineStr">
        <is>
          <t>Чейз Д.Х.</t>
        </is>
      </c>
      <c r="E2615" s="23" t="inlineStr">
        <is>
          <t>Миссия в Венецию</t>
        </is>
      </c>
      <c r="F2615" s="23" t="inlineStr">
        <is>
          <t>        </t>
        </is>
      </c>
      <c r="G2615" s="23" t="n">
        <v>177</v>
      </c>
      <c r="H2615" s="23" t="n">
        <v>10</v>
      </c>
      <c r="I2615" s="23" t="n">
        <v>32</v>
      </c>
      <c r="J2615" s="23" t="inlineStr">
        <is>
          <t>978-5-227-06726-5</t>
        </is>
      </c>
      <c r="K2615" s="23" t="inlineStr">
        <is>
          <t>70x90 1/32</t>
        </is>
      </c>
      <c r="L2615" s="23" t="inlineStr">
        <is>
          <t>мяг</t>
        </is>
      </c>
      <c r="M2615" s="23" t="n">
        <v>256</v>
      </c>
      <c r="N2615" s="23" t="n">
        <v>2016</v>
      </c>
      <c r="O2615" s="23" t="n">
        <v>110</v>
      </c>
      <c r="P2615" s="23" t="n"/>
      <c r="Q2615" s="23" t="n"/>
      <c r="R2615" s="25" t="n"/>
      <c r="S2615" s="26">
        <f>HYPERLINK("http://www.cnpol.ru/covers/16762.jpg","фото на сайте")</f>
        <v/>
      </c>
    </row>
    <row r="2616" ht="50.1" customHeight="1" s="3">
      <c r="A2616" s="23" t="n"/>
      <c r="B2616" s="24" t="inlineStr">
        <is>
          <t>0153</t>
        </is>
      </c>
      <c r="C2616" s="23" t="inlineStr">
        <is>
          <t>МКД НО</t>
        </is>
      </c>
      <c r="D2616" s="23" t="inlineStr">
        <is>
          <t>Чейз Д.Х.</t>
        </is>
      </c>
      <c r="E2616" s="23" t="inlineStr">
        <is>
          <t>Миссия в Сиену</t>
        </is>
      </c>
      <c r="F2616" s="23" t="inlineStr">
        <is>
          <t>        </t>
        </is>
      </c>
      <c r="G2616" s="23" t="n">
        <v>177</v>
      </c>
      <c r="H2616" s="23" t="n">
        <v>10</v>
      </c>
      <c r="I2616" s="23" t="n">
        <v>32</v>
      </c>
      <c r="J2616" s="23" t="inlineStr">
        <is>
          <t>978-5-227-06977-1</t>
        </is>
      </c>
      <c r="K2616" s="23" t="inlineStr">
        <is>
          <t>70x90 1/32</t>
        </is>
      </c>
      <c r="L2616" s="23" t="inlineStr">
        <is>
          <t>мяг</t>
        </is>
      </c>
      <c r="M2616" s="23" t="n">
        <v>256</v>
      </c>
      <c r="N2616" s="23" t="n">
        <v>2016</v>
      </c>
      <c r="O2616" s="23" t="n">
        <v>106</v>
      </c>
      <c r="P2616" s="23" t="n"/>
      <c r="Q2616" s="23" t="n"/>
      <c r="R2616" s="25" t="n"/>
      <c r="S2616" s="26">
        <f>HYPERLINK("http://www.cnpol.ru/covers/0153.jpg","фото на сайте")</f>
        <v/>
      </c>
    </row>
    <row r="2617" ht="50.1" customHeight="1" s="3">
      <c r="A2617" s="23" t="n"/>
      <c r="B2617" s="24" t="inlineStr">
        <is>
          <t>0183</t>
        </is>
      </c>
      <c r="C2617" s="23" t="inlineStr">
        <is>
          <t>МКД НО</t>
        </is>
      </c>
      <c r="D2617" s="23" t="inlineStr">
        <is>
          <t>Чейз Д.Х.</t>
        </is>
      </c>
      <c r="E2617" s="23" t="inlineStr">
        <is>
          <t>Мэллори</t>
        </is>
      </c>
      <c r="F2617" s="23" t="inlineStr">
        <is>
          <t>        </t>
        </is>
      </c>
      <c r="G2617" s="23" t="n">
        <v>177</v>
      </c>
      <c r="H2617" s="23" t="n">
        <v>10</v>
      </c>
      <c r="I2617" s="23" t="n">
        <v>32</v>
      </c>
      <c r="J2617" s="23" t="inlineStr">
        <is>
          <t>978-5-227-06978-8</t>
        </is>
      </c>
      <c r="K2617" s="23" t="inlineStr">
        <is>
          <t>70x90 1/32</t>
        </is>
      </c>
      <c r="L2617" s="23" t="inlineStr">
        <is>
          <t>мяг</t>
        </is>
      </c>
      <c r="M2617" s="23" t="n">
        <v>256</v>
      </c>
      <c r="N2617" s="23" t="n">
        <v>2016</v>
      </c>
      <c r="O2617" s="23" t="n">
        <v>102</v>
      </c>
      <c r="P2617" s="23" t="n"/>
      <c r="Q2617" s="23" t="n"/>
      <c r="R2617" s="25" t="n"/>
      <c r="S2617" s="26">
        <f>HYPERLINK("http://www.cnpol.ru/covers/0183.jpg","фото на сайте")</f>
        <v/>
      </c>
    </row>
    <row r="2618" ht="50.1" customHeight="1" s="3">
      <c r="A2618" s="23" t="n"/>
      <c r="B2618" s="24" t="inlineStr">
        <is>
          <t>0147</t>
        </is>
      </c>
      <c r="C2618" s="23" t="inlineStr">
        <is>
          <t>МКД НО</t>
        </is>
      </c>
      <c r="D2618" s="23" t="inlineStr">
        <is>
          <t>Чейз Д.Х.</t>
        </is>
      </c>
      <c r="E2618" s="23" t="inlineStr">
        <is>
          <t>На что способны женщины</t>
        </is>
      </c>
      <c r="F2618" s="23" t="inlineStr">
        <is>
          <t>        </t>
        </is>
      </c>
      <c r="G2618" s="23" t="n">
        <v>177</v>
      </c>
      <c r="H2618" s="23" t="n">
        <v>10</v>
      </c>
      <c r="I2618" s="23" t="n">
        <v>32</v>
      </c>
      <c r="J2618" s="23" t="inlineStr">
        <is>
          <t>978-5-227-06979-5</t>
        </is>
      </c>
      <c r="K2618" s="23" t="inlineStr">
        <is>
          <t>70x90 1/32</t>
        </is>
      </c>
      <c r="L2618" s="23" t="inlineStr">
        <is>
          <t>мяг</t>
        </is>
      </c>
      <c r="M2618" s="23" t="n">
        <v>256</v>
      </c>
      <c r="N2618" s="23" t="n">
        <v>2016</v>
      </c>
      <c r="O2618" s="23" t="n">
        <v>110</v>
      </c>
      <c r="P2618" s="23" t="n"/>
      <c r="Q2618" s="23" t="n"/>
      <c r="R2618" s="25" t="n"/>
      <c r="S2618" s="26">
        <f>HYPERLINK("http://www.cnpol.ru/covers/0147.jpg","фото на сайте")</f>
        <v/>
      </c>
    </row>
    <row r="2619" ht="50.1" customHeight="1" s="3">
      <c r="A2619" s="23" t="n"/>
      <c r="B2619" s="24" t="inlineStr">
        <is>
          <t>14899</t>
        </is>
      </c>
      <c r="C2619" s="23" t="inlineStr">
        <is>
          <t>МКД НО</t>
        </is>
      </c>
      <c r="D2619" s="23" t="inlineStr">
        <is>
          <t>Чейз Д.Х.</t>
        </is>
      </c>
      <c r="E2619" s="23" t="inlineStr">
        <is>
          <t>Напрасное прикрытие</t>
        </is>
      </c>
      <c r="F2619" s="23" t="inlineStr">
        <is>
          <t>        </t>
        </is>
      </c>
      <c r="G2619" s="23" t="n">
        <v>177</v>
      </c>
      <c r="H2619" s="23" t="n">
        <v>10</v>
      </c>
      <c r="I2619" s="23" t="n">
        <v>32</v>
      </c>
      <c r="J2619" s="23" t="inlineStr">
        <is>
          <t>978-5-227-04882-0</t>
        </is>
      </c>
      <c r="K2619" s="23" t="inlineStr">
        <is>
          <t>70x90 1/32</t>
        </is>
      </c>
      <c r="L2619" s="23" t="inlineStr">
        <is>
          <t>мяг</t>
        </is>
      </c>
      <c r="M2619" s="23" t="n">
        <v>222</v>
      </c>
      <c r="N2619" s="23" t="n">
        <v>2014</v>
      </c>
      <c r="O2619" s="23" t="n">
        <v>92</v>
      </c>
      <c r="P2619" s="23" t="n"/>
      <c r="Q2619" s="23" t="n"/>
      <c r="R2619" s="25" t="n"/>
      <c r="S2619" s="26">
        <f>HYPERLINK("http://www.cnpol.ru/covers/14899.jpg","фото на сайте")</f>
        <v/>
      </c>
    </row>
    <row r="2620" ht="50.1" customHeight="1" s="3">
      <c r="A2620" s="23" t="n"/>
      <c r="B2620" s="24" t="inlineStr">
        <is>
          <t>0160</t>
        </is>
      </c>
      <c r="C2620" s="23" t="inlineStr">
        <is>
          <t>МКД НО</t>
        </is>
      </c>
      <c r="D2620" s="23" t="inlineStr">
        <is>
          <t>Чейз Д.Х.</t>
        </is>
      </c>
      <c r="E2620" s="23" t="inlineStr">
        <is>
          <t>Напрасное прикрытие</t>
        </is>
      </c>
      <c r="F2620" s="23" t="inlineStr">
        <is>
          <t>        </t>
        </is>
      </c>
      <c r="G2620" s="23" t="n">
        <v>177</v>
      </c>
      <c r="H2620" s="23" t="n">
        <v>10</v>
      </c>
      <c r="I2620" s="23" t="n">
        <v>32</v>
      </c>
      <c r="J2620" s="23" t="inlineStr">
        <is>
          <t>978-5-227-06980-1</t>
        </is>
      </c>
      <c r="K2620" s="23" t="inlineStr">
        <is>
          <t>70x90 1/32</t>
        </is>
      </c>
      <c r="L2620" s="23" t="inlineStr">
        <is>
          <t>мяг</t>
        </is>
      </c>
      <c r="M2620" s="23" t="n">
        <v>224</v>
      </c>
      <c r="N2620" s="23" t="n">
        <v>2016</v>
      </c>
      <c r="O2620" s="23" t="n">
        <v>92</v>
      </c>
      <c r="P2620" s="23" t="n"/>
      <c r="Q2620" s="23" t="n"/>
      <c r="R2620" s="25" t="n"/>
      <c r="S2620" s="26">
        <f>HYPERLINK("http://www.cnpol.ru/covers/0160.jpg","фото на сайте")</f>
        <v/>
      </c>
    </row>
    <row r="2621" ht="50.1" customHeight="1" s="3">
      <c r="A2621" s="23" t="n"/>
      <c r="B2621" s="24" t="inlineStr">
        <is>
          <t>0155</t>
        </is>
      </c>
      <c r="C2621" s="23" t="inlineStr">
        <is>
          <t>МКД НО</t>
        </is>
      </c>
      <c r="D2621" s="23" t="inlineStr">
        <is>
          <t>Чейз Д.Х.</t>
        </is>
      </c>
      <c r="E2621" s="23" t="inlineStr">
        <is>
          <t>Нас похоронят вместе</t>
        </is>
      </c>
      <c r="F2621" s="23" t="inlineStr">
        <is>
          <t>        </t>
        </is>
      </c>
      <c r="G2621" s="23" t="n">
        <v>177</v>
      </c>
      <c r="H2621" s="23" t="n">
        <v>10</v>
      </c>
      <c r="I2621" s="23" t="n">
        <v>32</v>
      </c>
      <c r="J2621" s="23" t="inlineStr">
        <is>
          <t>978-5-227-06981-8</t>
        </is>
      </c>
      <c r="K2621" s="23" t="inlineStr">
        <is>
          <t>70x90 1/32</t>
        </is>
      </c>
      <c r="L2621" s="23" t="inlineStr">
        <is>
          <t>мяг</t>
        </is>
      </c>
      <c r="M2621" s="23" t="n">
        <v>256</v>
      </c>
      <c r="N2621" s="23" t="n">
        <v>2016</v>
      </c>
      <c r="O2621" s="23" t="n">
        <v>106</v>
      </c>
      <c r="P2621" s="23" t="n"/>
      <c r="Q2621" s="23" t="n"/>
      <c r="R2621" s="25" t="n"/>
      <c r="S2621" s="26">
        <f>HYPERLINK("http://www.cnpol.ru/covers/0155.jpg","фото на сайте")</f>
        <v/>
      </c>
    </row>
    <row r="2622" ht="50.1" customHeight="1" s="3">
      <c r="A2622" s="23" t="n"/>
      <c r="B2622" s="24" t="inlineStr">
        <is>
          <t>16614</t>
        </is>
      </c>
      <c r="C2622" s="23" t="inlineStr">
        <is>
          <t>МКД НО</t>
        </is>
      </c>
      <c r="D2622" s="23" t="inlineStr">
        <is>
          <t>Чейз Д.Х.</t>
        </is>
      </c>
      <c r="E2622" s="23" t="inlineStr">
        <is>
          <t>Не тяни тигра за хвост</t>
        </is>
      </c>
      <c r="F2622" s="23" t="inlineStr">
        <is>
          <t>        </t>
        </is>
      </c>
      <c r="G2622" s="23" t="n">
        <v>177</v>
      </c>
      <c r="H2622" s="23" t="n">
        <v>10</v>
      </c>
      <c r="I2622" s="23" t="n">
        <v>32</v>
      </c>
      <c r="J2622" s="23" t="inlineStr">
        <is>
          <t>978-5-227-06549-0</t>
        </is>
      </c>
      <c r="K2622" s="23" t="inlineStr">
        <is>
          <t>70x90 1/32</t>
        </is>
      </c>
      <c r="L2622" s="23" t="inlineStr">
        <is>
          <t>мяг</t>
        </is>
      </c>
      <c r="M2622" s="23" t="n">
        <v>256</v>
      </c>
      <c r="N2622" s="23" t="n">
        <v>2016</v>
      </c>
      <c r="O2622" s="23" t="n">
        <v>106</v>
      </c>
      <c r="P2622" s="23" t="n"/>
      <c r="Q2622" s="23" t="n"/>
      <c r="R2622" s="25" t="n"/>
      <c r="S2622" s="26">
        <f>HYPERLINK("http://www.cnpol.ru/covers/16614.jpg","фото на сайте")</f>
        <v/>
      </c>
    </row>
    <row r="2623" ht="50.1" customHeight="1" s="3">
      <c r="A2623" s="23" t="n"/>
      <c r="B2623" s="24" t="inlineStr">
        <is>
          <t>0163</t>
        </is>
      </c>
      <c r="C2623" s="23" t="inlineStr">
        <is>
          <t>МКД НО</t>
        </is>
      </c>
      <c r="D2623" s="23" t="inlineStr">
        <is>
          <t>Чейз Д.Х.</t>
        </is>
      </c>
      <c r="E2623" s="23" t="inlineStr">
        <is>
          <t>Не тяни тигра за хвост</t>
        </is>
      </c>
      <c r="F2623" s="23" t="inlineStr">
        <is>
          <t>        </t>
        </is>
      </c>
      <c r="G2623" s="23" t="n">
        <v>177</v>
      </c>
      <c r="H2623" s="23" t="n">
        <v>10</v>
      </c>
      <c r="I2623" s="23" t="n">
        <v>32</v>
      </c>
      <c r="J2623" s="23" t="inlineStr">
        <is>
          <t>978-5-227-06982-5</t>
        </is>
      </c>
      <c r="K2623" s="23" t="inlineStr">
        <is>
          <t>70x90 1/32</t>
        </is>
      </c>
      <c r="L2623" s="23" t="inlineStr">
        <is>
          <t>мяг</t>
        </is>
      </c>
      <c r="M2623" s="23" t="n">
        <v>256</v>
      </c>
      <c r="N2623" s="23" t="n">
        <v>2016</v>
      </c>
      <c r="O2623" s="23" t="n">
        <v>106</v>
      </c>
      <c r="P2623" s="23" t="n"/>
      <c r="Q2623" s="23" t="n"/>
      <c r="R2623" s="25" t="n"/>
      <c r="S2623" s="26">
        <f>HYPERLINK("http://www.cnpol.ru/covers/0163.jpg","фото на сайте")</f>
        <v/>
      </c>
    </row>
    <row r="2624" ht="50.1" customHeight="1" s="3">
      <c r="A2624" s="23" t="n"/>
      <c r="B2624" s="24" t="inlineStr">
        <is>
          <t>0177</t>
        </is>
      </c>
      <c r="C2624" s="23" t="inlineStr">
        <is>
          <t>МКД НО</t>
        </is>
      </c>
      <c r="D2624" s="23" t="inlineStr">
        <is>
          <t>Чейз Д.Х.</t>
        </is>
      </c>
      <c r="E2624" s="23" t="inlineStr">
        <is>
          <t>Небеса могут подождать</t>
        </is>
      </c>
      <c r="F2624" s="23" t="inlineStr">
        <is>
          <t>        </t>
        </is>
      </c>
      <c r="G2624" s="23" t="n">
        <v>177</v>
      </c>
      <c r="H2624" s="23" t="n">
        <v>10</v>
      </c>
      <c r="I2624" s="23" t="n">
        <v>32</v>
      </c>
      <c r="J2624" s="23" t="inlineStr">
        <is>
          <t>978-5-227-06983-2</t>
        </is>
      </c>
      <c r="K2624" s="23" t="inlineStr">
        <is>
          <t>70x90 1/32</t>
        </is>
      </c>
      <c r="L2624" s="23" t="inlineStr">
        <is>
          <t>мяг</t>
        </is>
      </c>
      <c r="M2624" s="23" t="n">
        <v>288</v>
      </c>
      <c r="N2624" s="23" t="n">
        <v>2016</v>
      </c>
      <c r="O2624" s="23" t="n">
        <v>116</v>
      </c>
      <c r="P2624" s="23" t="n"/>
      <c r="Q2624" s="23" t="n"/>
      <c r="R2624" s="25" t="n"/>
      <c r="S2624" s="26">
        <f>HYPERLINK("http://www.cnpol.ru/covers/0177.jpg","фото на сайте")</f>
        <v/>
      </c>
    </row>
    <row r="2625" ht="50.1" customHeight="1" s="3">
      <c r="A2625" s="23" t="n"/>
      <c r="B2625" s="24" t="inlineStr">
        <is>
          <t>0157</t>
        </is>
      </c>
      <c r="C2625" s="23" t="inlineStr">
        <is>
          <t>МКД НО</t>
        </is>
      </c>
      <c r="D2625" s="23" t="inlineStr">
        <is>
          <t>Чейз Д.Х.</t>
        </is>
      </c>
      <c r="E2625" s="23" t="inlineStr">
        <is>
          <t>Негде спрятаться золотым рыбкам</t>
        </is>
      </c>
      <c r="F2625" s="23" t="inlineStr">
        <is>
          <t>        </t>
        </is>
      </c>
      <c r="G2625" s="23" t="n">
        <v>177</v>
      </c>
      <c r="H2625" s="23" t="n">
        <v>10</v>
      </c>
      <c r="I2625" s="23" t="n">
        <v>32</v>
      </c>
      <c r="J2625" s="23" t="inlineStr">
        <is>
          <t>978-5-227-06984-9</t>
        </is>
      </c>
      <c r="K2625" s="23" t="inlineStr">
        <is>
          <t>70x90 1/32</t>
        </is>
      </c>
      <c r="L2625" s="23" t="inlineStr">
        <is>
          <t>мяг</t>
        </is>
      </c>
      <c r="M2625" s="23" t="n">
        <v>256</v>
      </c>
      <c r="N2625" s="23" t="n">
        <v>2016</v>
      </c>
      <c r="O2625" s="23" t="n">
        <v>108</v>
      </c>
      <c r="P2625" s="23" t="n"/>
      <c r="Q2625" s="23" t="n"/>
      <c r="R2625" s="25" t="n"/>
      <c r="S2625" s="26">
        <f>HYPERLINK("http://www.cnpol.ru/covers/0157.jpg","фото на сайте")</f>
        <v/>
      </c>
    </row>
    <row r="2626" ht="50.1" customHeight="1" s="3">
      <c r="A2626" s="23" t="n"/>
      <c r="B2626" s="24" t="inlineStr">
        <is>
          <t>0152</t>
        </is>
      </c>
      <c r="C2626" s="23" t="inlineStr">
        <is>
          <t>МКД НО</t>
        </is>
      </c>
      <c r="D2626" s="23" t="inlineStr">
        <is>
          <t>Чейз Д.Х.</t>
        </is>
      </c>
      <c r="E2626" s="23" t="inlineStr">
        <is>
          <t>Нет орхидей для мисс Блэндиш</t>
        </is>
      </c>
      <c r="F2626" s="23" t="inlineStr">
        <is>
          <t>        </t>
        </is>
      </c>
      <c r="G2626" s="23" t="n">
        <v>177</v>
      </c>
      <c r="H2626" s="23" t="n">
        <v>10</v>
      </c>
      <c r="I2626" s="23" t="n">
        <v>32</v>
      </c>
      <c r="J2626" s="23" t="inlineStr">
        <is>
          <t>978-5-227-06985-6</t>
        </is>
      </c>
      <c r="K2626" s="23" t="inlineStr">
        <is>
          <t>70x90 1/32</t>
        </is>
      </c>
      <c r="L2626" s="23" t="inlineStr">
        <is>
          <t>мяг</t>
        </is>
      </c>
      <c r="M2626" s="23" t="n">
        <v>256</v>
      </c>
      <c r="N2626" s="23" t="n">
        <v>2016</v>
      </c>
      <c r="O2626" s="23" t="n">
        <v>108</v>
      </c>
      <c r="P2626" s="23" t="n"/>
      <c r="Q2626" s="23" t="n"/>
      <c r="R2626" s="25" t="n"/>
      <c r="S2626" s="26">
        <f>HYPERLINK("http://www.cnpol.ru/covers/0152.jpg","фото на сайте")</f>
        <v/>
      </c>
    </row>
    <row r="2627" ht="50.1" customHeight="1" s="3">
      <c r="A2627" s="23" t="n"/>
      <c r="B2627" s="24" t="inlineStr">
        <is>
          <t>13519</t>
        </is>
      </c>
      <c r="C2627" s="23" t="inlineStr">
        <is>
          <t>МКД НО</t>
        </is>
      </c>
      <c r="D2627" s="23" t="inlineStr">
        <is>
          <t>Чейз Д.Х.</t>
        </is>
      </c>
      <c r="E2627" s="23" t="inlineStr">
        <is>
          <t>Ночной звонок</t>
        </is>
      </c>
      <c r="F2627" s="23" t="inlineStr">
        <is>
          <t>        </t>
        </is>
      </c>
      <c r="G2627" s="23" t="n">
        <v>177</v>
      </c>
      <c r="H2627" s="23" t="n">
        <v>10</v>
      </c>
      <c r="I2627" s="23" t="n">
        <v>32</v>
      </c>
      <c r="J2627" s="23" t="inlineStr">
        <is>
          <t>978-5-227-03645-2</t>
        </is>
      </c>
      <c r="K2627" s="23" t="inlineStr">
        <is>
          <t>70x90 1/32</t>
        </is>
      </c>
      <c r="L2627" s="23" t="inlineStr">
        <is>
          <t>мяг</t>
        </is>
      </c>
      <c r="M2627" s="23" t="n">
        <v>252</v>
      </c>
      <c r="N2627" s="23" t="n">
        <v>2012</v>
      </c>
      <c r="O2627" s="23" t="n">
        <v>108</v>
      </c>
      <c r="P2627" s="23" t="n"/>
      <c r="Q2627" s="23" t="n"/>
      <c r="R2627" s="25" t="n"/>
      <c r="S2627" s="26">
        <f>HYPERLINK("http://www.cnpol.ru/covers/13519.jpg","фото на сайте")</f>
        <v/>
      </c>
    </row>
    <row r="2628" ht="50.1" customHeight="1" s="3">
      <c r="A2628" s="23" t="n"/>
      <c r="B2628" s="24" t="inlineStr">
        <is>
          <t>0151</t>
        </is>
      </c>
      <c r="C2628" s="23" t="inlineStr">
        <is>
          <t>МКД НО</t>
        </is>
      </c>
      <c r="D2628" s="23" t="inlineStr">
        <is>
          <t>Чейз Д.Х.</t>
        </is>
      </c>
      <c r="E2628" s="23" t="inlineStr">
        <is>
          <t>Ночной звонок</t>
        </is>
      </c>
      <c r="F2628" s="23" t="inlineStr">
        <is>
          <t>        </t>
        </is>
      </c>
      <c r="G2628" s="23" t="n">
        <v>177</v>
      </c>
      <c r="H2628" s="23" t="n">
        <v>10</v>
      </c>
      <c r="I2628" s="23" t="n">
        <v>32</v>
      </c>
      <c r="J2628" s="23" t="inlineStr">
        <is>
          <t>978-5-227-06986-3</t>
        </is>
      </c>
      <c r="K2628" s="23" t="inlineStr">
        <is>
          <t>70x90 1/32</t>
        </is>
      </c>
      <c r="L2628" s="23" t="inlineStr">
        <is>
          <t>мяг</t>
        </is>
      </c>
      <c r="M2628" s="23" t="n">
        <v>256</v>
      </c>
      <c r="N2628" s="23" t="n">
        <v>2016</v>
      </c>
      <c r="O2628" s="23" t="n">
        <v>108</v>
      </c>
      <c r="P2628" s="23" t="n"/>
      <c r="Q2628" s="23" t="n"/>
      <c r="R2628" s="25" t="n"/>
      <c r="S2628" s="26">
        <f>HYPERLINK("http://www.cnpol.ru/covers/0151.jpg","фото на сайте")</f>
        <v/>
      </c>
    </row>
    <row r="2629" ht="50.1" customHeight="1" s="3">
      <c r="A2629" s="23" t="n"/>
      <c r="B2629" s="24" t="inlineStr">
        <is>
          <t>15912</t>
        </is>
      </c>
      <c r="C2629" s="23" t="inlineStr">
        <is>
          <t>МКД НО</t>
        </is>
      </c>
      <c r="D2629" s="23" t="inlineStr">
        <is>
          <t>Чейз Д.Х.</t>
        </is>
      </c>
      <c r="E2629" s="23" t="inlineStr">
        <is>
          <t>Однажды ясным летним утром</t>
        </is>
      </c>
      <c r="F2629" s="23" t="inlineStr">
        <is>
          <t>        </t>
        </is>
      </c>
      <c r="G2629" s="23" t="n">
        <v>177</v>
      </c>
      <c r="H2629" s="23" t="n">
        <v>10</v>
      </c>
      <c r="I2629" s="23" t="n">
        <v>32</v>
      </c>
      <c r="J2629" s="23" t="inlineStr">
        <is>
          <t>978-5-227-05852-2</t>
        </is>
      </c>
      <c r="K2629" s="23" t="inlineStr">
        <is>
          <t>70x90 1/32</t>
        </is>
      </c>
      <c r="L2629" s="23" t="inlineStr">
        <is>
          <t>мяг</t>
        </is>
      </c>
      <c r="M2629" s="23" t="n">
        <v>288</v>
      </c>
      <c r="N2629" s="23" t="n">
        <v>2015</v>
      </c>
      <c r="O2629" s="23" t="n">
        <v>116</v>
      </c>
      <c r="P2629" s="23" t="n"/>
      <c r="Q2629" s="23" t="n"/>
      <c r="R2629" s="25" t="n"/>
      <c r="S2629" s="26">
        <f>HYPERLINK("http://www.cnpol.ru/covers/15912.jpg","фото на сайте")</f>
        <v/>
      </c>
    </row>
    <row r="2630" ht="50.1" customHeight="1" s="3">
      <c r="A2630" s="23" t="n"/>
      <c r="B2630" s="24" t="inlineStr">
        <is>
          <t>0137</t>
        </is>
      </c>
      <c r="C2630" s="23" t="inlineStr">
        <is>
          <t>МКД НО</t>
        </is>
      </c>
      <c r="D2630" s="23" t="inlineStr">
        <is>
          <t>Чейз Д.Х.</t>
        </is>
      </c>
      <c r="E2630" s="23" t="inlineStr">
        <is>
          <t>Однажды ясным летним утром</t>
        </is>
      </c>
      <c r="F2630" s="23" t="inlineStr">
        <is>
          <t>        </t>
        </is>
      </c>
      <c r="G2630" s="23" t="n">
        <v>177</v>
      </c>
      <c r="H2630" s="23" t="n">
        <v>10</v>
      </c>
      <c r="I2630" s="23" t="n">
        <v>32</v>
      </c>
      <c r="J2630" s="23" t="inlineStr">
        <is>
          <t>978-5-227-06987-0</t>
        </is>
      </c>
      <c r="K2630" s="23" t="inlineStr">
        <is>
          <t>70x90 1/32</t>
        </is>
      </c>
      <c r="L2630" s="23" t="inlineStr">
        <is>
          <t>мяг</t>
        </is>
      </c>
      <c r="M2630" s="23" t="n">
        <v>288</v>
      </c>
      <c r="N2630" s="23" t="n">
        <v>2016</v>
      </c>
      <c r="O2630" s="23" t="n">
        <v>116</v>
      </c>
      <c r="P2630" s="23" t="n"/>
      <c r="Q2630" s="23" t="n"/>
      <c r="R2630" s="25" t="n"/>
      <c r="S2630" s="26">
        <f>HYPERLINK("http://www.cnpol.ru/covers/0137.jpg","фото на сайте")</f>
        <v/>
      </c>
    </row>
    <row r="2631" ht="50.1" customHeight="1" s="3">
      <c r="A2631" s="23" t="n"/>
      <c r="B2631" s="24" t="inlineStr">
        <is>
          <t>0150</t>
        </is>
      </c>
      <c r="C2631" s="23" t="inlineStr">
        <is>
          <t>МКД НО</t>
        </is>
      </c>
      <c r="D2631" s="23" t="inlineStr">
        <is>
          <t>Чейз Д.Х.</t>
        </is>
      </c>
      <c r="E2631" s="23" t="inlineStr">
        <is>
          <t>Опаснее мужчины</t>
        </is>
      </c>
      <c r="F2631" s="23" t="inlineStr">
        <is>
          <t>        </t>
        </is>
      </c>
      <c r="G2631" s="23" t="n">
        <v>177</v>
      </c>
      <c r="H2631" s="23" t="n">
        <v>10</v>
      </c>
      <c r="I2631" s="23" t="n">
        <v>32</v>
      </c>
      <c r="J2631" s="23" t="inlineStr">
        <is>
          <t>978-5-227-06988-7</t>
        </is>
      </c>
      <c r="K2631" s="23" t="inlineStr">
        <is>
          <t>70x90 1/32</t>
        </is>
      </c>
      <c r="L2631" s="23" t="inlineStr">
        <is>
          <t>мяг</t>
        </is>
      </c>
      <c r="M2631" s="23" t="n">
        <v>256</v>
      </c>
      <c r="N2631" s="23" t="n">
        <v>2016</v>
      </c>
      <c r="O2631" s="23" t="n">
        <v>110</v>
      </c>
      <c r="P2631" s="23" t="n"/>
      <c r="Q2631" s="23" t="n"/>
      <c r="R2631" s="25" t="n"/>
      <c r="S2631" s="26">
        <f>HYPERLINK("http://www.cnpol.ru/covers/0150.jpg","фото на сайте")</f>
        <v/>
      </c>
    </row>
    <row r="2632" ht="50.1" customHeight="1" s="3">
      <c r="A2632" s="23" t="n"/>
      <c r="B2632" s="24" t="inlineStr">
        <is>
          <t>0122</t>
        </is>
      </c>
      <c r="C2632" s="23" t="inlineStr">
        <is>
          <t>МКД НО</t>
        </is>
      </c>
      <c r="D2632" s="23" t="inlineStr">
        <is>
          <t>Чейз Д.Х.</t>
        </is>
      </c>
      <c r="E2632" s="23" t="inlineStr">
        <is>
          <t>Оплата наличными</t>
        </is>
      </c>
      <c r="F2632" s="23" t="inlineStr">
        <is>
          <t>        </t>
        </is>
      </c>
      <c r="G2632" s="23" t="n">
        <v>177</v>
      </c>
      <c r="H2632" s="23" t="n">
        <v>10</v>
      </c>
      <c r="I2632" s="23" t="n">
        <v>32</v>
      </c>
      <c r="J2632" s="23" t="inlineStr">
        <is>
          <t>978-5-227-06989-4</t>
        </is>
      </c>
      <c r="K2632" s="23" t="inlineStr">
        <is>
          <t>70x90 1/32</t>
        </is>
      </c>
      <c r="L2632" s="23" t="inlineStr">
        <is>
          <t>мяг</t>
        </is>
      </c>
      <c r="M2632" s="23" t="n">
        <v>256</v>
      </c>
      <c r="N2632" s="23" t="n">
        <v>2016</v>
      </c>
      <c r="O2632" s="23" t="n">
        <v>98</v>
      </c>
      <c r="P2632" s="23" t="n"/>
      <c r="Q2632" s="23" t="n"/>
      <c r="R2632" s="25" t="n"/>
      <c r="S2632" s="26">
        <f>HYPERLINK("http://www.cnpol.ru/covers/0122.jpg","фото на сайте")</f>
        <v/>
      </c>
    </row>
    <row r="2633" ht="50.1" customHeight="1" s="3">
      <c r="A2633" s="23" t="n"/>
      <c r="B2633" s="24" t="inlineStr">
        <is>
          <t>13675</t>
        </is>
      </c>
      <c r="C2633" s="23" t="inlineStr">
        <is>
          <t>МКД НО</t>
        </is>
      </c>
      <c r="D2633" s="23" t="inlineStr">
        <is>
          <t>Чейз Д.Х.</t>
        </is>
      </c>
      <c r="E2633" s="23" t="inlineStr">
        <is>
          <t>Осторожный убийца</t>
        </is>
      </c>
      <c r="F2633" s="23" t="inlineStr">
        <is>
          <t>        </t>
        </is>
      </c>
      <c r="G2633" s="23" t="n">
        <v>177</v>
      </c>
      <c r="H2633" s="23" t="n">
        <v>10</v>
      </c>
      <c r="I2633" s="23" t="n">
        <v>24</v>
      </c>
      <c r="J2633" s="23" t="inlineStr">
        <is>
          <t>978-5-227-03716-9</t>
        </is>
      </c>
      <c r="K2633" s="23" t="inlineStr">
        <is>
          <t>70x90 1/32</t>
        </is>
      </c>
      <c r="L2633" s="23" t="inlineStr">
        <is>
          <t>мяг</t>
        </is>
      </c>
      <c r="M2633" s="23" t="n">
        <v>252</v>
      </c>
      <c r="N2633" s="23" t="n">
        <v>2012</v>
      </c>
      <c r="O2633" s="23" t="n">
        <v>100</v>
      </c>
      <c r="P2633" s="23" t="n"/>
      <c r="Q2633" s="23" t="n"/>
      <c r="R2633" s="25" t="n"/>
      <c r="S2633" s="26">
        <f>HYPERLINK("http://www.cnpol.ru/covers/13675.jpg","фото на сайте")</f>
        <v/>
      </c>
    </row>
    <row r="2634" ht="50.1" customHeight="1" s="3">
      <c r="A2634" s="23" t="n"/>
      <c r="B2634" s="24" t="inlineStr">
        <is>
          <t>0107</t>
        </is>
      </c>
      <c r="C2634" s="23" t="inlineStr">
        <is>
          <t>МКД НО</t>
        </is>
      </c>
      <c r="D2634" s="23" t="inlineStr">
        <is>
          <t>Чейз Д.Х.</t>
        </is>
      </c>
      <c r="E2634" s="23" t="inlineStr">
        <is>
          <t>Осторожный убийца</t>
        </is>
      </c>
      <c r="F2634" s="23" t="inlineStr">
        <is>
          <t>        </t>
        </is>
      </c>
      <c r="G2634" s="23" t="n">
        <v>177</v>
      </c>
      <c r="H2634" s="23" t="n">
        <v>10</v>
      </c>
      <c r="I2634" s="23" t="n">
        <v>32</v>
      </c>
      <c r="J2634" s="23" t="inlineStr">
        <is>
          <t>978-5-227-06990-0</t>
        </is>
      </c>
      <c r="K2634" s="23" t="inlineStr">
        <is>
          <t>70x90 1/32</t>
        </is>
      </c>
      <c r="L2634" s="23" t="inlineStr">
        <is>
          <t>мяг</t>
        </is>
      </c>
      <c r="M2634" s="23" t="n">
        <v>250</v>
      </c>
      <c r="N2634" s="23" t="n">
        <v>2016</v>
      </c>
      <c r="O2634" s="23" t="n">
        <v>100</v>
      </c>
      <c r="P2634" s="23" t="n"/>
      <c r="Q2634" s="23" t="n"/>
      <c r="R2634" s="25" t="n"/>
      <c r="S2634" s="26">
        <f>HYPERLINK("http://www.cnpol.ru/covers/0107.jpg","фото на сайте")</f>
        <v/>
      </c>
    </row>
    <row r="2635" ht="50.1" customHeight="1" s="3">
      <c r="A2635" s="23" t="n"/>
      <c r="B2635" s="24" t="inlineStr">
        <is>
          <t>0110</t>
        </is>
      </c>
      <c r="C2635" s="23" t="inlineStr">
        <is>
          <t>МКД НО</t>
        </is>
      </c>
      <c r="D2635" s="23" t="inlineStr">
        <is>
          <t>Чейз Д.Х.</t>
        </is>
      </c>
      <c r="E2635" s="23" t="inlineStr">
        <is>
          <t>Откройте - смерть</t>
        </is>
      </c>
      <c r="F2635" s="23" t="inlineStr">
        <is>
          <t>        </t>
        </is>
      </c>
      <c r="G2635" s="23" t="n">
        <v>177</v>
      </c>
      <c r="H2635" s="23" t="n">
        <v>10</v>
      </c>
      <c r="I2635" s="23" t="n">
        <v>32</v>
      </c>
      <c r="J2635" s="23" t="inlineStr">
        <is>
          <t>978-5-227-06991-7</t>
        </is>
      </c>
      <c r="K2635" s="23" t="inlineStr">
        <is>
          <t>70x90 1/32</t>
        </is>
      </c>
      <c r="L2635" s="23" t="inlineStr">
        <is>
          <t>мяг</t>
        </is>
      </c>
      <c r="M2635" s="23" t="n">
        <v>250</v>
      </c>
      <c r="N2635" s="23" t="n">
        <v>2016</v>
      </c>
      <c r="O2635" s="23" t="n">
        <v>110</v>
      </c>
      <c r="P2635" s="23" t="n"/>
      <c r="Q2635" s="23" t="n"/>
      <c r="R2635" s="25" t="n"/>
      <c r="S2635" s="26">
        <f>HYPERLINK("http://www.cnpol.ru/covers/0110.jpg","фото на сайте")</f>
        <v/>
      </c>
    </row>
    <row r="2636" ht="50.1" customHeight="1" s="3">
      <c r="A2636" s="23" t="n"/>
      <c r="B2636" s="24" t="inlineStr">
        <is>
          <t>0111</t>
        </is>
      </c>
      <c r="C2636" s="23" t="inlineStr">
        <is>
          <t>МКД НО</t>
        </is>
      </c>
      <c r="D2636" s="23" t="inlineStr">
        <is>
          <t>Чейз Д.Х.</t>
        </is>
      </c>
      <c r="E2636" s="23" t="inlineStr">
        <is>
          <t>Плохие вести от куклы</t>
        </is>
      </c>
      <c r="F2636" s="23" t="inlineStr">
        <is>
          <t>        </t>
        </is>
      </c>
      <c r="G2636" s="23" t="n">
        <v>177</v>
      </c>
      <c r="H2636" s="23" t="n">
        <v>10</v>
      </c>
      <c r="I2636" s="23" t="n">
        <v>32</v>
      </c>
      <c r="J2636" s="23" t="inlineStr">
        <is>
          <t>978-5-227-06992-4</t>
        </is>
      </c>
      <c r="K2636" s="23" t="inlineStr">
        <is>
          <t>70x90 1/32</t>
        </is>
      </c>
      <c r="L2636" s="23" t="inlineStr">
        <is>
          <t>мяг</t>
        </is>
      </c>
      <c r="M2636" s="23" t="n">
        <v>250</v>
      </c>
      <c r="N2636" s="23" t="n">
        <v>2016</v>
      </c>
      <c r="O2636" s="23" t="n">
        <v>110</v>
      </c>
      <c r="P2636" s="23" t="n"/>
      <c r="Q2636" s="23" t="n"/>
      <c r="R2636" s="25" t="n"/>
      <c r="S2636" s="26">
        <f>HYPERLINK("http://www.cnpol.ru/covers/0111.jpg","фото на сайте")</f>
        <v/>
      </c>
    </row>
    <row r="2637" ht="50.1" customHeight="1" s="3">
      <c r="A2637" s="23" t="n"/>
      <c r="B2637" s="24" t="inlineStr">
        <is>
          <t>0178</t>
        </is>
      </c>
      <c r="C2637" s="23" t="inlineStr">
        <is>
          <t>МКД НО</t>
        </is>
      </c>
      <c r="D2637" s="23" t="inlineStr">
        <is>
          <t>Чейз Д.Х.</t>
        </is>
      </c>
      <c r="E2637" s="23" t="inlineStr">
        <is>
          <t>По дороге к смерти</t>
        </is>
      </c>
      <c r="F2637" s="23" t="inlineStr">
        <is>
          <t>        </t>
        </is>
      </c>
      <c r="G2637" s="23" t="n">
        <v>177</v>
      </c>
      <c r="H2637" s="23" t="n">
        <v>10</v>
      </c>
      <c r="I2637" s="23" t="n">
        <v>32</v>
      </c>
      <c r="J2637" s="23" t="inlineStr">
        <is>
          <t>978-5-227-06993-1</t>
        </is>
      </c>
      <c r="K2637" s="23" t="inlineStr">
        <is>
          <t>70x90 1/32</t>
        </is>
      </c>
      <c r="L2637" s="23" t="inlineStr">
        <is>
          <t>мяг</t>
        </is>
      </c>
      <c r="M2637" s="23" t="n">
        <v>288</v>
      </c>
      <c r="N2637" s="23" t="n">
        <v>2016</v>
      </c>
      <c r="O2637" s="23" t="n">
        <v>118</v>
      </c>
      <c r="P2637" s="23" t="n"/>
      <c r="Q2637" s="23" t="n"/>
      <c r="R2637" s="25" t="n"/>
      <c r="S2637" s="26">
        <f>HYPERLINK("http://www.cnpol.ru/covers/0178.jpg","фото на сайте")</f>
        <v/>
      </c>
    </row>
    <row r="2638" ht="50.1" customHeight="1" s="3">
      <c r="A2638" s="23" t="n"/>
      <c r="B2638" s="24" t="inlineStr">
        <is>
          <t>0159</t>
        </is>
      </c>
      <c r="C2638" s="23" t="inlineStr">
        <is>
          <t>МКД НО</t>
        </is>
      </c>
      <c r="D2638" s="23" t="inlineStr">
        <is>
          <t>Чейз Д.Х.</t>
        </is>
      </c>
      <c r="E2638" s="23" t="inlineStr">
        <is>
          <t>Поверишь этому - поверишь всему</t>
        </is>
      </c>
      <c r="F2638" s="23" t="inlineStr">
        <is>
          <t>        </t>
        </is>
      </c>
      <c r="G2638" s="23" t="n">
        <v>177</v>
      </c>
      <c r="H2638" s="23" t="n">
        <v>10</v>
      </c>
      <c r="I2638" s="23" t="n">
        <v>32</v>
      </c>
      <c r="J2638" s="23" t="inlineStr">
        <is>
          <t>978-5-227-06994-8</t>
        </is>
      </c>
      <c r="K2638" s="23" t="inlineStr">
        <is>
          <t>70x90 1/32</t>
        </is>
      </c>
      <c r="L2638" s="23" t="inlineStr">
        <is>
          <t>мяг</t>
        </is>
      </c>
      <c r="M2638" s="23" t="n">
        <v>224</v>
      </c>
      <c r="N2638" s="23" t="n">
        <v>2016</v>
      </c>
      <c r="O2638" s="23" t="n">
        <v>106</v>
      </c>
      <c r="P2638" s="23" t="n"/>
      <c r="Q2638" s="23" t="n"/>
      <c r="R2638" s="25" t="n"/>
      <c r="S2638" s="26">
        <f>HYPERLINK("http://www.cnpol.ru/covers/0159.jpg","фото на сайте")</f>
        <v/>
      </c>
    </row>
    <row r="2639" ht="50.1" customHeight="1" s="3">
      <c r="A2639" s="23" t="n"/>
      <c r="B2639" s="24" t="inlineStr">
        <is>
          <t>15440</t>
        </is>
      </c>
      <c r="C2639" s="23" t="inlineStr">
        <is>
          <t>МКД НО</t>
        </is>
      </c>
      <c r="D2639" s="23" t="inlineStr">
        <is>
          <t>Чейз Д.Х.</t>
        </is>
      </c>
      <c r="E2639" s="23" t="inlineStr">
        <is>
          <t>Положите ее среди лилий</t>
        </is>
      </c>
      <c r="F2639" s="23" t="inlineStr">
        <is>
          <t>        </t>
        </is>
      </c>
      <c r="G2639" s="23" t="n">
        <v>177</v>
      </c>
      <c r="H2639" s="23" t="n">
        <v>10</v>
      </c>
      <c r="I2639" s="23" t="n">
        <v>32</v>
      </c>
      <c r="J2639" s="23" t="inlineStr">
        <is>
          <t>978-5-227-05442-5</t>
        </is>
      </c>
      <c r="K2639" s="23" t="inlineStr">
        <is>
          <t>70x90 1/32</t>
        </is>
      </c>
      <c r="L2639" s="23" t="inlineStr">
        <is>
          <t>мяг</t>
        </is>
      </c>
      <c r="M2639" s="23" t="n">
        <v>222</v>
      </c>
      <c r="N2639" s="23" t="n">
        <v>2014</v>
      </c>
      <c r="O2639" s="23" t="n">
        <v>96</v>
      </c>
      <c r="P2639" s="23" t="n"/>
      <c r="Q2639" s="23" t="n"/>
      <c r="R2639" s="25" t="n"/>
      <c r="S2639" s="26">
        <f>HYPERLINK("http://www.cnpol.ru/covers/15440.jpg","фото на сайте")</f>
        <v/>
      </c>
    </row>
    <row r="2640" ht="50.1" customHeight="1" s="3">
      <c r="A2640" s="23" t="n"/>
      <c r="B2640" s="24" t="inlineStr">
        <is>
          <t>0180</t>
        </is>
      </c>
      <c r="C2640" s="23" t="inlineStr">
        <is>
          <t>МКД НО</t>
        </is>
      </c>
      <c r="D2640" s="23" t="inlineStr">
        <is>
          <t>Чейз Д.Х.</t>
        </is>
      </c>
      <c r="E2640" s="23" t="inlineStr">
        <is>
          <t>Положите ее среди лилий</t>
        </is>
      </c>
      <c r="F2640" s="23" t="inlineStr">
        <is>
          <t>        </t>
        </is>
      </c>
      <c r="G2640" s="23" t="n">
        <v>177</v>
      </c>
      <c r="H2640" s="23" t="n">
        <v>10</v>
      </c>
      <c r="I2640" s="23" t="n">
        <v>32</v>
      </c>
      <c r="J2640" s="23" t="inlineStr">
        <is>
          <t>978-5-227-06995-5</t>
        </is>
      </c>
      <c r="K2640" s="23" t="inlineStr">
        <is>
          <t>70x90 1/32</t>
        </is>
      </c>
      <c r="L2640" s="23" t="inlineStr">
        <is>
          <t>мяг</t>
        </is>
      </c>
      <c r="M2640" s="23" t="n">
        <v>224</v>
      </c>
      <c r="N2640" s="23" t="n">
        <v>2016</v>
      </c>
      <c r="O2640" s="23" t="n">
        <v>96</v>
      </c>
      <c r="P2640" s="23" t="n"/>
      <c r="Q2640" s="23" t="n"/>
      <c r="R2640" s="25" t="n"/>
      <c r="S2640" s="26">
        <f>HYPERLINK("http://www.cnpol.ru/covers/0180.jpg","фото на сайте")</f>
        <v/>
      </c>
    </row>
    <row r="2641" ht="50.1" customHeight="1" s="3">
      <c r="A2641" s="23" t="n"/>
      <c r="B2641" s="24" t="inlineStr">
        <is>
          <t>15713</t>
        </is>
      </c>
      <c r="C2641" s="23" t="inlineStr">
        <is>
          <t>МКД НО</t>
        </is>
      </c>
      <c r="D2641" s="23" t="inlineStr">
        <is>
          <t>Чейз Д.Х.</t>
        </is>
      </c>
      <c r="E2641" s="23" t="inlineStr">
        <is>
          <t>Предоставьте это мне</t>
        </is>
      </c>
      <c r="F2641" s="23" t="inlineStr">
        <is>
          <t>        </t>
        </is>
      </c>
      <c r="G2641" s="23" t="n">
        <v>177</v>
      </c>
      <c r="H2641" s="23" t="n">
        <v>10</v>
      </c>
      <c r="I2641" s="23" t="n">
        <v>32</v>
      </c>
      <c r="J2641" s="23" t="inlineStr">
        <is>
          <t>978-5-227-05637-5</t>
        </is>
      </c>
      <c r="K2641" s="23" t="inlineStr">
        <is>
          <t>70x90 1/32</t>
        </is>
      </c>
      <c r="L2641" s="23" t="inlineStr">
        <is>
          <t>мяг</t>
        </is>
      </c>
      <c r="M2641" s="23" t="n">
        <v>222</v>
      </c>
      <c r="N2641" s="23" t="n">
        <v>2014</v>
      </c>
      <c r="O2641" s="23" t="n">
        <v>92</v>
      </c>
      <c r="P2641" s="23" t="n"/>
      <c r="Q2641" s="23" t="n"/>
      <c r="R2641" s="25" t="n"/>
      <c r="S2641" s="26">
        <f>HYPERLINK("http://www.cnpol.ru/covers/15713.jpg","фото на сайте")</f>
        <v/>
      </c>
    </row>
    <row r="2642" ht="50.1" customHeight="1" s="3">
      <c r="A2642" s="23" t="n"/>
      <c r="B2642" s="24" t="inlineStr">
        <is>
          <t>0181</t>
        </is>
      </c>
      <c r="C2642" s="23" t="inlineStr">
        <is>
          <t>МКД НО</t>
        </is>
      </c>
      <c r="D2642" s="23" t="inlineStr">
        <is>
          <t>Чейз Д.Х.</t>
        </is>
      </c>
      <c r="E2642" s="23" t="inlineStr">
        <is>
          <t>Предоставьте это мне</t>
        </is>
      </c>
      <c r="F2642" s="23" t="inlineStr">
        <is>
          <t>        </t>
        </is>
      </c>
      <c r="G2642" s="23" t="n">
        <v>177</v>
      </c>
      <c r="H2642" s="23" t="n">
        <v>10</v>
      </c>
      <c r="I2642" s="23" t="n">
        <v>32</v>
      </c>
      <c r="J2642" s="23" t="inlineStr">
        <is>
          <t>978-5-227-06996-2</t>
        </is>
      </c>
      <c r="K2642" s="23" t="inlineStr">
        <is>
          <t>70x90 1/32</t>
        </is>
      </c>
      <c r="L2642" s="23" t="inlineStr">
        <is>
          <t>мяг</t>
        </is>
      </c>
      <c r="M2642" s="23" t="n">
        <v>224</v>
      </c>
      <c r="N2642" s="23" t="n">
        <v>2016</v>
      </c>
      <c r="O2642" s="23" t="n">
        <v>92</v>
      </c>
      <c r="P2642" s="23" t="n"/>
      <c r="Q2642" s="23" t="n"/>
      <c r="R2642" s="25" t="n"/>
      <c r="S2642" s="26">
        <f>HYPERLINK("http://www.cnpol.ru/covers/0181.jpg","фото на сайте")</f>
        <v/>
      </c>
    </row>
    <row r="2643" ht="50.1" customHeight="1" s="3">
      <c r="A2643" s="23" t="n"/>
      <c r="B2643" s="24" t="inlineStr">
        <is>
          <t>0173</t>
        </is>
      </c>
      <c r="C2643" s="23" t="inlineStr">
        <is>
          <t>МКД НО</t>
        </is>
      </c>
      <c r="D2643" s="23" t="inlineStr">
        <is>
          <t>Чейз Д.Х.</t>
        </is>
      </c>
      <c r="E2643" s="23" t="inlineStr">
        <is>
          <t>Путь к богатству</t>
        </is>
      </c>
      <c r="F2643" s="23" t="inlineStr">
        <is>
          <t>        </t>
        </is>
      </c>
      <c r="G2643" s="23" t="n">
        <v>177</v>
      </c>
      <c r="H2643" s="23" t="n">
        <v>10</v>
      </c>
      <c r="I2643" s="23" t="n">
        <v>32</v>
      </c>
      <c r="J2643" s="23" t="inlineStr">
        <is>
          <t>978-5-227-06998-6</t>
        </is>
      </c>
      <c r="K2643" s="23" t="inlineStr">
        <is>
          <t>70x90 1/32</t>
        </is>
      </c>
      <c r="L2643" s="23" t="inlineStr">
        <is>
          <t>мяг</t>
        </is>
      </c>
      <c r="M2643" s="23" t="n">
        <v>256</v>
      </c>
      <c r="N2643" s="23" t="n">
        <v>2016</v>
      </c>
      <c r="O2643" s="23" t="n">
        <v>104</v>
      </c>
      <c r="P2643" s="23" t="n"/>
      <c r="Q2643" s="23" t="n"/>
      <c r="R2643" s="25" t="n"/>
      <c r="S2643" s="26">
        <f>HYPERLINK("http://www.cnpol.ru/covers/0173.jpg","фото на сайте")</f>
        <v/>
      </c>
    </row>
    <row r="2644" ht="50.1" customHeight="1" s="3">
      <c r="A2644" s="23" t="n"/>
      <c r="B2644" s="24" t="inlineStr">
        <is>
          <t>15757</t>
        </is>
      </c>
      <c r="C2644" s="23" t="inlineStr">
        <is>
          <t>МКД НО</t>
        </is>
      </c>
      <c r="D2644" s="23" t="inlineStr">
        <is>
          <t>Чейз Д.Х.</t>
        </is>
      </c>
      <c r="E2644" s="23" t="inlineStr">
        <is>
          <t>Расскажи это птичкам</t>
        </is>
      </c>
      <c r="F2644" s="23" t="inlineStr">
        <is>
          <t>        </t>
        </is>
      </c>
      <c r="G2644" s="23" t="n">
        <v>177</v>
      </c>
      <c r="H2644" s="23" t="n">
        <v>10</v>
      </c>
      <c r="I2644" s="23" t="n">
        <v>32</v>
      </c>
      <c r="J2644" s="23" t="inlineStr">
        <is>
          <t>978-5-227-05701-3</t>
        </is>
      </c>
      <c r="K2644" s="23" t="inlineStr">
        <is>
          <t>70x90 1/32</t>
        </is>
      </c>
      <c r="L2644" s="23" t="inlineStr">
        <is>
          <t>мяг</t>
        </is>
      </c>
      <c r="M2644" s="23" t="n">
        <v>253</v>
      </c>
      <c r="N2644" s="23" t="n">
        <v>2015</v>
      </c>
      <c r="O2644" s="23" t="n">
        <v>108</v>
      </c>
      <c r="P2644" s="23" t="n"/>
      <c r="Q2644" s="23" t="n"/>
      <c r="R2644" s="25" t="n"/>
      <c r="S2644" s="26">
        <f>HYPERLINK("http://www.cnpol.ru/covers/15757.jpg","фото на сайте")</f>
        <v/>
      </c>
    </row>
    <row r="2645" ht="50.1" customHeight="1" s="3">
      <c r="A2645" s="23" t="n"/>
      <c r="B2645" s="24" t="inlineStr">
        <is>
          <t>0106</t>
        </is>
      </c>
      <c r="C2645" s="23" t="inlineStr">
        <is>
          <t>МКД НО</t>
        </is>
      </c>
      <c r="D2645" s="23" t="inlineStr">
        <is>
          <t>Чейз Д.Х.</t>
        </is>
      </c>
      <c r="E2645" s="23" t="inlineStr">
        <is>
          <t>Расскажи это птичкам</t>
        </is>
      </c>
      <c r="F2645" s="23" t="inlineStr">
        <is>
          <t>        </t>
        </is>
      </c>
      <c r="G2645" s="23" t="n">
        <v>177</v>
      </c>
      <c r="H2645" s="23" t="n">
        <v>10</v>
      </c>
      <c r="I2645" s="23" t="n">
        <v>32</v>
      </c>
      <c r="J2645" s="23" t="inlineStr">
        <is>
          <t>978-5-227-06999-3</t>
        </is>
      </c>
      <c r="K2645" s="23" t="inlineStr">
        <is>
          <t>70x90 1/32</t>
        </is>
      </c>
      <c r="L2645" s="23" t="inlineStr">
        <is>
          <t>мяг</t>
        </is>
      </c>
      <c r="M2645" s="23" t="n">
        <v>250</v>
      </c>
      <c r="N2645" s="23" t="n">
        <v>2016</v>
      </c>
      <c r="O2645" s="23" t="n">
        <v>108</v>
      </c>
      <c r="P2645" s="23" t="n"/>
      <c r="Q2645" s="23" t="n"/>
      <c r="R2645" s="25" t="n"/>
      <c r="S2645" s="26">
        <f>HYPERLINK("http://www.cnpol.ru/covers/0106.jpg","фото на сайте")</f>
        <v/>
      </c>
    </row>
    <row r="2646" ht="50.1" customHeight="1" s="3">
      <c r="A2646" s="23" t="n"/>
      <c r="B2646" s="24" t="inlineStr">
        <is>
          <t>0101</t>
        </is>
      </c>
      <c r="C2646" s="23" t="inlineStr">
        <is>
          <t>МКД НО</t>
        </is>
      </c>
      <c r="D2646" s="23" t="inlineStr">
        <is>
          <t>Чейз Д.Х.</t>
        </is>
      </c>
      <c r="E2646" s="23" t="inlineStr">
        <is>
          <t>Реквием блондинкам</t>
        </is>
      </c>
      <c r="F2646" s="23" t="inlineStr">
        <is>
          <t>        </t>
        </is>
      </c>
      <c r="G2646" s="23" t="n">
        <v>177</v>
      </c>
      <c r="H2646" s="23" t="n">
        <v>10</v>
      </c>
      <c r="I2646" s="23" t="n">
        <v>32</v>
      </c>
      <c r="J2646" s="23" t="inlineStr">
        <is>
          <t>978-5-227-07000-5</t>
        </is>
      </c>
      <c r="K2646" s="23" t="inlineStr">
        <is>
          <t>70x90 1/32</t>
        </is>
      </c>
      <c r="L2646" s="23" t="inlineStr">
        <is>
          <t>мяг</t>
        </is>
      </c>
      <c r="M2646" s="23" t="n">
        <v>252</v>
      </c>
      <c r="N2646" s="23" t="n">
        <v>2016</v>
      </c>
      <c r="O2646" s="23" t="n">
        <v>108</v>
      </c>
      <c r="P2646" s="23" t="n"/>
      <c r="Q2646" s="23" t="n"/>
      <c r="R2646" s="25" t="n"/>
      <c r="S2646" s="26">
        <f>HYPERLINK("http://www.cnpol.ru/covers/0101.jpg","фото на сайте")</f>
        <v/>
      </c>
    </row>
    <row r="2647" ht="50.1" customHeight="1" s="3">
      <c r="A2647" s="23" t="n"/>
      <c r="B2647" s="24" t="inlineStr">
        <is>
          <t>14805</t>
        </is>
      </c>
      <c r="C2647" s="23" t="inlineStr">
        <is>
          <t>МКД НО</t>
        </is>
      </c>
      <c r="D2647" s="23" t="inlineStr">
        <is>
          <t>Чейз Д.Х.</t>
        </is>
      </c>
      <c r="E2647" s="23" t="inlineStr">
        <is>
          <t>Репортер Кейд</t>
        </is>
      </c>
      <c r="F2647" s="23" t="inlineStr">
        <is>
          <t>        </t>
        </is>
      </c>
      <c r="G2647" s="23" t="n">
        <v>177</v>
      </c>
      <c r="H2647" s="23" t="n">
        <v>10</v>
      </c>
      <c r="I2647" s="23" t="n">
        <v>32</v>
      </c>
      <c r="J2647" s="23" t="inlineStr">
        <is>
          <t>978-5-227-04736-6</t>
        </is>
      </c>
      <c r="K2647" s="23" t="inlineStr">
        <is>
          <t>70x90 1/32</t>
        </is>
      </c>
      <c r="L2647" s="23" t="inlineStr">
        <is>
          <t>мяг</t>
        </is>
      </c>
      <c r="M2647" s="23" t="n">
        <v>254</v>
      </c>
      <c r="N2647" s="23" t="n">
        <v>2014</v>
      </c>
      <c r="O2647" s="23" t="n">
        <v>104</v>
      </c>
      <c r="P2647" s="23" t="n"/>
      <c r="Q2647" s="23" t="n"/>
      <c r="R2647" s="25" t="n"/>
      <c r="S2647" s="26">
        <f>HYPERLINK("http://www.cnpol.ru/covers/14805.jpg","фото на сайте")</f>
        <v/>
      </c>
    </row>
    <row r="2648" ht="50.1" customHeight="1" s="3">
      <c r="A2648" s="23" t="n"/>
      <c r="B2648" s="24" t="inlineStr">
        <is>
          <t>0100</t>
        </is>
      </c>
      <c r="C2648" s="23" t="inlineStr">
        <is>
          <t>МКД НО</t>
        </is>
      </c>
      <c r="D2648" s="23" t="inlineStr">
        <is>
          <t>Чейз Д.Х.</t>
        </is>
      </c>
      <c r="E2648" s="23" t="inlineStr">
        <is>
          <t>Репортер Кейд</t>
        </is>
      </c>
      <c r="F2648" s="23" t="inlineStr">
        <is>
          <t>        </t>
        </is>
      </c>
      <c r="G2648" s="23" t="n">
        <v>177</v>
      </c>
      <c r="H2648" s="23" t="n">
        <v>10</v>
      </c>
      <c r="I2648" s="23" t="n">
        <v>32</v>
      </c>
      <c r="J2648" s="23" t="inlineStr">
        <is>
          <t>978-5-227-07001-2</t>
        </is>
      </c>
      <c r="K2648" s="23" t="inlineStr">
        <is>
          <t>70x90 1/32</t>
        </is>
      </c>
      <c r="L2648" s="23" t="inlineStr">
        <is>
          <t>мяг</t>
        </is>
      </c>
      <c r="M2648" s="23" t="n">
        <v>254</v>
      </c>
      <c r="N2648" s="23" t="n">
        <v>2016</v>
      </c>
      <c r="O2648" s="23" t="n">
        <v>104</v>
      </c>
      <c r="P2648" s="23" t="n"/>
      <c r="Q2648" s="23" t="n"/>
      <c r="R2648" s="25" t="n"/>
      <c r="S2648" s="26">
        <f>HYPERLINK("http://www.cnpol.ru/covers/0100.jpg","фото на сайте")</f>
        <v/>
      </c>
    </row>
    <row r="2649" ht="50.1" customHeight="1" s="3">
      <c r="A2649" s="23" t="n"/>
      <c r="B2649" s="24" t="inlineStr">
        <is>
          <t>0182</t>
        </is>
      </c>
      <c r="C2649" s="23" t="inlineStr">
        <is>
          <t>МКД НО</t>
        </is>
      </c>
      <c r="D2649" s="23" t="inlineStr">
        <is>
          <t>Чейз Д.Х.</t>
        </is>
      </c>
      <c r="E2649" s="23" t="inlineStr">
        <is>
          <t>Роковая женщина</t>
        </is>
      </c>
      <c r="F2649" s="23" t="inlineStr">
        <is>
          <t>        </t>
        </is>
      </c>
      <c r="G2649" s="23" t="n">
        <v>177</v>
      </c>
      <c r="H2649" s="23" t="n">
        <v>10</v>
      </c>
      <c r="I2649" s="23" t="n">
        <v>32</v>
      </c>
      <c r="J2649" s="23" t="inlineStr">
        <is>
          <t>978-5-227-07002-9</t>
        </is>
      </c>
      <c r="K2649" s="23" t="inlineStr">
        <is>
          <t>70x90 1/32</t>
        </is>
      </c>
      <c r="L2649" s="23" t="inlineStr">
        <is>
          <t>мяг</t>
        </is>
      </c>
      <c r="M2649" s="23" t="n">
        <v>256</v>
      </c>
      <c r="N2649" s="23" t="n">
        <v>2016</v>
      </c>
      <c r="O2649" s="23" t="n">
        <v>106</v>
      </c>
      <c r="P2649" s="23" t="n"/>
      <c r="Q2649" s="23" t="n"/>
      <c r="R2649" s="25" t="n"/>
      <c r="S2649" s="26">
        <f>HYPERLINK("http://www.cnpol.ru/covers/0182.jpg","фото на сайте")</f>
        <v/>
      </c>
    </row>
    <row r="2650" ht="50.1" customHeight="1" s="3">
      <c r="A2650" s="23" t="n"/>
      <c r="B2650" s="24" t="inlineStr">
        <is>
          <t>0105</t>
        </is>
      </c>
      <c r="C2650" s="23" t="inlineStr">
        <is>
          <t>МКД НО</t>
        </is>
      </c>
      <c r="D2650" s="23" t="inlineStr">
        <is>
          <t>Чейз Д.Х.</t>
        </is>
      </c>
      <c r="E2650" s="23" t="inlineStr">
        <is>
          <t>Рука в кувшине</t>
        </is>
      </c>
      <c r="F2650" s="23" t="inlineStr">
        <is>
          <t>        </t>
        </is>
      </c>
      <c r="G2650" s="23" t="n">
        <v>177</v>
      </c>
      <c r="H2650" s="23" t="n">
        <v>10</v>
      </c>
      <c r="I2650" s="23" t="n">
        <v>32</v>
      </c>
      <c r="J2650" s="23" t="inlineStr">
        <is>
          <t>978-5-227-07003-6</t>
        </is>
      </c>
      <c r="K2650" s="23" t="inlineStr">
        <is>
          <t>70x90 1/32</t>
        </is>
      </c>
      <c r="L2650" s="23" t="inlineStr">
        <is>
          <t>мяг</t>
        </is>
      </c>
      <c r="M2650" s="23" t="n">
        <v>250</v>
      </c>
      <c r="N2650" s="23" t="n">
        <v>2016</v>
      </c>
      <c r="O2650" s="23" t="n">
        <v>108</v>
      </c>
      <c r="P2650" s="23" t="n"/>
      <c r="Q2650" s="23" t="n"/>
      <c r="R2650" s="25" t="n"/>
      <c r="S2650" s="26">
        <f>HYPERLINK("http://www.cnpol.ru/covers/0105.jpg","фото на сайте")</f>
        <v/>
      </c>
    </row>
    <row r="2651" ht="50.1" customHeight="1" s="3">
      <c r="A2651" s="23" t="n"/>
      <c r="B2651" s="24" t="inlineStr">
        <is>
          <t>16917</t>
        </is>
      </c>
      <c r="C2651" s="23" t="inlineStr">
        <is>
          <t>МКД НО</t>
        </is>
      </c>
      <c r="D2651" s="23" t="inlineStr">
        <is>
          <t>Чейз Д.Х.</t>
        </is>
      </c>
      <c r="E2651" s="23" t="inlineStr">
        <is>
          <t>С места наезда скрылся</t>
        </is>
      </c>
      <c r="F2651" s="23" t="inlineStr">
        <is>
          <t>        </t>
        </is>
      </c>
      <c r="G2651" s="23" t="n">
        <v>177</v>
      </c>
      <c r="H2651" s="23" t="n">
        <v>10</v>
      </c>
      <c r="I2651" s="23" t="n">
        <v>32</v>
      </c>
      <c r="J2651" s="23" t="inlineStr">
        <is>
          <t>978-5-227-06797-5</t>
        </is>
      </c>
      <c r="K2651" s="23" t="inlineStr">
        <is>
          <t>70x90 1/32</t>
        </is>
      </c>
      <c r="L2651" s="23" t="inlineStr">
        <is>
          <t>мяг</t>
        </is>
      </c>
      <c r="M2651" s="23" t="n">
        <v>272</v>
      </c>
      <c r="N2651" s="23" t="n">
        <v>2016</v>
      </c>
      <c r="O2651" s="23" t="n">
        <v>110</v>
      </c>
      <c r="P2651" s="23" t="n"/>
      <c r="Q2651" s="23" t="n"/>
      <c r="R2651" s="25" t="n"/>
      <c r="S2651" s="26">
        <f>HYPERLINK("http://www.cnpol.ru/covers/16917.jpg","фото на сайте")</f>
        <v/>
      </c>
    </row>
    <row r="2652" ht="50.1" customHeight="1" s="3">
      <c r="A2652" s="23" t="n"/>
      <c r="B2652" s="24" t="inlineStr">
        <is>
          <t>0175</t>
        </is>
      </c>
      <c r="C2652" s="23" t="inlineStr">
        <is>
          <t>МКД НО</t>
        </is>
      </c>
      <c r="D2652" s="23" t="inlineStr">
        <is>
          <t>Чейз Д.Х.</t>
        </is>
      </c>
      <c r="E2652" s="23" t="inlineStr">
        <is>
          <t>Сделай одолжение-сдохни!</t>
        </is>
      </c>
      <c r="F2652" s="23" t="inlineStr">
        <is>
          <t>        </t>
        </is>
      </c>
      <c r="G2652" s="23" t="n">
        <v>177</v>
      </c>
      <c r="H2652" s="23" t="n">
        <v>10</v>
      </c>
      <c r="I2652" s="23" t="n">
        <v>32</v>
      </c>
      <c r="J2652" s="23" t="inlineStr">
        <is>
          <t>978-5-227-07026-5</t>
        </is>
      </c>
      <c r="K2652" s="23" t="inlineStr">
        <is>
          <t>70x90 1/32</t>
        </is>
      </c>
      <c r="L2652" s="23" t="inlineStr">
        <is>
          <t>мяг</t>
        </is>
      </c>
      <c r="M2652" s="23" t="n">
        <v>224</v>
      </c>
      <c r="N2652" s="23" t="n">
        <v>2016</v>
      </c>
      <c r="O2652" s="23" t="n">
        <v>108</v>
      </c>
      <c r="P2652" s="23" t="n"/>
      <c r="Q2652" s="23" t="n"/>
      <c r="R2652" s="25" t="n"/>
      <c r="S2652" s="26">
        <f>HYPERLINK("http://www.cnpol.ru/covers/0175.jpg","фото на сайте")</f>
        <v/>
      </c>
    </row>
    <row r="2653" ht="50.1" customHeight="1" s="3">
      <c r="A2653" s="23" t="n"/>
      <c r="B2653" s="24" t="inlineStr">
        <is>
          <t>0165</t>
        </is>
      </c>
      <c r="C2653" s="23" t="inlineStr">
        <is>
          <t>МКД НО</t>
        </is>
      </c>
      <c r="D2653" s="23" t="inlineStr">
        <is>
          <t>Чейз Д.Х.</t>
        </is>
      </c>
      <c r="E2653" s="23" t="inlineStr">
        <is>
          <t>Семь раз отмерь</t>
        </is>
      </c>
      <c r="F2653" s="23" t="inlineStr">
        <is>
          <t>        </t>
        </is>
      </c>
      <c r="G2653" s="23" t="n">
        <v>177</v>
      </c>
      <c r="H2653" s="23" t="n">
        <v>10</v>
      </c>
      <c r="I2653" s="23" t="n">
        <v>32</v>
      </c>
      <c r="J2653" s="23" t="inlineStr">
        <is>
          <t>978-5-227-07004-3</t>
        </is>
      </c>
      <c r="K2653" s="23" t="inlineStr">
        <is>
          <t>70x90 1/32</t>
        </is>
      </c>
      <c r="L2653" s="23" t="inlineStr">
        <is>
          <t>мяг</t>
        </is>
      </c>
      <c r="M2653" s="23" t="n">
        <v>256</v>
      </c>
      <c r="N2653" s="23" t="n">
        <v>2016</v>
      </c>
      <c r="O2653" s="23" t="n">
        <v>110</v>
      </c>
      <c r="P2653" s="23" t="n"/>
      <c r="Q2653" s="23" t="n"/>
      <c r="R2653" s="25" t="n"/>
      <c r="S2653" s="26">
        <f>HYPERLINK("http://www.cnpol.ru/covers/0165.jpg","фото на сайте")</f>
        <v/>
      </c>
    </row>
    <row r="2654" ht="50.1" customHeight="1" s="3">
      <c r="A2654" s="23" t="n"/>
      <c r="B2654" s="24" t="inlineStr">
        <is>
          <t>0174</t>
        </is>
      </c>
      <c r="C2654" s="23" t="inlineStr">
        <is>
          <t>МКД НО</t>
        </is>
      </c>
      <c r="D2654" s="23" t="inlineStr">
        <is>
          <t>Чейз Д.Х.</t>
        </is>
      </c>
      <c r="E2654" s="23" t="inlineStr">
        <is>
          <t>Следов не оставлять</t>
        </is>
      </c>
      <c r="F2654" s="23" t="inlineStr">
        <is>
          <t>        </t>
        </is>
      </c>
      <c r="G2654" s="23" t="n">
        <v>177</v>
      </c>
      <c r="H2654" s="23" t="n">
        <v>10</v>
      </c>
      <c r="I2654" s="23" t="n">
        <v>32</v>
      </c>
      <c r="J2654" s="23" t="inlineStr">
        <is>
          <t>978-5-227-07005-0</t>
        </is>
      </c>
      <c r="K2654" s="23" t="inlineStr">
        <is>
          <t>70x90 1/32</t>
        </is>
      </c>
      <c r="L2654" s="23" t="inlineStr">
        <is>
          <t>мяг</t>
        </is>
      </c>
      <c r="M2654" s="23" t="n">
        <v>256</v>
      </c>
      <c r="N2654" s="23" t="n">
        <v>2016</v>
      </c>
      <c r="O2654" s="23" t="n">
        <v>110</v>
      </c>
      <c r="P2654" s="23" t="n"/>
      <c r="Q2654" s="23" t="n"/>
      <c r="R2654" s="25" t="n"/>
      <c r="S2654" s="26">
        <f>HYPERLINK("http://www.cnpol.ru/covers/0174.jpg","фото на сайте")</f>
        <v/>
      </c>
    </row>
    <row r="2655" ht="50.1" customHeight="1" s="3">
      <c r="A2655" s="23" t="n"/>
      <c r="B2655" s="24" t="inlineStr">
        <is>
          <t>0104</t>
        </is>
      </c>
      <c r="C2655" s="23" t="inlineStr">
        <is>
          <t>МКД НО</t>
        </is>
      </c>
      <c r="D2655" s="23" t="inlineStr">
        <is>
          <t>Чейз Д.Х.</t>
        </is>
      </c>
      <c r="E2655" s="23" t="inlineStr">
        <is>
          <t>Стервятник ждать умеет</t>
        </is>
      </c>
      <c r="F2655" s="23" t="inlineStr">
        <is>
          <t>        </t>
        </is>
      </c>
      <c r="G2655" s="23" t="n">
        <v>177</v>
      </c>
      <c r="H2655" s="23" t="n">
        <v>10</v>
      </c>
      <c r="I2655" s="23" t="n">
        <v>32</v>
      </c>
      <c r="J2655" s="23" t="inlineStr">
        <is>
          <t>978-5-227-07006-7</t>
        </is>
      </c>
      <c r="K2655" s="23" t="inlineStr">
        <is>
          <t>70x90 1/32</t>
        </is>
      </c>
      <c r="L2655" s="23" t="inlineStr">
        <is>
          <t>мяг</t>
        </is>
      </c>
      <c r="M2655" s="23" t="n">
        <v>250</v>
      </c>
      <c r="N2655" s="23" t="n">
        <v>2016</v>
      </c>
      <c r="O2655" s="23" t="n">
        <v>110</v>
      </c>
      <c r="P2655" s="23" t="n"/>
      <c r="Q2655" s="23" t="n"/>
      <c r="R2655" s="25" t="n"/>
      <c r="S2655" s="26">
        <f>HYPERLINK("http://www.cnpol.ru/covers/0104.jpg","фото на сайте")</f>
        <v/>
      </c>
    </row>
    <row r="2656" ht="50.1" customHeight="1" s="3">
      <c r="A2656" s="23" t="n"/>
      <c r="B2656" s="24" t="inlineStr">
        <is>
          <t>16613</t>
        </is>
      </c>
      <c r="C2656" s="23" t="inlineStr">
        <is>
          <t>МКД НО</t>
        </is>
      </c>
      <c r="D2656" s="23" t="inlineStr">
        <is>
          <t>Чейз Д.Х.</t>
        </is>
      </c>
      <c r="E2656" s="23" t="inlineStr">
        <is>
          <t>Стоит только начать</t>
        </is>
      </c>
      <c r="F2656" s="23" t="inlineStr">
        <is>
          <t>        </t>
        </is>
      </c>
      <c r="G2656" s="23" t="n">
        <v>177</v>
      </c>
      <c r="H2656" s="23" t="n">
        <v>10</v>
      </c>
      <c r="I2656" s="23" t="n">
        <v>32</v>
      </c>
      <c r="J2656" s="23" t="inlineStr">
        <is>
          <t>978-5-227-06550-6</t>
        </is>
      </c>
      <c r="K2656" s="23" t="inlineStr">
        <is>
          <t>70x90 1/32</t>
        </is>
      </c>
      <c r="L2656" s="23" t="inlineStr">
        <is>
          <t>мяг</t>
        </is>
      </c>
      <c r="M2656" s="23" t="n">
        <v>256</v>
      </c>
      <c r="N2656" s="23" t="n">
        <v>2016</v>
      </c>
      <c r="O2656" s="23" t="n">
        <v>108</v>
      </c>
      <c r="P2656" s="23" t="n"/>
      <c r="Q2656" s="23" t="n"/>
      <c r="R2656" s="25" t="n"/>
      <c r="S2656" s="26">
        <f>HYPERLINK("http://www.cnpol.ru/covers/16613.jpg","фото на сайте")</f>
        <v/>
      </c>
    </row>
    <row r="2657" ht="50.1" customHeight="1" s="3">
      <c r="A2657" s="23" t="n"/>
      <c r="B2657" s="24" t="inlineStr">
        <is>
          <t>0103</t>
        </is>
      </c>
      <c r="C2657" s="23" t="inlineStr">
        <is>
          <t>МКД НО</t>
        </is>
      </c>
      <c r="D2657" s="23" t="inlineStr">
        <is>
          <t>Чейз Д.Х.</t>
        </is>
      </c>
      <c r="E2657" s="23" t="inlineStr">
        <is>
          <t>Судите сами</t>
        </is>
      </c>
      <c r="F2657" s="23" t="inlineStr">
        <is>
          <t>        </t>
        </is>
      </c>
      <c r="G2657" s="23" t="n">
        <v>177</v>
      </c>
      <c r="H2657" s="23" t="n">
        <v>10</v>
      </c>
      <c r="I2657" s="23" t="n">
        <v>32</v>
      </c>
      <c r="J2657" s="23" t="inlineStr">
        <is>
          <t>978-5-227-07008-1</t>
        </is>
      </c>
      <c r="K2657" s="23" t="inlineStr">
        <is>
          <t>70x90 1/32</t>
        </is>
      </c>
      <c r="L2657" s="23" t="inlineStr">
        <is>
          <t>мяг</t>
        </is>
      </c>
      <c r="M2657" s="23" t="n">
        <v>253</v>
      </c>
      <c r="N2657" s="23" t="n">
        <v>2016</v>
      </c>
      <c r="O2657" s="23" t="n">
        <v>110</v>
      </c>
      <c r="P2657" s="23" t="n"/>
      <c r="Q2657" s="23" t="n"/>
      <c r="R2657" s="25" t="n"/>
      <c r="S2657" s="26">
        <f>HYPERLINK("http://www.cnpol.ru/covers/0103.jpg","фото на сайте")</f>
        <v/>
      </c>
    </row>
    <row r="2658" ht="50.1" customHeight="1" s="3">
      <c r="A2658" s="23" t="n"/>
      <c r="B2658" s="24" t="inlineStr">
        <is>
          <t>0102</t>
        </is>
      </c>
      <c r="C2658" s="23" t="inlineStr">
        <is>
          <t>МКД НО</t>
        </is>
      </c>
      <c r="D2658" s="23" t="inlineStr">
        <is>
          <t>Чейз Д.Х.</t>
        </is>
      </c>
      <c r="E2658" s="23" t="inlineStr">
        <is>
          <t>Считай, что ты мертв</t>
        </is>
      </c>
      <c r="F2658" s="23" t="inlineStr">
        <is>
          <t>        </t>
        </is>
      </c>
      <c r="G2658" s="23" t="n">
        <v>177</v>
      </c>
      <c r="H2658" s="23" t="n">
        <v>10</v>
      </c>
      <c r="I2658" s="23" t="n">
        <v>32</v>
      </c>
      <c r="J2658" s="23" t="inlineStr">
        <is>
          <t>978-5-227-07009-8</t>
        </is>
      </c>
      <c r="K2658" s="23" t="inlineStr">
        <is>
          <t>70x90 1/32</t>
        </is>
      </c>
      <c r="L2658" s="23" t="inlineStr">
        <is>
          <t>мяг</t>
        </is>
      </c>
      <c r="M2658" s="23" t="n">
        <v>251</v>
      </c>
      <c r="N2658" s="23" t="n">
        <v>2016</v>
      </c>
      <c r="O2658" s="23" t="n">
        <v>110</v>
      </c>
      <c r="P2658" s="23" t="n"/>
      <c r="Q2658" s="23" t="n"/>
      <c r="R2658" s="25" t="n"/>
      <c r="S2658" s="26">
        <f>HYPERLINK("http://www.cnpol.ru/covers/0102.jpg","фото на сайте")</f>
        <v/>
      </c>
    </row>
    <row r="2659" ht="50.1" customHeight="1" s="3">
      <c r="A2659" s="23" t="n"/>
      <c r="B2659" s="24" t="inlineStr">
        <is>
          <t>0121</t>
        </is>
      </c>
      <c r="C2659" s="23" t="inlineStr">
        <is>
          <t>МКД НО</t>
        </is>
      </c>
      <c r="D2659" s="23" t="inlineStr">
        <is>
          <t>Чейз Д.Х.</t>
        </is>
      </c>
      <c r="E2659" s="23" t="inlineStr">
        <is>
          <t>Так крошится печенье</t>
        </is>
      </c>
      <c r="F2659" s="23" t="inlineStr">
        <is>
          <t>        </t>
        </is>
      </c>
      <c r="G2659" s="23" t="n">
        <v>177</v>
      </c>
      <c r="H2659" s="23" t="n">
        <v>10</v>
      </c>
      <c r="I2659" s="23" t="n">
        <v>32</v>
      </c>
      <c r="J2659" s="23" t="inlineStr">
        <is>
          <t>978-5-227-07010-4</t>
        </is>
      </c>
      <c r="K2659" s="23" t="inlineStr">
        <is>
          <t>70x90 1/32</t>
        </is>
      </c>
      <c r="L2659" s="23" t="inlineStr">
        <is>
          <t>мяг</t>
        </is>
      </c>
      <c r="M2659" s="23" t="n">
        <v>256</v>
      </c>
      <c r="N2659" s="23" t="n">
        <v>2016</v>
      </c>
      <c r="O2659" s="23" t="n">
        <v>108</v>
      </c>
      <c r="P2659" s="23" t="n"/>
      <c r="Q2659" s="23" t="n"/>
      <c r="R2659" s="25" t="n"/>
      <c r="S2659" s="26">
        <f>HYPERLINK("http://www.cnpol.ru/covers/0121.jpg","фото на сайте")</f>
        <v/>
      </c>
    </row>
    <row r="2660" ht="50.1" customHeight="1" s="3">
      <c r="A2660" s="23" t="n"/>
      <c r="B2660" s="24" t="inlineStr">
        <is>
          <t>14947</t>
        </is>
      </c>
      <c r="C2660" s="23" t="inlineStr">
        <is>
          <t>МКД НО</t>
        </is>
      </c>
      <c r="D2660" s="23" t="inlineStr">
        <is>
          <t>Чейз Д.Х.</t>
        </is>
      </c>
      <c r="E2660" s="23" t="inlineStr">
        <is>
          <t>Теперь это ему ни к чему</t>
        </is>
      </c>
      <c r="F2660" s="23" t="inlineStr">
        <is>
          <t>        </t>
        </is>
      </c>
      <c r="G2660" s="23" t="n">
        <v>177</v>
      </c>
      <c r="H2660" s="23" t="n">
        <v>10</v>
      </c>
      <c r="I2660" s="23" t="n">
        <v>32</v>
      </c>
      <c r="J2660" s="23" t="inlineStr">
        <is>
          <t>978-5-227-04944-5</t>
        </is>
      </c>
      <c r="K2660" s="23" t="inlineStr">
        <is>
          <t>70x90 1/32</t>
        </is>
      </c>
      <c r="L2660" s="23" t="inlineStr">
        <is>
          <t>мяг</t>
        </is>
      </c>
      <c r="M2660" s="23" t="n">
        <v>222</v>
      </c>
      <c r="N2660" s="23" t="n">
        <v>2014</v>
      </c>
      <c r="O2660" s="23" t="n">
        <v>94</v>
      </c>
      <c r="P2660" s="23" t="n"/>
      <c r="Q2660" s="23" t="n"/>
      <c r="R2660" s="25" t="n"/>
      <c r="S2660" s="26">
        <f>HYPERLINK("http://www.cnpol.ru/covers/14947.jpg","фото на сайте")</f>
        <v/>
      </c>
    </row>
    <row r="2661" ht="50.1" customHeight="1" s="3">
      <c r="A2661" s="23" t="n"/>
      <c r="B2661" s="24" t="inlineStr">
        <is>
          <t>0166</t>
        </is>
      </c>
      <c r="C2661" s="23" t="inlineStr">
        <is>
          <t>МКД НО</t>
        </is>
      </c>
      <c r="D2661" s="23" t="inlineStr">
        <is>
          <t>Чейз Д.Х.</t>
        </is>
      </c>
      <c r="E2661" s="23" t="inlineStr">
        <is>
          <t>Теперь это ему ни к чему</t>
        </is>
      </c>
      <c r="F2661" s="23" t="inlineStr">
        <is>
          <t>        </t>
        </is>
      </c>
      <c r="G2661" s="23" t="n">
        <v>177</v>
      </c>
      <c r="H2661" s="23" t="n">
        <v>10</v>
      </c>
      <c r="I2661" s="23" t="n">
        <v>32</v>
      </c>
      <c r="J2661" s="23" t="inlineStr">
        <is>
          <t>978-5-227-07011-1</t>
        </is>
      </c>
      <c r="K2661" s="23" t="inlineStr">
        <is>
          <t>70x90 1/32</t>
        </is>
      </c>
      <c r="L2661" s="23" t="inlineStr">
        <is>
          <t>мяг</t>
        </is>
      </c>
      <c r="M2661" s="23" t="n">
        <v>224</v>
      </c>
      <c r="N2661" s="23" t="n">
        <v>2016</v>
      </c>
      <c r="O2661" s="23" t="n">
        <v>94</v>
      </c>
      <c r="P2661" s="23" t="n"/>
      <c r="Q2661" s="23" t="n"/>
      <c r="R2661" s="25" t="n"/>
      <c r="S2661" s="26">
        <f>HYPERLINK("http://www.cnpol.ru/covers/0166.jpg","фото на сайте")</f>
        <v/>
      </c>
    </row>
    <row r="2662" ht="50.1" customHeight="1" s="3">
      <c r="A2662" s="23" t="n"/>
      <c r="B2662" s="24" t="inlineStr">
        <is>
          <t>15198</t>
        </is>
      </c>
      <c r="C2662" s="23" t="inlineStr">
        <is>
          <t>МКД НО</t>
        </is>
      </c>
      <c r="D2662" s="23" t="inlineStr">
        <is>
          <t>Чейз Д.Х.</t>
        </is>
      </c>
      <c r="E2662" s="23" t="inlineStr">
        <is>
          <t>Тот, кто был в тени</t>
        </is>
      </c>
      <c r="F2662" s="23" t="inlineStr">
        <is>
          <t>        </t>
        </is>
      </c>
      <c r="G2662" s="23" t="n">
        <v>177</v>
      </c>
      <c r="H2662" s="23" t="n">
        <v>10</v>
      </c>
      <c r="I2662" s="23" t="n">
        <v>32</v>
      </c>
      <c r="J2662" s="23" t="inlineStr">
        <is>
          <t>978-5-227-05233-9</t>
        </is>
      </c>
      <c r="K2662" s="23" t="inlineStr">
        <is>
          <t>70x90 1/32</t>
        </is>
      </c>
      <c r="L2662" s="23" t="inlineStr">
        <is>
          <t>мяг</t>
        </is>
      </c>
      <c r="M2662" s="23" t="n">
        <v>192</v>
      </c>
      <c r="N2662" s="23" t="n">
        <v>2014</v>
      </c>
      <c r="O2662" s="23" t="n">
        <v>84</v>
      </c>
      <c r="P2662" s="23" t="n"/>
      <c r="Q2662" s="23" t="n"/>
      <c r="R2662" s="25" t="n"/>
      <c r="S2662" s="26">
        <f>HYPERLINK("http://www.cnpol.ru/covers/15198.jpg","фото на сайте")</f>
        <v/>
      </c>
    </row>
    <row r="2663" ht="50.1" customHeight="1" s="3">
      <c r="A2663" s="23" t="n"/>
      <c r="B2663" s="24" t="inlineStr">
        <is>
          <t>0162</t>
        </is>
      </c>
      <c r="C2663" s="23" t="inlineStr">
        <is>
          <t>МКД НО</t>
        </is>
      </c>
      <c r="D2663" s="23" t="inlineStr">
        <is>
          <t>Чейз Д.Х.</t>
        </is>
      </c>
      <c r="E2663" s="23" t="inlineStr">
        <is>
          <t>Тот, кто был в тени</t>
        </is>
      </c>
      <c r="F2663" s="23" t="inlineStr">
        <is>
          <t>        </t>
        </is>
      </c>
      <c r="G2663" s="23" t="n">
        <v>177</v>
      </c>
      <c r="H2663" s="23" t="n">
        <v>10</v>
      </c>
      <c r="I2663" s="23" t="n">
        <v>32</v>
      </c>
      <c r="J2663" s="23" t="inlineStr">
        <is>
          <t>978-5-227-07012-8</t>
        </is>
      </c>
      <c r="K2663" s="23" t="inlineStr">
        <is>
          <t>70x90 1/32</t>
        </is>
      </c>
      <c r="L2663" s="23" t="inlineStr">
        <is>
          <t>мяг</t>
        </is>
      </c>
      <c r="M2663" s="23" t="n">
        <v>192</v>
      </c>
      <c r="N2663" s="23" t="n">
        <v>2016</v>
      </c>
      <c r="O2663" s="23" t="n">
        <v>84</v>
      </c>
      <c r="P2663" s="23" t="n"/>
      <c r="Q2663" s="23" t="n"/>
      <c r="R2663" s="25" t="n"/>
      <c r="S2663" s="26">
        <f>HYPERLINK("http://www.cnpol.ru/covers/0162.jpg","фото на сайте")</f>
        <v/>
      </c>
    </row>
    <row r="2664" ht="50.1" customHeight="1" s="3">
      <c r="A2664" s="23" t="n"/>
      <c r="B2664" s="24" t="inlineStr">
        <is>
          <t>15758</t>
        </is>
      </c>
      <c r="C2664" s="23" t="inlineStr">
        <is>
          <t>МКД НО</t>
        </is>
      </c>
      <c r="D2664" s="23" t="inlineStr">
        <is>
          <t>Чейз Д.Х.</t>
        </is>
      </c>
      <c r="E2664" s="23" t="inlineStr">
        <is>
          <t>Туз в рукаве</t>
        </is>
      </c>
      <c r="F2664" s="23" t="inlineStr">
        <is>
          <t>        </t>
        </is>
      </c>
      <c r="G2664" s="23" t="n">
        <v>177</v>
      </c>
      <c r="H2664" s="23" t="n">
        <v>10</v>
      </c>
      <c r="I2664" s="23" t="n">
        <v>32</v>
      </c>
      <c r="J2664" s="23" t="inlineStr">
        <is>
          <t>978-5-227-05700-6</t>
        </is>
      </c>
      <c r="K2664" s="23" t="inlineStr">
        <is>
          <t>70x90 1/32</t>
        </is>
      </c>
      <c r="L2664" s="23" t="inlineStr">
        <is>
          <t>мяг</t>
        </is>
      </c>
      <c r="M2664" s="23" t="n">
        <v>190</v>
      </c>
      <c r="N2664" s="23" t="n">
        <v>2015</v>
      </c>
      <c r="O2664" s="23" t="n">
        <v>86</v>
      </c>
      <c r="P2664" s="23" t="n"/>
      <c r="Q2664" s="23" t="n"/>
      <c r="R2664" s="25" t="n"/>
      <c r="S2664" s="26">
        <f>HYPERLINK("http://www.cnpol.ru/covers/15758.jpg","фото на сайте")</f>
        <v/>
      </c>
    </row>
    <row r="2665" ht="50.1" customHeight="1" s="3">
      <c r="A2665" s="23" t="n"/>
      <c r="B2665" s="24" t="inlineStr">
        <is>
          <t>0161</t>
        </is>
      </c>
      <c r="C2665" s="23" t="inlineStr">
        <is>
          <t>МКД НО</t>
        </is>
      </c>
      <c r="D2665" s="23" t="inlineStr">
        <is>
          <t>Чейз Д.Х.</t>
        </is>
      </c>
      <c r="E2665" s="23" t="inlineStr">
        <is>
          <t>Туз в рукаве</t>
        </is>
      </c>
      <c r="F2665" s="23" t="inlineStr">
        <is>
          <t>        </t>
        </is>
      </c>
      <c r="G2665" s="23" t="n">
        <v>177</v>
      </c>
      <c r="H2665" s="23" t="n">
        <v>10</v>
      </c>
      <c r="I2665" s="23" t="n">
        <v>32</v>
      </c>
      <c r="J2665" s="23" t="inlineStr">
        <is>
          <t>978-5-227-07013-5</t>
        </is>
      </c>
      <c r="K2665" s="23" t="inlineStr">
        <is>
          <t>70x90 1/32</t>
        </is>
      </c>
      <c r="L2665" s="23" t="inlineStr">
        <is>
          <t>мяг</t>
        </is>
      </c>
      <c r="M2665" s="23" t="n">
        <v>192</v>
      </c>
      <c r="N2665" s="23" t="n">
        <v>2016</v>
      </c>
      <c r="O2665" s="23" t="n">
        <v>86</v>
      </c>
      <c r="P2665" s="23" t="n"/>
      <c r="Q2665" s="23" t="n"/>
      <c r="R2665" s="25" t="n"/>
      <c r="S2665" s="26">
        <f>HYPERLINK("http://www.cnpol.ru/covers/0161.jpg","фото на сайте")</f>
        <v/>
      </c>
    </row>
    <row r="2666" ht="50.1" customHeight="1" s="3">
      <c r="A2666" s="23" t="n"/>
      <c r="B2666" s="24" t="inlineStr">
        <is>
          <t>14946</t>
        </is>
      </c>
      <c r="C2666" s="23" t="inlineStr">
        <is>
          <t>МКД НО</t>
        </is>
      </c>
      <c r="D2666" s="23" t="inlineStr">
        <is>
          <t>Чейз Д.Х.</t>
        </is>
      </c>
      <c r="E2666" s="23" t="inlineStr">
        <is>
          <t>Ты найдешь - я расправлюсь</t>
        </is>
      </c>
      <c r="F2666" s="23" t="inlineStr">
        <is>
          <t>        </t>
        </is>
      </c>
      <c r="G2666" s="23" t="n">
        <v>177</v>
      </c>
      <c r="H2666" s="23" t="n">
        <v>10</v>
      </c>
      <c r="I2666" s="23" t="n">
        <v>32</v>
      </c>
      <c r="J2666" s="23" t="inlineStr">
        <is>
          <t>978-5-227-04943-8</t>
        </is>
      </c>
      <c r="K2666" s="23" t="inlineStr">
        <is>
          <t>70x90 1/32</t>
        </is>
      </c>
      <c r="L2666" s="23" t="inlineStr">
        <is>
          <t>мяг</t>
        </is>
      </c>
      <c r="M2666" s="23" t="n">
        <v>254</v>
      </c>
      <c r="N2666" s="23" t="n">
        <v>2014</v>
      </c>
      <c r="O2666" s="23" t="n">
        <v>110</v>
      </c>
      <c r="P2666" s="23" t="n"/>
      <c r="Q2666" s="23" t="n"/>
      <c r="R2666" s="25" t="n"/>
      <c r="S2666" s="26">
        <f>HYPERLINK("http://www.cnpol.ru/covers/14946.jpg","фото на сайте")</f>
        <v/>
      </c>
    </row>
    <row r="2667" ht="50.1" customHeight="1" s="3">
      <c r="A2667" s="23" t="n"/>
      <c r="B2667" s="24" t="inlineStr">
        <is>
          <t>0108</t>
        </is>
      </c>
      <c r="C2667" s="23" t="inlineStr">
        <is>
          <t>МКД НО</t>
        </is>
      </c>
      <c r="D2667" s="23" t="inlineStr">
        <is>
          <t>Чейз Д.Х.</t>
        </is>
      </c>
      <c r="E2667" s="23" t="inlineStr">
        <is>
          <t>Ты найдешь - я расправлюсь</t>
        </is>
      </c>
      <c r="F2667" s="23" t="inlineStr">
        <is>
          <t>        </t>
        </is>
      </c>
      <c r="G2667" s="23" t="n">
        <v>177</v>
      </c>
      <c r="H2667" s="23" t="n">
        <v>10</v>
      </c>
      <c r="I2667" s="23" t="n">
        <v>32</v>
      </c>
      <c r="J2667" s="23" t="inlineStr">
        <is>
          <t>978-5-227-07014-2</t>
        </is>
      </c>
      <c r="K2667" s="23" t="inlineStr">
        <is>
          <t>70x90 1/32</t>
        </is>
      </c>
      <c r="L2667" s="23" t="inlineStr">
        <is>
          <t>мяг</t>
        </is>
      </c>
      <c r="M2667" s="23" t="n">
        <v>250</v>
      </c>
      <c r="N2667" s="23" t="n">
        <v>2016</v>
      </c>
      <c r="O2667" s="23" t="n">
        <v>110</v>
      </c>
      <c r="P2667" s="23" t="n"/>
      <c r="Q2667" s="23" t="n"/>
      <c r="R2667" s="25" t="n"/>
      <c r="S2667" s="26">
        <f>HYPERLINK("http://www.cnpol.ru/covers/0108.jpg","фото на сайте")</f>
        <v/>
      </c>
    </row>
    <row r="2668" ht="50.1" customHeight="1" s="3">
      <c r="A2668" s="23" t="n"/>
      <c r="B2668" s="24" t="inlineStr">
        <is>
          <t>0128</t>
        </is>
      </c>
      <c r="C2668" s="23" t="inlineStr">
        <is>
          <t>МКД НО</t>
        </is>
      </c>
      <c r="D2668" s="23" t="inlineStr">
        <is>
          <t>Чейз Д.Х.</t>
        </is>
      </c>
      <c r="E2668" s="23" t="inlineStr">
        <is>
          <t>Ты свое получишь</t>
        </is>
      </c>
      <c r="F2668" s="23" t="inlineStr">
        <is>
          <t>        </t>
        </is>
      </c>
      <c r="G2668" s="23" t="n">
        <v>177</v>
      </c>
      <c r="H2668" s="23" t="n">
        <v>10</v>
      </c>
      <c r="I2668" s="23" t="n">
        <v>32</v>
      </c>
      <c r="J2668" s="23" t="inlineStr">
        <is>
          <t>978-5-227-07015-9</t>
        </is>
      </c>
      <c r="K2668" s="23" t="inlineStr">
        <is>
          <t>70x90 1/32</t>
        </is>
      </c>
      <c r="L2668" s="23" t="inlineStr">
        <is>
          <t>мяг</t>
        </is>
      </c>
      <c r="M2668" s="23" t="n">
        <v>256</v>
      </c>
      <c r="N2668" s="23" t="n">
        <v>2016</v>
      </c>
      <c r="O2668" s="23" t="n">
        <v>106</v>
      </c>
      <c r="P2668" s="23" t="n"/>
      <c r="Q2668" s="23" t="n"/>
      <c r="R2668" s="25" t="n"/>
      <c r="S2668" s="26">
        <f>HYPERLINK("http://www.cnpol.ru/covers/0128.jpg","фото на сайте")</f>
        <v/>
      </c>
    </row>
    <row r="2669" ht="50.1" customHeight="1" s="3">
      <c r="A2669" s="23" t="n"/>
      <c r="B2669" s="24" t="inlineStr">
        <is>
          <t>14450</t>
        </is>
      </c>
      <c r="C2669" s="23" t="inlineStr">
        <is>
          <t>МКД НО</t>
        </is>
      </c>
      <c r="D2669" s="23" t="inlineStr">
        <is>
          <t>Чейз Д.Х.</t>
        </is>
      </c>
      <c r="E2669" s="23" t="inlineStr">
        <is>
          <t>Ты шутишь, наверное?</t>
        </is>
      </c>
      <c r="F2669" s="23" t="inlineStr">
        <is>
          <t>        </t>
        </is>
      </c>
      <c r="G2669" s="23" t="n">
        <v>177</v>
      </c>
      <c r="H2669" s="23" t="n">
        <v>10</v>
      </c>
      <c r="I2669" s="23" t="n">
        <v>32</v>
      </c>
      <c r="J2669" s="23" t="inlineStr">
        <is>
          <t>978-5-227-04490-7</t>
        </is>
      </c>
      <c r="K2669" s="23" t="inlineStr">
        <is>
          <t>70x90 1/32</t>
        </is>
      </c>
      <c r="L2669" s="23" t="inlineStr">
        <is>
          <t>мяг</t>
        </is>
      </c>
      <c r="M2669" s="23" t="n">
        <v>250</v>
      </c>
      <c r="N2669" s="23" t="n">
        <v>2013</v>
      </c>
      <c r="O2669" s="23" t="n">
        <v>106</v>
      </c>
      <c r="P2669" s="23" t="n"/>
      <c r="Q2669" s="23" t="n"/>
      <c r="R2669" s="25" t="n"/>
      <c r="S2669" s="26">
        <f>HYPERLINK("http://www.cnpol.ru/covers/14450.jpg","фото на сайте")</f>
        <v/>
      </c>
    </row>
    <row r="2670" ht="50.1" customHeight="1" s="3">
      <c r="A2670" s="23" t="n"/>
      <c r="B2670" s="24" t="inlineStr">
        <is>
          <t>0129</t>
        </is>
      </c>
      <c r="C2670" s="23" t="inlineStr">
        <is>
          <t>МКД НО</t>
        </is>
      </c>
      <c r="D2670" s="23" t="inlineStr">
        <is>
          <t>Чейз Д.Х.</t>
        </is>
      </c>
      <c r="E2670" s="23" t="inlineStr">
        <is>
          <t>Ты шутишь, наверное?</t>
        </is>
      </c>
      <c r="F2670" s="23" t="inlineStr">
        <is>
          <t>        </t>
        </is>
      </c>
      <c r="G2670" s="23" t="n">
        <v>177</v>
      </c>
      <c r="H2670" s="23" t="n">
        <v>10</v>
      </c>
      <c r="I2670" s="23" t="n">
        <v>32</v>
      </c>
      <c r="J2670" s="23" t="inlineStr">
        <is>
          <t>978-5-227-07016-6</t>
        </is>
      </c>
      <c r="K2670" s="23" t="inlineStr">
        <is>
          <t>70x90 1/32</t>
        </is>
      </c>
      <c r="L2670" s="23" t="inlineStr">
        <is>
          <t>мяг</t>
        </is>
      </c>
      <c r="M2670" s="23" t="n">
        <v>250</v>
      </c>
      <c r="N2670" s="23" t="n">
        <v>2016</v>
      </c>
      <c r="O2670" s="23" t="n">
        <v>106</v>
      </c>
      <c r="P2670" s="23" t="n"/>
      <c r="Q2670" s="23" t="n"/>
      <c r="R2670" s="25" t="n"/>
      <c r="S2670" s="26">
        <f>HYPERLINK("http://www.cnpol.ru/covers/0129.jpg","фото на сайте")</f>
        <v/>
      </c>
    </row>
    <row r="2671" ht="50.1" customHeight="1" s="3">
      <c r="A2671" s="23" t="n"/>
      <c r="B2671" s="24" t="inlineStr">
        <is>
          <t>0130</t>
        </is>
      </c>
      <c r="C2671" s="23" t="inlineStr">
        <is>
          <t>МКД НО</t>
        </is>
      </c>
      <c r="D2671" s="23" t="inlineStr">
        <is>
          <t>Чейз Д.Х.</t>
        </is>
      </c>
      <c r="E2671" s="23" t="inlineStr">
        <is>
          <t>Убийство кинозвезды</t>
        </is>
      </c>
      <c r="F2671" s="23" t="inlineStr">
        <is>
          <t>        </t>
        </is>
      </c>
      <c r="G2671" s="23" t="n">
        <v>177</v>
      </c>
      <c r="H2671" s="23" t="n">
        <v>10</v>
      </c>
      <c r="I2671" s="23" t="n">
        <v>32</v>
      </c>
      <c r="J2671" s="23" t="inlineStr">
        <is>
          <t>978-5-227-07017-3</t>
        </is>
      </c>
      <c r="K2671" s="23" t="inlineStr">
        <is>
          <t>70x90 1/32</t>
        </is>
      </c>
      <c r="L2671" s="23" t="inlineStr">
        <is>
          <t>мяг</t>
        </is>
      </c>
      <c r="M2671" s="23" t="n">
        <v>256</v>
      </c>
      <c r="N2671" s="23" t="n">
        <v>2016</v>
      </c>
      <c r="O2671" s="23" t="n">
        <v>110</v>
      </c>
      <c r="P2671" s="23" t="n"/>
      <c r="Q2671" s="23" t="n"/>
      <c r="R2671" s="25" t="n"/>
      <c r="S2671" s="26">
        <f>HYPERLINK("http://www.cnpol.ru/covers/0130.jpg","фото на сайте")</f>
        <v/>
      </c>
    </row>
    <row r="2672" ht="50.1" customHeight="1" s="3">
      <c r="A2672" s="23" t="n"/>
      <c r="B2672" s="24" t="inlineStr">
        <is>
          <t>0116</t>
        </is>
      </c>
      <c r="C2672" s="23" t="inlineStr">
        <is>
          <t>МКД НО</t>
        </is>
      </c>
      <c r="D2672" s="23" t="inlineStr">
        <is>
          <t>Чейз Д.Х.</t>
        </is>
      </c>
      <c r="E2672" s="23" t="inlineStr">
        <is>
          <t>Ударь по больному месту</t>
        </is>
      </c>
      <c r="F2672" s="23" t="inlineStr">
        <is>
          <t>        </t>
        </is>
      </c>
      <c r="G2672" s="23" t="n">
        <v>177</v>
      </c>
      <c r="H2672" s="23" t="n">
        <v>10</v>
      </c>
      <c r="I2672" s="23" t="n">
        <v>32</v>
      </c>
      <c r="J2672" s="23" t="inlineStr">
        <is>
          <t>978-5-227-07018-0</t>
        </is>
      </c>
      <c r="K2672" s="23" t="inlineStr">
        <is>
          <t>70x90 1/32</t>
        </is>
      </c>
      <c r="L2672" s="23" t="inlineStr">
        <is>
          <t>мяг</t>
        </is>
      </c>
      <c r="M2672" s="23" t="n">
        <v>256</v>
      </c>
      <c r="N2672" s="23" t="n">
        <v>2016</v>
      </c>
      <c r="O2672" s="23" t="n">
        <v>114</v>
      </c>
      <c r="P2672" s="23" t="n"/>
      <c r="Q2672" s="23" t="n"/>
      <c r="R2672" s="25" t="n"/>
      <c r="S2672" s="26">
        <f>HYPERLINK("http://www.cnpol.ru/covers/0116.jpg","фото на сайте")</f>
        <v/>
      </c>
    </row>
    <row r="2673" ht="50.1" customHeight="1" s="3">
      <c r="A2673" s="23" t="n"/>
      <c r="B2673" s="24" t="inlineStr">
        <is>
          <t>0179</t>
        </is>
      </c>
      <c r="C2673" s="23" t="inlineStr">
        <is>
          <t>МКД НО</t>
        </is>
      </c>
      <c r="D2673" s="23" t="inlineStr">
        <is>
          <t>Чейз Д.Х.</t>
        </is>
      </c>
      <c r="E2673" s="23" t="inlineStr">
        <is>
          <t>Хотите остаться в живых</t>
        </is>
      </c>
      <c r="F2673" s="23" t="inlineStr">
        <is>
          <t>        </t>
        </is>
      </c>
      <c r="G2673" s="23" t="n">
        <v>177</v>
      </c>
      <c r="H2673" s="23" t="n">
        <v>10</v>
      </c>
      <c r="I2673" s="23" t="n">
        <v>32</v>
      </c>
      <c r="J2673" s="23" t="inlineStr">
        <is>
          <t>978-5-227-07019-7</t>
        </is>
      </c>
      <c r="K2673" s="23" t="inlineStr">
        <is>
          <t>70x90 1/32</t>
        </is>
      </c>
      <c r="L2673" s="23" t="inlineStr">
        <is>
          <t>мяг</t>
        </is>
      </c>
      <c r="M2673" s="23" t="n">
        <v>192</v>
      </c>
      <c r="N2673" s="23" t="n">
        <v>2016</v>
      </c>
      <c r="O2673" s="23" t="n">
        <v>84</v>
      </c>
      <c r="P2673" s="23" t="n"/>
      <c r="Q2673" s="23" t="n"/>
      <c r="R2673" s="25" t="n"/>
      <c r="S2673" s="26">
        <f>HYPERLINK("http://www.cnpol.ru/covers/0179.jpg","фото на сайте")</f>
        <v/>
      </c>
    </row>
    <row r="2674" ht="50.1" customHeight="1" s="3">
      <c r="A2674" s="23" t="n"/>
      <c r="B2674" s="24" t="inlineStr">
        <is>
          <t>16764</t>
        </is>
      </c>
      <c r="C2674" s="23" t="inlineStr">
        <is>
          <t>МКД НО</t>
        </is>
      </c>
      <c r="D2674" s="23" t="inlineStr">
        <is>
          <t>Чейз Д.Х.</t>
        </is>
      </c>
      <c r="E2674" s="23" t="inlineStr">
        <is>
          <t>Цветок орхидеи</t>
        </is>
      </c>
      <c r="F2674" s="23" t="inlineStr">
        <is>
          <t>        </t>
        </is>
      </c>
      <c r="G2674" s="23" t="n">
        <v>177</v>
      </c>
      <c r="H2674" s="23" t="n">
        <v>10</v>
      </c>
      <c r="I2674" s="23" t="n">
        <v>32</v>
      </c>
      <c r="J2674" s="23" t="inlineStr">
        <is>
          <t>978-5-227-06725-8</t>
        </is>
      </c>
      <c r="K2674" s="23" t="inlineStr">
        <is>
          <t>70x90 1/32</t>
        </is>
      </c>
      <c r="L2674" s="23" t="inlineStr">
        <is>
          <t>мяг</t>
        </is>
      </c>
      <c r="M2674" s="23" t="n">
        <v>320</v>
      </c>
      <c r="N2674" s="23" t="n">
        <v>2016</v>
      </c>
      <c r="O2674" s="23" t="n">
        <v>134</v>
      </c>
      <c r="P2674" s="23" t="n"/>
      <c r="Q2674" s="23" t="n"/>
      <c r="R2674" s="25" t="n"/>
      <c r="S2674" s="26">
        <f>HYPERLINK("http://www.cnpol.ru/covers/16764.jpg","фото на сайте")</f>
        <v/>
      </c>
    </row>
    <row r="2675" ht="50.1" customHeight="1" s="3">
      <c r="A2675" s="23" t="n"/>
      <c r="B2675" s="24" t="inlineStr">
        <is>
          <t>0117</t>
        </is>
      </c>
      <c r="C2675" s="23" t="inlineStr">
        <is>
          <t>МКД НО</t>
        </is>
      </c>
      <c r="D2675" s="23" t="inlineStr">
        <is>
          <t>Чейз Д.Х.</t>
        </is>
      </c>
      <c r="E2675" s="23" t="inlineStr">
        <is>
          <t>Что скрывалось за фиговым листом</t>
        </is>
      </c>
      <c r="F2675" s="23" t="inlineStr">
        <is>
          <t>        </t>
        </is>
      </c>
      <c r="G2675" s="23" t="n">
        <v>177</v>
      </c>
      <c r="H2675" s="23" t="n">
        <v>10</v>
      </c>
      <c r="I2675" s="23" t="n">
        <v>32</v>
      </c>
      <c r="J2675" s="23" t="inlineStr">
        <is>
          <t>978-5-227-07021-0</t>
        </is>
      </c>
      <c r="K2675" s="23" t="inlineStr">
        <is>
          <t>70x90 1/32</t>
        </is>
      </c>
      <c r="L2675" s="23" t="inlineStr">
        <is>
          <t>мяг</t>
        </is>
      </c>
      <c r="M2675" s="23" t="n">
        <v>256</v>
      </c>
      <c r="N2675" s="23" t="n">
        <v>2016</v>
      </c>
      <c r="O2675" s="23" t="n">
        <v>112</v>
      </c>
      <c r="P2675" s="23" t="n"/>
      <c r="Q2675" s="23" t="n"/>
      <c r="R2675" s="25" t="n"/>
      <c r="S2675" s="26">
        <f>HYPERLINK("http://www.cnpol.ru/covers/0117.jpg","фото на сайте")</f>
        <v/>
      </c>
    </row>
    <row r="2676" ht="50.1" customHeight="1" s="3">
      <c r="A2676" s="23" t="n"/>
      <c r="B2676" s="24" t="inlineStr">
        <is>
          <t>0158</t>
        </is>
      </c>
      <c r="C2676" s="23" t="inlineStr">
        <is>
          <t>МКД НО</t>
        </is>
      </c>
      <c r="D2676" s="23" t="inlineStr">
        <is>
          <t>Чейз Д.Х.</t>
        </is>
      </c>
      <c r="E2676" s="23" t="inlineStr">
        <is>
          <t>Шоковая терапия</t>
        </is>
      </c>
      <c r="F2676" s="23" t="inlineStr">
        <is>
          <t>        </t>
        </is>
      </c>
      <c r="G2676" s="23" t="n">
        <v>177</v>
      </c>
      <c r="H2676" s="23" t="n">
        <v>10</v>
      </c>
      <c r="I2676" s="23" t="n">
        <v>32</v>
      </c>
      <c r="J2676" s="23" t="inlineStr">
        <is>
          <t>978-5-227-07022-7</t>
        </is>
      </c>
      <c r="K2676" s="23" t="inlineStr">
        <is>
          <t>70x90 1/32</t>
        </is>
      </c>
      <c r="L2676" s="23" t="inlineStr">
        <is>
          <t>мяг</t>
        </is>
      </c>
      <c r="M2676" s="23" t="n">
        <v>224</v>
      </c>
      <c r="N2676" s="23" t="n">
        <v>2016</v>
      </c>
      <c r="O2676" s="23" t="n">
        <v>94</v>
      </c>
      <c r="P2676" s="23" t="n"/>
      <c r="Q2676" s="23" t="n"/>
      <c r="R2676" s="25" t="n"/>
      <c r="S2676" s="26">
        <f>HYPERLINK("http://www.cnpol.ru/covers/0158.jpg","фото на сайте")</f>
        <v/>
      </c>
    </row>
    <row r="2677" ht="50.1" customHeight="1" s="3">
      <c r="A2677" s="23" t="n"/>
      <c r="B2677" s="24" t="inlineStr">
        <is>
          <t>0118</t>
        </is>
      </c>
      <c r="C2677" s="23" t="inlineStr">
        <is>
          <t>МКД НО</t>
        </is>
      </c>
      <c r="D2677" s="23" t="inlineStr">
        <is>
          <t>Чейз Д.Х.</t>
        </is>
      </c>
      <c r="E2677" s="23" t="inlineStr">
        <is>
          <t>Это не мое дело</t>
        </is>
      </c>
      <c r="F2677" s="23" t="inlineStr">
        <is>
          <t>        </t>
        </is>
      </c>
      <c r="G2677" s="23" t="n">
        <v>177</v>
      </c>
      <c r="H2677" s="23" t="n">
        <v>10</v>
      </c>
      <c r="I2677" s="23" t="n">
        <v>32</v>
      </c>
      <c r="J2677" s="23" t="inlineStr">
        <is>
          <t>978-5-227-07023-4</t>
        </is>
      </c>
      <c r="K2677" s="23" t="inlineStr">
        <is>
          <t>70x90 1/32</t>
        </is>
      </c>
      <c r="L2677" s="23" t="inlineStr">
        <is>
          <t>мяг</t>
        </is>
      </c>
      <c r="M2677" s="23" t="n">
        <v>256</v>
      </c>
      <c r="N2677" s="23" t="n">
        <v>2016</v>
      </c>
      <c r="O2677" s="23" t="n">
        <v>100</v>
      </c>
      <c r="P2677" s="23" t="n"/>
      <c r="Q2677" s="23" t="n"/>
      <c r="R2677" s="25" t="n"/>
      <c r="S2677" s="26">
        <f>HYPERLINK("http://www.cnpol.ru/covers/0118.jpg","фото на сайте")</f>
        <v/>
      </c>
    </row>
    <row r="2678" ht="50.1" customHeight="1" s="3">
      <c r="A2678" s="23" t="n"/>
      <c r="B2678" s="24" t="inlineStr">
        <is>
          <t>0136</t>
        </is>
      </c>
      <c r="C2678" s="23" t="inlineStr">
        <is>
          <t>МКД НО</t>
        </is>
      </c>
      <c r="D2678" s="23" t="inlineStr">
        <is>
          <t>Чейз Д.Х.</t>
        </is>
      </c>
      <c r="E2678" s="23" t="inlineStr">
        <is>
          <t>Это серьезно</t>
        </is>
      </c>
      <c r="F2678" s="23" t="inlineStr">
        <is>
          <t>        </t>
        </is>
      </c>
      <c r="G2678" s="23" t="n">
        <v>177</v>
      </c>
      <c r="H2678" s="23" t="n">
        <v>10</v>
      </c>
      <c r="I2678" s="23" t="n">
        <v>32</v>
      </c>
      <c r="J2678" s="23" t="inlineStr">
        <is>
          <t>978-5-227-07024-1</t>
        </is>
      </c>
      <c r="K2678" s="23" t="inlineStr">
        <is>
          <t>70x90 1/32</t>
        </is>
      </c>
      <c r="L2678" s="23" t="inlineStr">
        <is>
          <t>мяг</t>
        </is>
      </c>
      <c r="M2678" s="23" t="n">
        <v>256</v>
      </c>
      <c r="N2678" s="23" t="n">
        <v>2016</v>
      </c>
      <c r="O2678" s="23" t="n">
        <v>108</v>
      </c>
      <c r="P2678" s="23" t="n"/>
      <c r="Q2678" s="23" t="n"/>
      <c r="R2678" s="25" t="n"/>
      <c r="S2678" s="26">
        <f>HYPERLINK("http://www.cnpol.ru/covers/0136.jpg","фото на сайте")</f>
        <v/>
      </c>
    </row>
    <row r="2679" ht="50.1" customHeight="1" s="3">
      <c r="A2679" s="23" t="n"/>
      <c r="B2679" s="24" t="inlineStr">
        <is>
          <t>0119</t>
        </is>
      </c>
      <c r="C2679" s="23" t="inlineStr">
        <is>
          <t>МКД НО</t>
        </is>
      </c>
      <c r="D2679" s="23" t="inlineStr">
        <is>
          <t>Чейз Д.Х.</t>
        </is>
      </c>
      <c r="E2679" s="23" t="inlineStr">
        <is>
          <t>Я сам похороню своих мертвых</t>
        </is>
      </c>
      <c r="F2679" s="23" t="inlineStr">
        <is>
          <t>        </t>
        </is>
      </c>
      <c r="G2679" s="23" t="n">
        <v>177</v>
      </c>
      <c r="H2679" s="23" t="n">
        <v>10</v>
      </c>
      <c r="I2679" s="23" t="n">
        <v>32</v>
      </c>
      <c r="J2679" s="23" t="inlineStr">
        <is>
          <t>978-5-227-07025-8</t>
        </is>
      </c>
      <c r="K2679" s="23" t="inlineStr">
        <is>
          <t>70x90 1/32</t>
        </is>
      </c>
      <c r="L2679" s="23" t="inlineStr">
        <is>
          <t>мяг</t>
        </is>
      </c>
      <c r="M2679" s="23" t="n">
        <v>256</v>
      </c>
      <c r="N2679" s="23" t="n">
        <v>2016</v>
      </c>
      <c r="O2679" s="23" t="n">
        <v>108</v>
      </c>
      <c r="P2679" s="23" t="n"/>
      <c r="Q2679" s="23" t="n"/>
      <c r="R2679" s="25" t="n"/>
      <c r="S2679" s="26">
        <f>HYPERLINK("http://www.cnpol.ru/covers/0119.jpg","фото на сайте")</f>
        <v/>
      </c>
    </row>
    <row r="2680" ht="50.1" customHeight="1" s="3">
      <c r="A2680" s="23" t="n"/>
      <c r="B2680" s="24" t="inlineStr">
        <is>
          <t>11347</t>
        </is>
      </c>
      <c r="C2680" s="23" t="inlineStr">
        <is>
          <t>МЛЕЧИН</t>
        </is>
      </c>
      <c r="D2680" s="23" t="inlineStr">
        <is>
          <t>Млечин Л.М.</t>
        </is>
      </c>
      <c r="E2680" s="23" t="inlineStr">
        <is>
          <t>Вторая мировая Случайная война</t>
        </is>
      </c>
      <c r="F2680" s="23" t="inlineStr">
        <is>
          <t>        </t>
        </is>
      </c>
      <c r="G2680" s="23" t="n">
        <v>508</v>
      </c>
      <c r="H2680" s="23" t="n">
        <v>10</v>
      </c>
      <c r="I2680" s="23" t="n">
        <v>12</v>
      </c>
      <c r="J2680" s="23" t="inlineStr">
        <is>
          <t>978-5-9524-4490-4</t>
        </is>
      </c>
      <c r="K2680" s="23" t="inlineStr">
        <is>
          <t>84x108 1/32</t>
        </is>
      </c>
      <c r="L2680" s="23" t="inlineStr">
        <is>
          <t>тв</t>
        </is>
      </c>
      <c r="M2680" s="23" t="n">
        <v>382</v>
      </c>
      <c r="N2680" s="23" t="n">
        <v>2009</v>
      </c>
      <c r="O2680" s="23" t="n">
        <v>330</v>
      </c>
      <c r="P2680" s="23" t="n"/>
      <c r="Q2680" s="23" t="n"/>
      <c r="R2680" s="25" t="inlineStr">
        <is>
          <t>Почему все же разразилась Вторая мировая война? - таким вопросом задается Л.Млечин. Никто не хотел воевать, кроме Адольфа Гитлера. Немецкие генералы знали: Германия не настолько сильна, чтобы сокрушить противников, вермахт отражает отсталость немецкой экономики. В стране зреет ряд покушений на фюрера, в том числе и знаменитый подрыв ставки "Волчье логово". Но авантюра все же началась и продлилась неоправданно долго... _x000D_
Автор опирается на малоизвестные мемуары, документы руководителей рейха, свидетельства очевидцев. Особую достоверность повествованию придают архивные фотоснимки.</t>
        </is>
      </c>
      <c r="S2680" s="26">
        <f>HYPERLINK("http://www.cnpol.ru/covers/11347.jpg","фото на сайте")</f>
        <v/>
      </c>
    </row>
    <row r="2681" ht="50.1" customHeight="1" s="3">
      <c r="A2681" s="23" t="n"/>
      <c r="B2681" s="24" t="inlineStr">
        <is>
          <t>16777</t>
        </is>
      </c>
      <c r="C2681" s="23" t="inlineStr">
        <is>
          <t>МЛЕЧИН</t>
        </is>
      </c>
      <c r="D2681" s="23" t="inlineStr">
        <is>
          <t>Млечин Л.М.</t>
        </is>
      </c>
      <c r="E2681" s="23" t="inlineStr">
        <is>
          <t>Кремль-1953. Борьба за власть со смертельным исходом.</t>
        </is>
      </c>
      <c r="F2681" s="23" t="inlineStr">
        <is>
          <t>        </t>
        </is>
      </c>
      <c r="G2681" s="23" t="n">
        <v>615</v>
      </c>
      <c r="H2681" s="23" t="n">
        <v>10</v>
      </c>
      <c r="I2681" s="23" t="n">
        <v>12</v>
      </c>
      <c r="J2681" s="23" t="inlineStr">
        <is>
          <t>978-5-227-06819-4</t>
        </is>
      </c>
      <c r="K2681" s="23" t="inlineStr">
        <is>
          <t>84x108 1/32</t>
        </is>
      </c>
      <c r="L2681" s="23" t="inlineStr">
        <is>
          <t>тв</t>
        </is>
      </c>
      <c r="M2681" s="23" t="n">
        <v>408</v>
      </c>
      <c r="N2681" s="23" t="n">
        <v>2016</v>
      </c>
      <c r="O2681" s="23" t="n">
        <v>336</v>
      </c>
      <c r="P2681" s="23" t="n"/>
      <c r="Q2681" s="23" t="n"/>
      <c r="R2681" s="25" t="inlineStr">
        <is>
          <t>Что происходило в Кремле в последние сталинские годы? Какие планы вынашивал вождь до самого смертного часа? Почему в ведомстве на Лубянке шли бесконечные чистки и одни чекисты сажали других? По какой причине оказались в опале и ждали худшего верные сталинские сорат­ники? И отчего сразу же после кончины вождя в Кремле развернулась ожесточенная борьба за власть, которая закончилась расстрелом одного из руководителей страны? Это, пожалуй, наименее изученная глава отечественной истории._x000D_
В новой книге Леонид Млечин, рисуя картины кремлевской жизни пятидесятых годов, предлагает свою версию событий, неожиданную и ошеломляющую. Но, описывая события, которые определили будущее нашей страны, автор опирается на результаты современных исторических изыс­каний, на лишь недавно рассекреченные документы и ставшие известными воспоминания участников тех драм и трагедий.</t>
        </is>
      </c>
      <c r="S2681" s="26">
        <f>HYPERLINK("http://www.cnpol.ru/covers/16777.jpg","фото на сайте")</f>
        <v/>
      </c>
    </row>
    <row r="2682" ht="50.1" customHeight="1" s="3">
      <c r="A2682" s="23" t="n"/>
      <c r="B2682" s="24" t="inlineStr">
        <is>
          <t>20503</t>
        </is>
      </c>
      <c r="C2682" s="23" t="inlineStr">
        <is>
          <t>МЛНМ НОВ</t>
        </is>
      </c>
      <c r="D2682" s="23" t="inlineStr">
        <is>
          <t>Кэртин Д.</t>
        </is>
      </c>
      <c r="E2682" s="23" t="inlineStr">
        <is>
          <t>Легенды и мифы Ирландии</t>
        </is>
      </c>
      <c r="F2682" s="23" t="inlineStr">
        <is>
          <t>        </t>
        </is>
      </c>
      <c r="G2682" s="23" t="n">
        <v>763</v>
      </c>
      <c r="H2682" s="23" t="n">
        <v>10</v>
      </c>
      <c r="I2682" s="23" t="n">
        <v>20</v>
      </c>
      <c r="J2682" s="23" t="inlineStr">
        <is>
          <t>978-5-9524-5767-6</t>
        </is>
      </c>
      <c r="K2682" s="23" t="inlineStr">
        <is>
          <t>84x108 1/32</t>
        </is>
      </c>
      <c r="L2682" s="23" t="inlineStr">
        <is>
          <t>тв</t>
        </is>
      </c>
      <c r="M2682" s="23" t="n">
        <v>224</v>
      </c>
      <c r="N2682" s="23" t="n">
        <v>2023</v>
      </c>
      <c r="O2682" s="23" t="n">
        <v>218</v>
      </c>
      <c r="P2682" s="23" t="n"/>
      <c r="Q2682" s="23" t="n"/>
      <c r="R2682" s="25" t="inlineStr">
        <is>
          <t>Книга представляет собой собрание ирландских преданий, составленное знаменитым фольклористом и лингвистом Джеремией Кэртином. Почерпнутые у гэльских сказителей, эти предания автор объединил в две группы: в первой предлагаются ирландские версии распространенных европейских сказок; во второй - истории из цикла о фениях, о Финне Маккумайле и др.</t>
        </is>
      </c>
      <c r="S2682" s="26">
        <f>HYPERLINK("http://www.cnpol.ru/covers/20503.jpg","фото на сайте")</f>
        <v/>
      </c>
    </row>
    <row r="2683" ht="50.1" customHeight="1" s="3">
      <c r="A2683" s="23" t="n"/>
      <c r="B2683" s="24" t="inlineStr">
        <is>
          <t>20286</t>
        </is>
      </c>
      <c r="C2683" s="23" t="inlineStr">
        <is>
          <t>МЛНМ НОВ</t>
        </is>
      </c>
      <c r="D2683" s="23" t="inlineStr">
        <is>
          <t>Дуглас Д.</t>
        </is>
      </c>
      <c r="E2683" s="23" t="inlineStr">
        <is>
          <t>Легенды и предания Шотландии</t>
        </is>
      </c>
      <c r="F2683" s="23" t="inlineStr">
        <is>
          <t>        </t>
        </is>
      </c>
      <c r="G2683" s="23" t="n">
        <v>763</v>
      </c>
      <c r="H2683" s="23" t="n">
        <v>10</v>
      </c>
      <c r="I2683" s="23" t="n">
        <v>20</v>
      </c>
      <c r="J2683" s="23" t="inlineStr">
        <is>
          <t>978-5-9524-5736-2</t>
        </is>
      </c>
      <c r="K2683" s="23" t="inlineStr">
        <is>
          <t>84x108 1/32</t>
        </is>
      </c>
      <c r="L2683" s="23" t="inlineStr">
        <is>
          <t>тв</t>
        </is>
      </c>
      <c r="M2683" s="23" t="n">
        <v>256</v>
      </c>
      <c r="N2683" s="23" t="n">
        <v>2022</v>
      </c>
      <c r="O2683" s="23" t="n">
        <v>312</v>
      </c>
      <c r="P2683" s="23" t="n"/>
      <c r="Q2683" s="23" t="n"/>
      <c r="R2683" s="25" t="inlineStr">
        <is>
          <t>Джордж Дуглас — известный шотландский фольклорист — собрал в этой книге сказки, предания, легенды и басни горной Шотландии. Вы узнаете о гордых кланах горцев, тайнах древних замков, о суровой природе, бросающей вызов отважным людям. В таком противостоянии выковался необыкновенный характер этого народа, а постоянная борьба со стихиями придала оттенок мрачности их мощному воображению. Философия шотландского фольклора отрицает мелкие человеческие чувства, она полна удивления перед непостижимостью мироздания и тайной человеческой души.</t>
        </is>
      </c>
      <c r="S2683" s="26">
        <f>HYPERLINK("http://www.cnpol.ru/covers/20286.jpg","фото на сайте")</f>
        <v/>
      </c>
    </row>
    <row r="2684" ht="50.1" customHeight="1" s="3">
      <c r="A2684" s="23" t="n"/>
      <c r="B2684" s="24" t="inlineStr">
        <is>
          <t>19747</t>
        </is>
      </c>
      <c r="C2684" s="23" t="inlineStr">
        <is>
          <t>МЛНМ НОВ</t>
        </is>
      </c>
      <c r="D2684" s="23" t="inlineStr">
        <is>
          <t>Хартленд Э.</t>
        </is>
      </c>
      <c r="E2684" s="23" t="inlineStr">
        <is>
          <t>Легенды старой Англии</t>
        </is>
      </c>
      <c r="F2684" s="23" t="inlineStr">
        <is>
          <t>        </t>
        </is>
      </c>
      <c r="G2684" s="23" t="n">
        <v>763</v>
      </c>
      <c r="H2684" s="23" t="n">
        <v>10</v>
      </c>
      <c r="I2684" s="23" t="n">
        <v>14</v>
      </c>
      <c r="J2684" s="23" t="inlineStr">
        <is>
          <t>978-5-9524-5542-9</t>
        </is>
      </c>
      <c r="K2684" s="23" t="inlineStr">
        <is>
          <t>84x108 1/32</t>
        </is>
      </c>
      <c r="L2684" s="23" t="inlineStr">
        <is>
          <t>тв</t>
        </is>
      </c>
      <c r="M2684" s="23" t="n">
        <v>222</v>
      </c>
      <c r="N2684" s="23" t="n">
        <v>2021</v>
      </c>
      <c r="O2684" s="23" t="n">
        <v>218</v>
      </c>
      <c r="P2684" s="23" t="n"/>
      <c r="Q2684" s="23" t="n"/>
      <c r="R2684" s="25" t="inlineStr">
        <is>
          <t>В собрании Э.Хартленда представлены саги, предания, легенды и сказки старой Англии. Мир волшебных прелестных и безобразных созданий, взаимодействуя с миром людей, поражает немыслимо парадоксальную смесь острого гротеска, нежной чувствительности и леденящего душу ужаса.</t>
        </is>
      </c>
      <c r="S2684" s="26">
        <f>HYPERLINK("http://www.cnpol.ru/covers/19747.jpg","фото на сайте")</f>
        <v/>
      </c>
    </row>
    <row r="2685" ht="50.1" customHeight="1" s="3">
      <c r="A2685" s="23" t="n"/>
      <c r="B2685" s="24" t="inlineStr">
        <is>
          <t>20301</t>
        </is>
      </c>
      <c r="C2685" s="23" t="inlineStr">
        <is>
          <t>МЛНМ НОВ</t>
        </is>
      </c>
      <c r="D2685" s="23" t="inlineStr">
        <is>
          <t>Ананикян М.</t>
        </is>
      </c>
      <c r="E2685" s="23" t="inlineStr">
        <is>
          <t>Мифы Армении</t>
        </is>
      </c>
      <c r="F2685" s="23" t="inlineStr">
        <is>
          <t>        </t>
        </is>
      </c>
      <c r="G2685" s="23" t="n">
        <v>763</v>
      </c>
      <c r="H2685" s="23" t="n">
        <v>10</v>
      </c>
      <c r="I2685" s="23" t="n">
        <v>24</v>
      </c>
      <c r="J2685" s="23" t="inlineStr">
        <is>
          <t>978-5-9524-5721-8</t>
        </is>
      </c>
      <c r="K2685" s="23" t="inlineStr">
        <is>
          <t>84x108 1/32</t>
        </is>
      </c>
      <c r="L2685" s="23" t="inlineStr">
        <is>
          <t>тв</t>
        </is>
      </c>
      <c r="M2685" s="23" t="n">
        <v>192</v>
      </c>
      <c r="N2685" s="23" t="n">
        <v>2022</v>
      </c>
      <c r="O2685" s="23" t="n">
        <v>202</v>
      </c>
      <c r="P2685" s="23" t="n"/>
      <c r="Q2685" s="23" t="n"/>
      <c r="R2685" s="25" t="n"/>
      <c r="S2685" s="26">
        <f>HYPERLINK("http://www.cnpol.ru/covers/20301.jpg","фото на сайте")</f>
        <v/>
      </c>
    </row>
    <row r="2686" ht="50.1" customHeight="1" s="3">
      <c r="A2686" s="23" t="n"/>
      <c r="B2686" s="24" t="inlineStr">
        <is>
          <t>19993</t>
        </is>
      </c>
      <c r="C2686" s="23" t="inlineStr">
        <is>
          <t>МЛНМ НОВ</t>
        </is>
      </c>
      <c r="D2686" s="23" t="inlineStr">
        <is>
          <t>Хук С.</t>
        </is>
      </c>
      <c r="E2686" s="23" t="inlineStr">
        <is>
          <t>Мифы Ближнего Востока</t>
        </is>
      </c>
      <c r="F2686" s="23" t="inlineStr">
        <is>
          <t>        </t>
        </is>
      </c>
      <c r="G2686" s="23" t="n">
        <v>763</v>
      </c>
      <c r="H2686" s="23" t="n">
        <v>10</v>
      </c>
      <c r="I2686" s="23" t="n">
        <v>16</v>
      </c>
      <c r="J2686" s="23" t="inlineStr">
        <is>
          <t>978-5-9524-5558-0</t>
        </is>
      </c>
      <c r="K2686" s="23" t="inlineStr">
        <is>
          <t>84x108 1/32</t>
        </is>
      </c>
      <c r="L2686" s="23" t="inlineStr">
        <is>
          <t>тв</t>
        </is>
      </c>
      <c r="M2686" s="23" t="n">
        <v>176</v>
      </c>
      <c r="N2686" s="23" t="n">
        <v>2021</v>
      </c>
      <c r="O2686" s="23" t="n">
        <v>202</v>
      </c>
      <c r="P2686" s="23" t="n"/>
      <c r="Q2686" s="23" t="n"/>
      <c r="R2686" s="25" t="n"/>
      <c r="S2686" s="26">
        <f>HYPERLINK("http://www.cnpol.ru/covers/19993.jpg","фото на сайте")</f>
        <v/>
      </c>
    </row>
    <row r="2687" ht="50.1" customHeight="1" s="3">
      <c r="A2687" s="23" t="n"/>
      <c r="B2687" s="24" t="inlineStr">
        <is>
          <t>20654</t>
        </is>
      </c>
      <c r="C2687" s="23" t="inlineStr">
        <is>
          <t>МЛНМ НОВ</t>
        </is>
      </c>
      <c r="D2687" s="23" t="inlineStr">
        <is>
          <t>Гербер Х.</t>
        </is>
      </c>
      <c r="E2687" s="23" t="inlineStr">
        <is>
          <t>Мифы Греции и Рима</t>
        </is>
      </c>
      <c r="F2687" s="23" t="inlineStr">
        <is>
          <t>        </t>
        </is>
      </c>
      <c r="G2687" s="23" t="n">
        <v>763</v>
      </c>
      <c r="H2687" s="23" t="n">
        <v>10</v>
      </c>
      <c r="I2687" s="23" t="n">
        <v>18</v>
      </c>
      <c r="J2687" s="23" t="inlineStr">
        <is>
          <t>978-5-9524-5871-0</t>
        </is>
      </c>
      <c r="K2687" s="23" t="inlineStr">
        <is>
          <t>84x108 1/32</t>
        </is>
      </c>
      <c r="L2687" s="23" t="inlineStr">
        <is>
          <t>тв</t>
        </is>
      </c>
      <c r="M2687" s="23" t="n">
        <v>302</v>
      </c>
      <c r="N2687" s="23" t="n">
        <v>2023</v>
      </c>
      <c r="O2687" s="23" t="n">
        <v>338</v>
      </c>
      <c r="P2687" s="23" t="n"/>
      <c r="Q2687" s="23" t="n"/>
      <c r="R2687" s="25" t="inlineStr">
        <is>
          <t>Мифы Греции и Рима в изложении Хелен Гербер — это систематизированное собрание написанных живым, остроумным языком увлекательных историй о начале мира, происхождении богов и их вмешательстве в дела людей. Легенды о вождях-героях, о дальнем походе аргонавтов, об Одиссее, Троянской войне и многие другие, без знания которых невозможно понимание сюжетов мировой живописи, музыки, литературы.</t>
        </is>
      </c>
      <c r="S2687" s="26">
        <f>HYPERLINK("http://www.cnpol.ru/covers/20654.jpg","фото на сайте")</f>
        <v/>
      </c>
    </row>
    <row r="2688" ht="50.1" customHeight="1" s="3">
      <c r="A2688" s="23" t="n"/>
      <c r="B2688" s="24" t="inlineStr">
        <is>
          <t>20429</t>
        </is>
      </c>
      <c r="C2688" s="23" t="inlineStr">
        <is>
          <t>МЛНМ НОВ</t>
        </is>
      </c>
      <c r="D2688" s="23" t="inlineStr">
        <is>
          <t>Мюллер М.</t>
        </is>
      </c>
      <c r="E2688" s="23" t="inlineStr">
        <is>
          <t>Мифы Древнего Египта</t>
        </is>
      </c>
      <c r="F2688" s="23" t="inlineStr">
        <is>
          <t>        </t>
        </is>
      </c>
      <c r="G2688" s="23" t="n">
        <v>763</v>
      </c>
      <c r="H2688" s="23" t="n">
        <v>10</v>
      </c>
      <c r="I2688" s="23" t="n">
        <v>16</v>
      </c>
      <c r="J2688" s="23" t="inlineStr">
        <is>
          <t>978-5-9524-5644-0</t>
        </is>
      </c>
      <c r="K2688" s="23" t="inlineStr">
        <is>
          <t>84x108 1/32</t>
        </is>
      </c>
      <c r="L2688" s="23" t="inlineStr">
        <is>
          <t>тв</t>
        </is>
      </c>
      <c r="M2688" s="23" t="n">
        <v>335</v>
      </c>
      <c r="N2688" s="23" t="n">
        <v>2022</v>
      </c>
      <c r="O2688" s="23" t="n">
        <v>420</v>
      </c>
      <c r="P2688" s="23" t="n"/>
      <c r="Q2688" s="23" t="n"/>
      <c r="R2688" s="25" t="inlineStr">
        <is>
          <t>Книга Макса Мюллера — фундаментальное исследование египетской мифологии. Автор прослеживает изменения в мистическом сознании древнего человека от первоначального темного иррационального анимизма и фетишизма до развитых форм религиозного мифа. Строго научный подход, обзор обширной литературы по каждой теме, точное цитирование и подробный разбор мельчайших деталей, относящихся к древнейшим магическим обрядам и ритуалам, делают книгу неоценимым подспорьем в изучении истории, религии и мистики Древнего Египта.</t>
        </is>
      </c>
      <c r="S2688" s="26">
        <f>HYPERLINK("http://www.cnpol.ru/covers/20429.jpg","фото на сайте")</f>
        <v/>
      </c>
    </row>
    <row r="2689" ht="50.1" customHeight="1" s="3">
      <c r="A2689" s="23" t="n"/>
      <c r="B2689" s="24" t="inlineStr">
        <is>
          <t>20596</t>
        </is>
      </c>
      <c r="C2689" s="23" t="inlineStr">
        <is>
          <t>МЛНМ НОВ</t>
        </is>
      </c>
      <c r="D2689" s="23" t="inlineStr">
        <is>
          <t>Вернер Э.</t>
        </is>
      </c>
      <c r="E2689" s="23" t="inlineStr">
        <is>
          <t>Мифы и легенды Китая</t>
        </is>
      </c>
      <c r="F2689" s="23" t="inlineStr">
        <is>
          <t>        </t>
        </is>
      </c>
      <c r="G2689" s="23" t="n">
        <v>806</v>
      </c>
      <c r="H2689" s="23" t="n">
        <v>10</v>
      </c>
      <c r="I2689" s="23" t="n">
        <v>14</v>
      </c>
      <c r="J2689" s="23" t="inlineStr">
        <is>
          <t>978-5-9524-5920-5</t>
        </is>
      </c>
      <c r="K2689" s="23" t="inlineStr">
        <is>
          <t>84x108 1/32</t>
        </is>
      </c>
      <c r="L2689" s="23" t="inlineStr">
        <is>
          <t>тв</t>
        </is>
      </c>
      <c r="M2689" s="23" t="n">
        <v>365</v>
      </c>
      <c r="N2689" s="23" t="n">
        <v>2023</v>
      </c>
      <c r="O2689" s="23" t="n">
        <v>430</v>
      </c>
      <c r="P2689" s="23" t="n"/>
      <c r="Q2689" s="23" t="n"/>
      <c r="R2689" s="25" t="inlineStr">
        <is>
          <t>В фундаментальном исследовании китайской мифологии рассказывается о происхождении китайцев, их языке, привычках, обрядах и особенностях этикета. О том, как древнейшие легенды, сказки и религиозные представления китайского народа были переосмыслены в духе идей даосизма, затем буддизма, а позже сплавились в причудливый многоцветный мир, испытавший глубокое влияние конфуцианства.</t>
        </is>
      </c>
      <c r="S2689" s="26">
        <f>HYPERLINK("http://www.cnpol.ru/covers/20596.jpg","фото на сайте")</f>
        <v/>
      </c>
    </row>
    <row r="2690" ht="50.1" customHeight="1" s="3">
      <c r="A2690" s="23" t="n"/>
      <c r="B2690" s="24" t="inlineStr">
        <is>
          <t>19065</t>
        </is>
      </c>
      <c r="C2690" s="23" t="inlineStr">
        <is>
          <t>МЛНМ НОВ</t>
        </is>
      </c>
      <c r="D2690" s="23" t="inlineStr">
        <is>
          <t>Булфинч Т.</t>
        </is>
      </c>
      <c r="E2690" s="23" t="inlineStr">
        <is>
          <t>Мифы и легенды рыцарской эпохи</t>
        </is>
      </c>
      <c r="F2690" s="23" t="inlineStr">
        <is>
          <t>        </t>
        </is>
      </c>
      <c r="G2690" s="23" t="n">
        <v>763</v>
      </c>
      <c r="H2690" s="23" t="n">
        <v>10</v>
      </c>
      <c r="I2690" s="23" t="n">
        <v>14</v>
      </c>
      <c r="J2690" s="23" t="inlineStr">
        <is>
          <t>978-5-9524-5403-3</t>
        </is>
      </c>
      <c r="K2690" s="23" t="inlineStr">
        <is>
          <t>84x108 1/32</t>
        </is>
      </c>
      <c r="L2690" s="23" t="inlineStr">
        <is>
          <t>тв</t>
        </is>
      </c>
      <c r="M2690" s="23" t="n">
        <v>352</v>
      </c>
      <c r="N2690" s="23" t="n">
        <v>2020</v>
      </c>
      <c r="O2690" s="23" t="n">
        <v>432</v>
      </c>
      <c r="P2690" s="23" t="n"/>
      <c r="Q2690" s="23" t="n"/>
      <c r="R2690" s="25" t="n"/>
      <c r="S2690" s="26">
        <f>HYPERLINK("http://www.cnpol.ru/covers/19065.jpg","фото на сайте")</f>
        <v/>
      </c>
    </row>
    <row r="2691" ht="50.1" customHeight="1" s="3">
      <c r="A2691" s="23" t="n"/>
      <c r="B2691" s="24" t="inlineStr">
        <is>
          <t>20472</t>
        </is>
      </c>
      <c r="C2691" s="23" t="inlineStr">
        <is>
          <t>МЛНМ НОВ</t>
        </is>
      </c>
      <c r="D2691" s="23" t="inlineStr">
        <is>
          <t>Баринг-Гоулд С.</t>
        </is>
      </c>
      <c r="E2691" s="23" t="inlineStr">
        <is>
          <t>Мифы и легенды Средневековья</t>
        </is>
      </c>
      <c r="F2691" s="23" t="inlineStr">
        <is>
          <t>        </t>
        </is>
      </c>
      <c r="G2691" s="23" t="n">
        <v>806</v>
      </c>
      <c r="H2691" s="23" t="n">
        <v>10</v>
      </c>
      <c r="I2691" s="23" t="n">
        <v>14</v>
      </c>
      <c r="J2691" s="23" t="inlineStr">
        <is>
          <t>978-5-9524-5672-3</t>
        </is>
      </c>
      <c r="K2691" s="23" t="inlineStr">
        <is>
          <t>84x108 1/32</t>
        </is>
      </c>
      <c r="L2691" s="23" t="inlineStr">
        <is>
          <t>тв</t>
        </is>
      </c>
      <c r="M2691" s="23" t="n">
        <v>382</v>
      </c>
      <c r="N2691" s="23" t="n">
        <v>2022</v>
      </c>
      <c r="O2691" s="23" t="n">
        <v>422</v>
      </c>
      <c r="P2691" s="23" t="n"/>
      <c r="Q2691" s="23" t="n"/>
      <c r="R2691" s="25" t="inlineStr">
        <is>
          <t>Давая возможность лучше понять странный, причудливый мир Средневековья, известный английский писатель Сабин Баринг­Гоулд исследует самые любопытные мифы раннего христианства, подробно рассказывает о символике и таинственных, мистически связанных между собой предметах, людях, явлениях природы, которые рождали новые смыслы и понятия, ставшие впоследствии зачатками наук, общественных и религиозных институтов современности. Легенда о Вечном жиде и идея бессмертия, всемирное значение креста как символа жизни, загадочная суть Святого Грааля и многие странные и непонятные феномены духа и сознания в верованиях и представлениях людей Баринг­Гоулд также пытается объяснить с помощью мифов. Эта необычная книга не только захватывает воображение, но и обогащает множеством интереснейших знаний из средневековой истории и культуры.</t>
        </is>
      </c>
      <c r="S2691" s="26">
        <f>HYPERLINK("http://www.cnpol.ru/covers/20472.jpg","фото на сайте")</f>
        <v/>
      </c>
    </row>
    <row r="2692" ht="50.1" customHeight="1" s="3">
      <c r="A2692" s="23" t="n"/>
      <c r="B2692" s="24" t="inlineStr">
        <is>
          <t>20052</t>
        </is>
      </c>
      <c r="C2692" s="23" t="inlineStr">
        <is>
          <t>МЛНМ НОВ</t>
        </is>
      </c>
      <c r="D2692" s="23" t="inlineStr">
        <is>
          <t>Дэвис Х.</t>
        </is>
      </c>
      <c r="E2692" s="23" t="inlineStr">
        <is>
          <t>Мифы и легенды Японии</t>
        </is>
      </c>
      <c r="F2692" s="23" t="inlineStr">
        <is>
          <t>        </t>
        </is>
      </c>
      <c r="G2692" s="23" t="n">
        <v>897</v>
      </c>
      <c r="H2692" s="23" t="n">
        <v>10</v>
      </c>
      <c r="I2692" s="23" t="n">
        <v>8</v>
      </c>
      <c r="J2692" s="23" t="inlineStr">
        <is>
          <t>978-5-9524-5612-9</t>
        </is>
      </c>
      <c r="K2692" s="23" t="inlineStr">
        <is>
          <t>84x108 1/32</t>
        </is>
      </c>
      <c r="L2692" s="23" t="inlineStr">
        <is>
          <t>тв</t>
        </is>
      </c>
      <c r="M2692" s="23" t="n">
        <v>384</v>
      </c>
      <c r="N2692" s="23" t="n">
        <v>2021</v>
      </c>
      <c r="O2692" s="23" t="n">
        <v>406</v>
      </c>
      <c r="P2692" s="23" t="n"/>
      <c r="Q2692" s="23" t="n"/>
      <c r="R2692" s="25" t="n"/>
      <c r="S2692" s="26">
        <f>HYPERLINK("http://www.cnpol.ru/covers/20052.jpg","фото на сайте")</f>
        <v/>
      </c>
    </row>
    <row r="2693" ht="50.1" customHeight="1" s="3">
      <c r="A2693" s="23" t="n"/>
      <c r="B2693" s="24" t="inlineStr">
        <is>
          <t>20051</t>
        </is>
      </c>
      <c r="C2693" s="23" t="inlineStr">
        <is>
          <t>МЛНМ НОВ</t>
        </is>
      </c>
      <c r="D2693" s="23" t="inlineStr">
        <is>
          <t>Гербер Х.</t>
        </is>
      </c>
      <c r="E2693" s="23" t="inlineStr">
        <is>
          <t>Мифы Северной Европы</t>
        </is>
      </c>
      <c r="F2693" s="23" t="inlineStr">
        <is>
          <t>        </t>
        </is>
      </c>
      <c r="G2693" s="23" t="n">
        <v>897</v>
      </c>
      <c r="H2693" s="23" t="n">
        <v>10</v>
      </c>
      <c r="I2693" s="23" t="n">
        <v>8</v>
      </c>
      <c r="J2693" s="23" t="inlineStr">
        <is>
          <t>978-5-9524-5631-0</t>
        </is>
      </c>
      <c r="K2693" s="23" t="inlineStr">
        <is>
          <t>84x108 1/32</t>
        </is>
      </c>
      <c r="L2693" s="23" t="inlineStr">
        <is>
          <t>тв</t>
        </is>
      </c>
      <c r="M2693" s="23" t="n">
        <v>352</v>
      </c>
      <c r="N2693" s="23" t="n">
        <v>2021</v>
      </c>
      <c r="O2693" s="23" t="n">
        <v>432</v>
      </c>
      <c r="P2693" s="23" t="n"/>
      <c r="Q2693" s="23" t="n"/>
      <c r="R2693" s="25" t="n"/>
      <c r="S2693" s="26">
        <f>HYPERLINK("http://www.cnpol.ru/covers/20051.jpg","фото на сайте")</f>
        <v/>
      </c>
    </row>
    <row r="2694" ht="50.1" customHeight="1" s="3">
      <c r="A2694" s="23" t="n"/>
      <c r="B2694" s="24" t="inlineStr">
        <is>
          <t>19043</t>
        </is>
      </c>
      <c r="C2694" s="23" t="inlineStr">
        <is>
          <t>МЛНМ НОВ</t>
        </is>
      </c>
      <c r="D2694" s="23" t="inlineStr">
        <is>
          <t>Вагнер В.</t>
        </is>
      </c>
      <c r="E2694" s="23" t="inlineStr">
        <is>
          <t>Норвежские, кельтские и тевтонские легенды</t>
        </is>
      </c>
      <c r="F2694" s="23" t="inlineStr">
        <is>
          <t>        </t>
        </is>
      </c>
      <c r="G2694" s="23" t="n">
        <v>763</v>
      </c>
      <c r="H2694" s="23" t="n">
        <v>10</v>
      </c>
      <c r="I2694" s="23" t="n">
        <v>16</v>
      </c>
      <c r="J2694" s="23" t="inlineStr">
        <is>
          <t>978-5-9524-5396-8</t>
        </is>
      </c>
      <c r="K2694" s="23" t="inlineStr">
        <is>
          <t>84x108 1/32</t>
        </is>
      </c>
      <c r="L2694" s="23" t="inlineStr">
        <is>
          <t>тв</t>
        </is>
      </c>
      <c r="M2694" s="23" t="n">
        <v>288</v>
      </c>
      <c r="N2694" s="23" t="n">
        <v>2020</v>
      </c>
      <c r="O2694" s="23" t="n">
        <v>330</v>
      </c>
      <c r="P2694" s="23" t="n"/>
      <c r="Q2694" s="23" t="n"/>
      <c r="R2694" s="25" t="n"/>
      <c r="S2694" s="26">
        <f>HYPERLINK("http://www.cnpol.ru/covers/19043.jpg","фото на сайте")</f>
        <v/>
      </c>
    </row>
    <row r="2695" ht="50.1" customHeight="1" s="3">
      <c r="A2695" s="23" t="n"/>
      <c r="B2695" s="24" t="inlineStr">
        <is>
          <t>10916</t>
        </is>
      </c>
      <c r="C2695" s="23" t="inlineStr">
        <is>
          <t>ММ</t>
        </is>
      </c>
      <c r="D2695" s="23" t="inlineStr">
        <is>
          <t>Дубровская С.В.</t>
        </is>
      </c>
      <c r="E2695" s="23" t="inlineStr">
        <is>
          <t>Подвижные игры для детей от 3 до 7 лет</t>
        </is>
      </c>
      <c r="F2695" s="23" t="inlineStr">
        <is>
          <t>        </t>
        </is>
      </c>
      <c r="G2695" s="23" t="n">
        <v>150</v>
      </c>
      <c r="H2695" s="23" t="n">
        <v>10</v>
      </c>
      <c r="I2695" s="23" t="n">
        <v>34</v>
      </c>
      <c r="J2695" s="23" t="inlineStr">
        <is>
          <t>978-5-9524-4036-4</t>
        </is>
      </c>
      <c r="K2695" s="23" t="inlineStr">
        <is>
          <t>84x108 1/32 (обл)</t>
        </is>
      </c>
      <c r="L2695" s="23" t="inlineStr">
        <is>
          <t>мяг</t>
        </is>
      </c>
      <c r="M2695" s="23" t="n">
        <v>157</v>
      </c>
      <c r="N2695" s="23" t="n">
        <v>2008</v>
      </c>
      <c r="O2695" s="23" t="n">
        <v>98</v>
      </c>
      <c r="P2695" s="23" t="n"/>
      <c r="Q2695" s="23" t="n"/>
      <c r="R2695" s="25" t="n"/>
      <c r="S2695" s="26">
        <f>HYPERLINK("http://www.cnpol.ru/covers/10916.jpg","фото на сайте")</f>
        <v/>
      </c>
    </row>
    <row r="2696" ht="50.1" customHeight="1" s="3">
      <c r="A2696" s="23" t="inlineStr">
        <is>
          <t>Д</t>
        </is>
      </c>
      <c r="B2696" s="24" t="inlineStr">
        <is>
          <t>22057</t>
        </is>
      </c>
      <c r="C2696" s="23" t="inlineStr">
        <is>
          <t>МНМ-С</t>
        </is>
      </c>
      <c r="D2696" s="23" t="inlineStr">
        <is>
          <t>Мудрова И.А.</t>
        </is>
      </c>
      <c r="E2696" s="23" t="inlineStr">
        <is>
          <t>Словарь славянской мифологии</t>
        </is>
      </c>
      <c r="F2696" s="23" t="inlineStr">
        <is>
          <t>        </t>
        </is>
      </c>
      <c r="G2696" s="23" t="n">
        <v>888</v>
      </c>
      <c r="H2696" s="23" t="n">
        <v>10</v>
      </c>
      <c r="I2696" s="23" t="n">
        <v>10</v>
      </c>
      <c r="J2696" s="23" t="inlineStr">
        <is>
          <t>978-5-227-11286-6</t>
        </is>
      </c>
      <c r="K2696" s="23" t="inlineStr">
        <is>
          <t>84x108 1/32</t>
        </is>
      </c>
      <c r="L2696" s="23" t="inlineStr">
        <is>
          <t>тв</t>
        </is>
      </c>
      <c r="M2696" s="23" t="n">
        <v>238</v>
      </c>
      <c r="N2696" s="23" t="n">
        <v>2026</v>
      </c>
      <c r="O2696" s="23" t="n">
        <v>307</v>
      </c>
      <c r="P2696" s="23" t="n"/>
      <c r="Q2696" s="23" t="n"/>
      <c r="R2696" s="25" t="inlineStr">
        <is>
          <t>"Эта книга расскажет вам о мире языческих богов, многих фантастических существах и мифических персонажах. Из нее вы узнаете, что не случайно до сих пор многие деревни и села носят имя бога Велеса, раскроете для себя смысл многих слов, традиционно употребляемых нами, и поймете, что сказочная Баба-яга и былинные богатыри не просто порождение фантазии некоего сочинителя, а отражение представлений о мире наших предков — славян.
Обязательно прочтите эту книгу, вас ждет много интересного: о верованиях и обрядах наших славянских предков; о сходстве и отличии религиозных воззрений различных племен; о том, какие животные почитались и какими магическими свойствами они наделялись; о праздниках, представлениях о жизни и смерти, добре и зле…
Издание будет интересно школьникам, студентам, а также всем, кто увлекается фольклором, историей и культурой славян."</t>
        </is>
      </c>
      <c r="S2696" s="26">
        <f>HYPERLINK("http://www.cnpol.ru/covers/22057.jpg","фото на сайте")</f>
        <v/>
      </c>
    </row>
    <row r="2697" ht="50.1" customHeight="1" s="3">
      <c r="A2697" s="23" t="n"/>
      <c r="B2697" s="24" t="inlineStr">
        <is>
          <t>8780</t>
        </is>
      </c>
      <c r="C2697" s="23" t="inlineStr">
        <is>
          <t>МНП</t>
        </is>
      </c>
      <c r="D2697" s="23" t="inlineStr">
        <is>
          <t>Константинов В.</t>
        </is>
      </c>
      <c r="E2697" s="23" t="inlineStr">
        <is>
          <t>Жестокие игры</t>
        </is>
      </c>
      <c r="F2697" s="23" t="inlineStr">
        <is>
          <t>        </t>
        </is>
      </c>
      <c r="G2697" s="23" t="n">
        <v>168</v>
      </c>
      <c r="H2697" s="23" t="n">
        <v>10</v>
      </c>
      <c r="I2697" s="23" t="n">
        <v>20</v>
      </c>
      <c r="J2697" s="23" t="inlineStr">
        <is>
          <t>978-5-9524-3035-8</t>
        </is>
      </c>
      <c r="K2697" s="23" t="inlineStr">
        <is>
          <t>70x90 1/32</t>
        </is>
      </c>
      <c r="L2697" s="23" t="inlineStr">
        <is>
          <t>мяг</t>
        </is>
      </c>
      <c r="M2697" s="23" t="n">
        <v>412</v>
      </c>
      <c r="N2697" s="23" t="n">
        <v>2007</v>
      </c>
      <c r="O2697" s="23" t="n">
        <v>172</v>
      </c>
      <c r="P2697" s="23" t="n"/>
      <c r="Q2697" s="23" t="n"/>
      <c r="R2697" s="25" t="inlineStr">
        <is>
          <t>Нападение в людном месте крупного сибирского города на молодого мужчину закончилось перестрелкой. Мужчина  скрылся, оставив на месте преступления труп. Похоже на очередную мафиозную разборку. Но то, что убийство оказалось "чистым", без каких-либо следов и улик, вызывает подозрение у сотрудников правоохранительных органов Шатрова и Беркутова. А их коллега Юрий Дронов убедился, что дело гораздо сложнее, когда собственной спиной почувствовал дуло пистолета секретного агента ФСБ...</t>
        </is>
      </c>
      <c r="S2697" s="26">
        <f>HYPERLINK("http://www.cnpol.ru/covers/8780.jpg","фото на сайте")</f>
        <v/>
      </c>
    </row>
    <row r="2698" ht="50.1" customHeight="1" s="3">
      <c r="A2698" s="23" t="n"/>
      <c r="B2698" s="24" t="inlineStr">
        <is>
          <t>8719</t>
        </is>
      </c>
      <c r="C2698" s="23" t="inlineStr">
        <is>
          <t>МНП</t>
        </is>
      </c>
      <c r="D2698" s="23" t="inlineStr">
        <is>
          <t>Константинов В.</t>
        </is>
      </c>
      <c r="E2698" s="23" t="inlineStr">
        <is>
          <t>Игра по крупному</t>
        </is>
      </c>
      <c r="F2698" s="23" t="inlineStr">
        <is>
          <t>        </t>
        </is>
      </c>
      <c r="G2698" s="23" t="n">
        <v>168</v>
      </c>
      <c r="H2698" s="23" t="n">
        <v>10</v>
      </c>
      <c r="I2698" s="23" t="n">
        <v>16</v>
      </c>
      <c r="J2698" s="23" t="inlineStr">
        <is>
          <t>978-5-9524-2983-3</t>
        </is>
      </c>
      <c r="K2698" s="23" t="inlineStr">
        <is>
          <t>70x90 1/32</t>
        </is>
      </c>
      <c r="L2698" s="23" t="inlineStr">
        <is>
          <t>мяг</t>
        </is>
      </c>
      <c r="M2698" s="23" t="n">
        <v>397</v>
      </c>
      <c r="N2698" s="23" t="n">
        <v>2008</v>
      </c>
      <c r="O2698" s="23" t="n">
        <v>172</v>
      </c>
      <c r="P2698" s="23" t="n"/>
      <c r="Q2698" s="23" t="n"/>
      <c r="R2698" s="25" t="inlineStr">
        <is>
          <t>Всемогущий сибирский олигарх Виктор Сосновский "заказал" крупного торговца оружием и нркотиками Руслана Татиева. Он посчитал, что тот становится излишне самостоятельной фигурой на Кавказе. Подпалковник ФСБ Павел Кольцов спасает Татиева от гибели.</t>
        </is>
      </c>
      <c r="S2698" s="26">
        <f>HYPERLINK("http://www.cnpol.ru/covers/8719.jpg","фото на сайте")</f>
        <v/>
      </c>
    </row>
    <row r="2699" ht="50.1" customHeight="1" s="3">
      <c r="A2699" s="23" t="n"/>
      <c r="B2699" s="24" t="inlineStr">
        <is>
          <t>7829</t>
        </is>
      </c>
      <c r="C2699" s="23" t="inlineStr">
        <is>
          <t>МНП</t>
        </is>
      </c>
      <c r="D2699" s="23" t="inlineStr">
        <is>
          <t>Константинов В.</t>
        </is>
      </c>
      <c r="E2699" s="23" t="inlineStr">
        <is>
          <t>Исполнитель</t>
        </is>
      </c>
      <c r="F2699" s="23" t="inlineStr">
        <is>
          <t>        </t>
        </is>
      </c>
      <c r="G2699" s="23" t="n">
        <v>168</v>
      </c>
      <c r="H2699" s="23" t="n">
        <v>10</v>
      </c>
      <c r="I2699" s="23" t="n">
        <v>20</v>
      </c>
      <c r="J2699" s="23" t="inlineStr">
        <is>
          <t>978-5-9524-2798-9</t>
        </is>
      </c>
      <c r="K2699" s="23" t="inlineStr">
        <is>
          <t>70x90 1/32</t>
        </is>
      </c>
      <c r="L2699" s="23" t="inlineStr">
        <is>
          <t>мяг</t>
        </is>
      </c>
      <c r="M2699" s="23" t="n">
        <v>302</v>
      </c>
      <c r="N2699" s="23" t="n">
        <v>2008</v>
      </c>
      <c r="O2699" s="23" t="n">
        <v>126</v>
      </c>
      <c r="P2699" s="23" t="n"/>
      <c r="Q2699" s="23" t="n"/>
      <c r="R2699" s="25" t="inlineStr">
        <is>
          <t>Сергей Иванов  - следователь прокуратуры крупного сибирского города. За глаза многие называют его шутом и клоуном. Но когда речь заходит о деле, в этом на первый взгляд несерьезном человеке обнаруживается та твердость духа, которая отличает настоящего мужика от простого мужчины._x000D_
Глубокой ночью в больничной палате раздался мощный взрыв, который разорвал на части следователя, ведущего дело о контрабанде крупных партий драгоценностей. Работникам прокуратуры приходится на свой страх и риск вступать в кровавую схватку со "спрутом", щупальца которого протянулись от Дальнего Востока до Марсел</t>
        </is>
      </c>
      <c r="S2699" s="26">
        <f>HYPERLINK("http://www.cnpol.ru/covers/7829.jpg","фото на сайте")</f>
        <v/>
      </c>
    </row>
    <row r="2700" ht="50.1" customHeight="1" s="3">
      <c r="A2700" s="23" t="n"/>
      <c r="B2700" s="24" t="inlineStr">
        <is>
          <t>7863</t>
        </is>
      </c>
      <c r="C2700" s="23" t="inlineStr">
        <is>
          <t>МНП</t>
        </is>
      </c>
      <c r="D2700" s="23" t="inlineStr">
        <is>
          <t>Константинов В.</t>
        </is>
      </c>
      <c r="E2700" s="23" t="inlineStr">
        <is>
          <t>Удар в спину</t>
        </is>
      </c>
      <c r="F2700" s="23" t="inlineStr">
        <is>
          <t>        </t>
        </is>
      </c>
      <c r="G2700" s="23" t="n">
        <v>168</v>
      </c>
      <c r="H2700" s="23" t="n">
        <v>10</v>
      </c>
      <c r="I2700" s="23" t="n">
        <v>20</v>
      </c>
      <c r="J2700" s="23" t="inlineStr">
        <is>
          <t>978-5-9524-2796-9</t>
        </is>
      </c>
      <c r="K2700" s="23" t="inlineStr">
        <is>
          <t>70x90 1/32</t>
        </is>
      </c>
      <c r="L2700" s="23" t="inlineStr">
        <is>
          <t>мяг</t>
        </is>
      </c>
      <c r="M2700" s="23" t="n">
        <v>397</v>
      </c>
      <c r="N2700" s="23" t="n">
        <v>2008</v>
      </c>
      <c r="O2700" s="23" t="n">
        <v>164</v>
      </c>
      <c r="P2700" s="23" t="n"/>
      <c r="Q2700" s="23" t="n"/>
      <c r="R2700" s="25" t="n"/>
      <c r="S2700" s="26">
        <f>HYPERLINK("http://www.cnpol.ru/covers/7863.jpg","фото на сайте")</f>
        <v/>
      </c>
    </row>
    <row r="2701" ht="50.1" customHeight="1" s="3">
      <c r="A2701" s="23" t="n"/>
      <c r="B2701" s="24" t="inlineStr">
        <is>
          <t>9032</t>
        </is>
      </c>
      <c r="C2701" s="23" t="inlineStr">
        <is>
          <t>МНП</t>
        </is>
      </c>
      <c r="D2701" s="23" t="inlineStr">
        <is>
          <t>Константинов В.</t>
        </is>
      </c>
      <c r="E2701" s="23" t="inlineStr">
        <is>
          <t>Флирт со смертью</t>
        </is>
      </c>
      <c r="F2701" s="23" t="inlineStr">
        <is>
          <t>        </t>
        </is>
      </c>
      <c r="G2701" s="23" t="n">
        <v>168</v>
      </c>
      <c r="H2701" s="23" t="n">
        <v>10</v>
      </c>
      <c r="I2701" s="23" t="n">
        <v>24</v>
      </c>
      <c r="J2701" s="23" t="inlineStr">
        <is>
          <t>978-5-9524-3184-3</t>
        </is>
      </c>
      <c r="K2701" s="23" t="inlineStr">
        <is>
          <t>70x90 1/32</t>
        </is>
      </c>
      <c r="L2701" s="23" t="inlineStr">
        <is>
          <t>мяг</t>
        </is>
      </c>
      <c r="M2701" s="23" t="n">
        <v>271</v>
      </c>
      <c r="N2701" s="23" t="n">
        <v>2008</v>
      </c>
      <c r="O2701" s="23" t="n">
        <v>110</v>
      </c>
      <c r="P2701" s="23" t="n"/>
      <c r="Q2701" s="23" t="n"/>
      <c r="R2701" s="25" t="n"/>
      <c r="S2701" s="26">
        <f>HYPERLINK("http://www.cnpol.ru/covers/9032.jpg","фото на сайте")</f>
        <v/>
      </c>
    </row>
    <row r="2702" ht="50.1" customHeight="1" s="3">
      <c r="A2702" s="23" t="n"/>
      <c r="B2702" s="24" t="inlineStr">
        <is>
          <t>2005</t>
        </is>
      </c>
      <c r="C2702" s="23" t="inlineStr">
        <is>
          <t>МОД</t>
        </is>
      </c>
      <c r="D2702" s="23" t="inlineStr">
        <is>
          <t>Пентикост Х.</t>
        </is>
      </c>
      <c r="E2702" s="23" t="inlineStr">
        <is>
          <t>Снайпер</t>
        </is>
      </c>
      <c r="F2702" s="23" t="inlineStr">
        <is>
          <t>        </t>
        </is>
      </c>
      <c r="G2702" s="23" t="n">
        <v>123</v>
      </c>
      <c r="H2702" s="23" t="n">
        <v>10</v>
      </c>
      <c r="I2702" s="23" t="n">
        <v>12</v>
      </c>
      <c r="J2702" s="23" t="inlineStr">
        <is>
          <t>5-227-00802-7</t>
        </is>
      </c>
      <c r="K2702" s="23" t="inlineStr">
        <is>
          <t>&lt;АВТОИМП.&gt;</t>
        </is>
      </c>
      <c r="L2702" s="23" t="inlineStr">
        <is>
          <t>тв</t>
        </is>
      </c>
      <c r="M2702" s="23" t="inlineStr">
        <is>
          <t>    </t>
        </is>
      </c>
      <c r="N2702" s="23" t="inlineStr">
        <is>
          <t>    </t>
        </is>
      </c>
      <c r="O2702" s="23" t="inlineStr">
        <is>
          <t>     </t>
        </is>
      </c>
      <c r="P2702" s="23" t="n"/>
      <c r="Q2702" s="23" t="n"/>
      <c r="R2702" s="25" t="n"/>
      <c r="S2702" s="26">
        <f>HYPERLINK("http://www.cnpol.ru/covers/2005.jpg","фото на сайте")</f>
        <v/>
      </c>
    </row>
    <row r="2703" ht="50.1" customHeight="1" s="3">
      <c r="A2703" s="23" t="n"/>
      <c r="B2703" s="24" t="inlineStr">
        <is>
          <t>19327</t>
        </is>
      </c>
      <c r="C2703" s="23" t="inlineStr">
        <is>
          <t>МОЛИТВЫ</t>
        </is>
      </c>
      <c r="D2703" s="23" t="inlineStr">
        <is>
          <t>Светлова В.</t>
        </is>
      </c>
      <c r="E2703" s="23" t="inlineStr">
        <is>
          <t>Лучшие молитвы о детях. Могучая защита от бед и болезней</t>
        </is>
      </c>
      <c r="F2703" s="23" t="inlineStr">
        <is>
          <t>        </t>
        </is>
      </c>
      <c r="G2703" s="23" t="n">
        <v>150</v>
      </c>
      <c r="H2703" s="23" t="n">
        <v>10</v>
      </c>
      <c r="I2703" s="23" t="n">
        <v>30</v>
      </c>
      <c r="J2703" s="23" t="inlineStr">
        <is>
          <t>978-5-227-08760-7</t>
        </is>
      </c>
      <c r="K2703" s="23" t="inlineStr">
        <is>
          <t>70x100 1/32</t>
        </is>
      </c>
      <c r="L2703" s="23" t="inlineStr">
        <is>
          <t>мяг</t>
        </is>
      </c>
      <c r="M2703" s="23" t="n">
        <v>160</v>
      </c>
      <c r="N2703" s="23" t="n">
        <v>2020</v>
      </c>
      <c r="O2703" s="23" t="n">
        <v>76</v>
      </c>
      <c r="P2703" s="23" t="n"/>
      <c r="Q2703" s="23" t="n"/>
      <c r="R2703" s="25" t="inlineStr">
        <is>
          <t>«Молитва матери со дна моря достанет» — говорит старинная русская поговорка. И действительно, горячая молитва родителей о своих чадах может сотворить настоящие чудеса, а материнское благословение поддержит в любом начинании._x000D_
В этой книге мы собрали молитвы, которые пригодятся родителям на разных этапах жизни: молитвы о даровании ребенка, благополучной беременности, успешных родах, о здравии детей и их разуме, легком обучении и послушании, молитвы­обереги от несчастий и лихого человека… Даны молитвы для дедушек и бабушек, крестных родителей и даже молитвы о сиротах, ведь и о них должен кто­то замолвить доброе слово!</t>
        </is>
      </c>
      <c r="S2703" s="26">
        <f>HYPERLINK("http://www.cnpol.ru/covers/19327.jpg","фото на сайте")</f>
        <v/>
      </c>
    </row>
    <row r="2704" ht="50.1" customHeight="1" s="3">
      <c r="A2704" s="23" t="inlineStr">
        <is>
          <t>Д</t>
        </is>
      </c>
      <c r="B2704" s="24" t="inlineStr">
        <is>
          <t>22123</t>
        </is>
      </c>
      <c r="C2704" s="23" t="inlineStr">
        <is>
          <t>МОЛИТВЫ</t>
        </is>
      </c>
      <c r="D2704" s="23" t="inlineStr">
        <is>
          <t>Светлова В.</t>
        </is>
      </c>
      <c r="E2704" s="23" t="inlineStr">
        <is>
          <t>Лучшие молитвы о здравии. Надежная помощь при разных недугах</t>
        </is>
      </c>
      <c r="F2704" s="23" t="inlineStr">
        <is>
          <t>        </t>
        </is>
      </c>
      <c r="G2704" s="23" t="n">
        <v>207</v>
      </c>
      <c r="H2704" s="23" t="n">
        <v>10</v>
      </c>
      <c r="I2704" s="23" t="n">
        <v>15</v>
      </c>
      <c r="J2704" s="23" t="inlineStr">
        <is>
          <t>978-5-227-11292-7</t>
        </is>
      </c>
      <c r="K2704" s="23" t="inlineStr">
        <is>
          <t>70x100 1/32</t>
        </is>
      </c>
      <c r="L2704" s="23" t="inlineStr">
        <is>
          <t>мяг</t>
        </is>
      </c>
      <c r="M2704" s="23" t="n">
        <v>159</v>
      </c>
      <c r="N2704" s="23" t="n">
        <v>2026</v>
      </c>
      <c r="O2704" s="23" t="n">
        <v>76</v>
      </c>
      <c r="P2704" s="23" t="n"/>
      <c r="Q2704" s="23" t="n"/>
      <c r="R2704" s="25" t="inlineStr">
        <is>
          <t>Молитва излечит больное тело и израненную душу. Молитесь горячо и светло и да исполнятся ваши прошения! Господь Всемогущий, Пресвятая Богородица, Спиридон Тримифунтский, Серафим Саровский, Святой Лука, Целитель Пантелеймон, Николай Чудотворец, Сергий Радонежский, Матрона Московская и целый сонм православных святых встанут на защиту здоровья вашей семьи и даже домашних питомцев._x000D_
Мы предлагаем воздвигнуть вокруг себя и близких нерушимую стену христианских молитв. В этом небольшом сборнике лучшие молитвы о даровании здравия, исцелении болящих и, конечно же, молитвы о детях, ведь все знают, что нет ничего сильнее материнской молитвы. Любая, даже сказанная своими словами молитва, как и любое доброе слово, несет положительную энергетику, но традиционные церковные молитвы заряжены колоссальной силой, которая обязательно поможет.</t>
        </is>
      </c>
      <c r="S2704" s="26">
        <f>HYPERLINK("http://www.cnpol.ru/covers/22123.jpg","фото на сайте")</f>
        <v/>
      </c>
    </row>
    <row r="2705" ht="50.1" customHeight="1" s="3">
      <c r="A2705" s="23" t="n"/>
      <c r="B2705" s="24" t="inlineStr">
        <is>
          <t>18982</t>
        </is>
      </c>
      <c r="C2705" s="23" t="inlineStr">
        <is>
          <t>МОЛИТВЫ</t>
        </is>
      </c>
      <c r="D2705" s="23" t="inlineStr">
        <is>
          <t>Светлова В.</t>
        </is>
      </c>
      <c r="E2705" s="23" t="inlineStr">
        <is>
          <t>Молитвы Богородице о спасительной помощи на жизненном пути</t>
        </is>
      </c>
      <c r="F2705" s="23" t="inlineStr">
        <is>
          <t>        </t>
        </is>
      </c>
      <c r="G2705" s="23" t="n">
        <v>150</v>
      </c>
      <c r="H2705" s="23" t="n">
        <v>10</v>
      </c>
      <c r="I2705" s="23" t="n">
        <v>24</v>
      </c>
      <c r="J2705" s="23" t="inlineStr">
        <is>
          <t>978-5-227-08848-2</t>
        </is>
      </c>
      <c r="K2705" s="23" t="inlineStr">
        <is>
          <t>70x100 1/32</t>
        </is>
      </c>
      <c r="L2705" s="23" t="inlineStr">
        <is>
          <t>мяг</t>
        </is>
      </c>
      <c r="M2705" s="23" t="n">
        <v>160</v>
      </c>
      <c r="N2705" s="23" t="n">
        <v>2019</v>
      </c>
      <c r="O2705" s="23" t="n">
        <v>76</v>
      </c>
      <c r="P2705" s="23" t="n"/>
      <c r="Q2705" s="23" t="n"/>
      <c r="R2705" s="25" t="n"/>
      <c r="S2705" s="26">
        <f>HYPERLINK("http://www.cnpol.ru/covers/18982.jpg","фото на сайте")</f>
        <v/>
      </c>
    </row>
    <row r="2706" ht="50.1" customHeight="1" s="3">
      <c r="A2706" s="23" t="n"/>
      <c r="B2706" s="24" t="inlineStr">
        <is>
          <t>18876</t>
        </is>
      </c>
      <c r="C2706" s="23" t="inlineStr">
        <is>
          <t>МОЛИТВЫ</t>
        </is>
      </c>
      <c r="D2706" s="23" t="inlineStr">
        <is>
          <t>Светлова В.</t>
        </is>
      </c>
      <c r="E2706" s="23" t="inlineStr">
        <is>
          <t>Молитвы о благополучии семьи. Счастливое супружество. Защита от бедности и неудач. Избавление от зависимостей. Благополучие домочадцев</t>
        </is>
      </c>
      <c r="F2706" s="23" t="inlineStr">
        <is>
          <t>        </t>
        </is>
      </c>
      <c r="G2706" s="23" t="n">
        <v>150</v>
      </c>
      <c r="H2706" s="23" t="n">
        <v>10</v>
      </c>
      <c r="I2706" s="23" t="n">
        <v>24</v>
      </c>
      <c r="J2706" s="23" t="inlineStr">
        <is>
          <t>978-5-227-08816-1</t>
        </is>
      </c>
      <c r="K2706" s="23" t="inlineStr">
        <is>
          <t>70x100 1/32</t>
        </is>
      </c>
      <c r="L2706" s="23" t="inlineStr">
        <is>
          <t>мяг</t>
        </is>
      </c>
      <c r="M2706" s="23" t="n">
        <v>159</v>
      </c>
      <c r="N2706" s="23" t="n">
        <v>2019</v>
      </c>
      <c r="O2706" s="23" t="n">
        <v>76</v>
      </c>
      <c r="P2706" s="23" t="n"/>
      <c r="Q2706" s="23" t="n"/>
      <c r="R2706" s="25" t="n"/>
      <c r="S2706" s="26">
        <f>HYPERLINK("http://www.cnpol.ru/covers/18876.jpg","фото на сайте")</f>
        <v/>
      </c>
    </row>
    <row r="2707" ht="50.1" customHeight="1" s="3">
      <c r="A2707" s="23" t="inlineStr">
        <is>
          <t>Д</t>
        </is>
      </c>
      <c r="B2707" s="24" t="inlineStr">
        <is>
          <t>21824</t>
        </is>
      </c>
      <c r="C2707" s="23" t="inlineStr">
        <is>
          <t>МОЛИТВЫ</t>
        </is>
      </c>
      <c r="D2707" s="23" t="inlineStr">
        <is>
          <t>Светлова В.</t>
        </is>
      </c>
      <c r="E2707" s="23" t="inlineStr">
        <is>
          <t>Молитвы о благосостоянии и успехах в делах. Чудодейственная помощь высших сил для искренних и трудолюбивых</t>
        </is>
      </c>
      <c r="F2707" s="23" t="inlineStr">
        <is>
          <t>        </t>
        </is>
      </c>
      <c r="G2707" s="23" t="n">
        <v>244</v>
      </c>
      <c r="H2707" s="23" t="n">
        <v>10</v>
      </c>
      <c r="I2707" s="23" t="n">
        <v>12</v>
      </c>
      <c r="J2707" s="23" t="inlineStr">
        <is>
          <t>978-5-227-11148-7</t>
        </is>
      </c>
      <c r="K2707" s="23" t="inlineStr">
        <is>
          <t>70x100 1/32</t>
        </is>
      </c>
      <c r="L2707" s="23" t="inlineStr">
        <is>
          <t>мяг</t>
        </is>
      </c>
      <c r="M2707" s="23" t="n">
        <v>159</v>
      </c>
      <c r="N2707" s="23" t="n">
        <v>2025</v>
      </c>
      <c r="O2707" s="23" t="n">
        <v>74</v>
      </c>
      <c r="P2707" s="23" t="n"/>
      <c r="Q2707" s="23" t="n"/>
      <c r="R2707" s="25" t="inlineStr">
        <is>
          <t>Часто бывает, что человек праведно живет, усиленно работает, а достатка нет… Православная вера не осуждает желания быть благополучным и иметь деньги. Грешно просить на роскошь и развлечения, но если это просьбы на пищу и одежду, это нормально. Деньги — инструмент, который несет финансовую стабильность, помогает воплощению мечты и дает возможность заняться благотворительностью. Святые угодники — реальные люди, которые образцом праведной жизни, служением Богу и людям стали близкими к Господу. Особой популярностью в денежных вопросах пользуются Николай Чудотворец, Матрона Московская, Спиридон Тримифунтский… Правильно просить поддержки у собственного ангела-хранителя. Обращаясь к Небесам с молитвой об удаче, помните, что услышана будет только искренняя просьба от человека с чистыми помыслами. И в любом случае не забывайте о том, что молитва будет принята только тогда, когда содержащиеся в ней просьбы не противоречат десяти святым заповедям христианской веры. И пусть по вере вашей да будет вам!</t>
        </is>
      </c>
      <c r="S2707" s="26">
        <f>HYPERLINK("http://www.cnpol.ru/covers/21824.jpg","фото на сайте")</f>
        <v/>
      </c>
    </row>
    <row r="2708" ht="50.1" customHeight="1" s="3">
      <c r="A2708" s="23" t="inlineStr">
        <is>
          <t>Д</t>
        </is>
      </c>
      <c r="B2708" s="24" t="inlineStr">
        <is>
          <t>21537</t>
        </is>
      </c>
      <c r="C2708" s="23" t="inlineStr">
        <is>
          <t>МОЛИТВЫ</t>
        </is>
      </c>
      <c r="D2708" s="23" t="inlineStr">
        <is>
          <t>Светлова В.</t>
        </is>
      </c>
      <c r="E2708" s="23" t="inlineStr">
        <is>
          <t>Николай Чудотворец. Всемогущий святой. Великий спаситель и заступник</t>
        </is>
      </c>
      <c r="F2708" s="23" t="inlineStr">
        <is>
          <t>        </t>
        </is>
      </c>
      <c r="G2708" s="23" t="n">
        <v>207</v>
      </c>
      <c r="H2708" s="23" t="n">
        <v>10</v>
      </c>
      <c r="I2708" s="23" t="n">
        <v>20</v>
      </c>
      <c r="J2708" s="23" t="inlineStr">
        <is>
          <t>978-5-227-10996-5</t>
        </is>
      </c>
      <c r="K2708" s="23" t="inlineStr">
        <is>
          <t>70x100 1/32</t>
        </is>
      </c>
      <c r="L2708" s="23" t="inlineStr">
        <is>
          <t>мяг</t>
        </is>
      </c>
      <c r="M2708" s="23" t="n">
        <v>159</v>
      </c>
      <c r="N2708" s="23" t="n">
        <v>2025</v>
      </c>
      <c r="O2708" s="23" t="n">
        <v>75</v>
      </c>
      <c r="P2708" s="23" t="n"/>
      <c r="Q2708" s="23" t="n"/>
      <c r="R2708" s="25" t="inlineStr">
        <is>
          <t>У каждого народа есть особо почитаемые святые. В христианской вере святой Николай – один из самых любимых. В народных преданиях он считается первым после Бога и Богоматери… С древнейших времен Николай Чудотворец почитался на Руси как небесный покровитель верховной власти. Мало кто знает, что именно Николай Чудотворец, помощник в бедах и несчастьях тем, кто горячо молился ему о помощи, воистину народный святой, является прототипом доброго Деда Мороза!_x000D_
У него много имен: его называют святитель Николай, святой Николай, Николай Угодник или Николай Чудотворец… Еще при жизни он прославился как защитник осужденных невинно, примиритель враждующих, избавитель от напрасной смерти. Обращаются за помощью к святителю Николаю в самых разных случаях: он считается покровителем мореплавателей и путешествующих; ему молятся о благополучном замужестве дочерей; об избавлении от голода… Нет ничего невозможного для этого всемогущего святого! Каждый, кто обладает истинной верой и молит о Чуде, будет услышан и окормлён им, главное, чтобы вера была крепкой, а помыслы чистыми.</t>
        </is>
      </c>
      <c r="S2708" s="26">
        <f>HYPERLINK("http://www.cnpol.ru/covers/21537.jpg","фото на сайте")</f>
        <v/>
      </c>
    </row>
    <row r="2709" ht="50.1" customHeight="1" s="3">
      <c r="A2709" s="23" t="n"/>
      <c r="B2709" s="24" t="inlineStr">
        <is>
          <t>19127</t>
        </is>
      </c>
      <c r="C2709" s="23" t="inlineStr">
        <is>
          <t>МОЛИТВЫ</t>
        </is>
      </c>
      <c r="D2709" s="23" t="inlineStr">
        <is>
          <t>Светлова В.</t>
        </is>
      </c>
      <c r="E2709" s="23" t="inlineStr">
        <is>
          <t>Посты и молитвы. Суть многодневных пос­тов, особенные молитвы к каждому, правила поведения</t>
        </is>
      </c>
      <c r="F2709" s="23" t="inlineStr">
        <is>
          <t>        </t>
        </is>
      </c>
      <c r="G2709" s="23" t="n">
        <v>150</v>
      </c>
      <c r="H2709" s="23" t="n">
        <v>10</v>
      </c>
      <c r="I2709" s="23" t="n">
        <v>30</v>
      </c>
      <c r="J2709" s="23" t="inlineStr">
        <is>
          <t>978-5-227-08859-8</t>
        </is>
      </c>
      <c r="K2709" s="23" t="inlineStr">
        <is>
          <t>70x100 1/32</t>
        </is>
      </c>
      <c r="L2709" s="23" t="inlineStr">
        <is>
          <t>мяг</t>
        </is>
      </c>
      <c r="M2709" s="23" t="n">
        <v>160</v>
      </c>
      <c r="N2709" s="23" t="n">
        <v>2020</v>
      </c>
      <c r="O2709" s="23" t="n">
        <v>76</v>
      </c>
      <c r="P2709" s="23" t="n"/>
      <c r="Q2709" s="23" t="n"/>
      <c r="R2709" s="25" t="n"/>
      <c r="S2709" s="26">
        <f>HYPERLINK("http://www.cnpol.ru/covers/19127.jpg","фото на сайте")</f>
        <v/>
      </c>
    </row>
    <row r="2710" ht="50.1" customHeight="1" s="3">
      <c r="A2710" s="23" t="n"/>
      <c r="B2710" s="24" t="inlineStr">
        <is>
          <t>19287</t>
        </is>
      </c>
      <c r="C2710" s="23" t="inlineStr">
        <is>
          <t>МОЛИТВЫ</t>
        </is>
      </c>
      <c r="D2710" s="23" t="inlineStr">
        <is>
          <t>Светлова В.</t>
        </is>
      </c>
      <c r="E2710" s="23" t="inlineStr">
        <is>
          <t>Православный календарь. Церковные праздники, посты, дни поминовения усопших</t>
        </is>
      </c>
      <c r="F2710" s="23" t="inlineStr">
        <is>
          <t>        </t>
        </is>
      </c>
      <c r="G2710" s="23" t="n">
        <v>150</v>
      </c>
      <c r="H2710" s="23" t="n">
        <v>10</v>
      </c>
      <c r="I2710" s="23" t="n">
        <v>24</v>
      </c>
      <c r="J2710" s="23" t="inlineStr">
        <is>
          <t>978-5-227-09186-4</t>
        </is>
      </c>
      <c r="K2710" s="23" t="inlineStr">
        <is>
          <t>70x100 1/32</t>
        </is>
      </c>
      <c r="L2710" s="23" t="inlineStr">
        <is>
          <t>мяг</t>
        </is>
      </c>
      <c r="M2710" s="23" t="n">
        <v>160</v>
      </c>
      <c r="N2710" s="23" t="n">
        <v>2020</v>
      </c>
      <c r="O2710" s="23" t="n">
        <v>74</v>
      </c>
      <c r="P2710" s="23" t="n"/>
      <c r="Q2710" s="23" t="n"/>
      <c r="R2710" s="25" t="n"/>
      <c r="S2710" s="26">
        <f>HYPERLINK("http://www.cnpol.ru/covers/19287.jpg","фото на сайте")</f>
        <v/>
      </c>
    </row>
    <row r="2711" ht="50.1" customHeight="1" s="3">
      <c r="A2711" s="23" t="n"/>
      <c r="B2711" s="24" t="inlineStr">
        <is>
          <t>19019</t>
        </is>
      </c>
      <c r="C2711" s="23" t="inlineStr">
        <is>
          <t>МОЛИТВЫ</t>
        </is>
      </c>
      <c r="D2711" s="23" t="inlineStr">
        <is>
          <t>Светлова В.</t>
        </is>
      </c>
      <c r="E2711" s="23" t="inlineStr">
        <is>
          <t>Рождество Христово. Истоки и традиции светлого праздника</t>
        </is>
      </c>
      <c r="F2711" s="23" t="inlineStr">
        <is>
          <t>        </t>
        </is>
      </c>
      <c r="G2711" s="23" t="n">
        <v>150</v>
      </c>
      <c r="H2711" s="23" t="n">
        <v>10</v>
      </c>
      <c r="I2711" s="23" t="n">
        <v>40</v>
      </c>
      <c r="J2711" s="23" t="inlineStr">
        <is>
          <t>978-5-227-08865-9</t>
        </is>
      </c>
      <c r="K2711" s="23" t="inlineStr">
        <is>
          <t>70x100 1/32</t>
        </is>
      </c>
      <c r="L2711" s="23" t="inlineStr">
        <is>
          <t>мяг</t>
        </is>
      </c>
      <c r="M2711" s="23" t="n">
        <v>160</v>
      </c>
      <c r="N2711" s="23" t="n">
        <v>2020</v>
      </c>
      <c r="O2711" s="23" t="n">
        <v>76</v>
      </c>
      <c r="P2711" s="23" t="n"/>
      <c r="Q2711" s="23" t="n"/>
      <c r="R2711" s="25" t="n"/>
      <c r="S2711" s="26">
        <f>HYPERLINK("http://www.cnpol.ru/covers/19019.jpg","фото на сайте")</f>
        <v/>
      </c>
    </row>
    <row r="2712" ht="50.1" customHeight="1" s="3">
      <c r="A2712" s="23" t="n"/>
      <c r="B2712" s="24" t="inlineStr">
        <is>
          <t>19177</t>
        </is>
      </c>
      <c r="C2712" s="23" t="inlineStr">
        <is>
          <t>МОЛИТВЫ</t>
        </is>
      </c>
      <c r="D2712" s="23" t="inlineStr">
        <is>
          <t>Светлова В.</t>
        </is>
      </c>
      <c r="E2712" s="23" t="inlineStr">
        <is>
          <t>Светлая Пасха. Суть праздника. Пасхальные молитвы. Рецепты праздничных блюд</t>
        </is>
      </c>
      <c r="F2712" s="23" t="inlineStr">
        <is>
          <t>        </t>
        </is>
      </c>
      <c r="G2712" s="23" t="n">
        <v>150</v>
      </c>
      <c r="H2712" s="23" t="n">
        <v>10</v>
      </c>
      <c r="I2712" s="23" t="n">
        <v>20</v>
      </c>
      <c r="J2712" s="23" t="inlineStr">
        <is>
          <t>978-5-227-08628-0</t>
        </is>
      </c>
      <c r="K2712" s="23" t="inlineStr">
        <is>
          <t>70x100 1/32</t>
        </is>
      </c>
      <c r="L2712" s="23" t="inlineStr">
        <is>
          <t>мяг</t>
        </is>
      </c>
      <c r="M2712" s="23" t="n">
        <v>160</v>
      </c>
      <c r="N2712" s="23" t="n">
        <v>2020</v>
      </c>
      <c r="O2712" s="23" t="n">
        <v>76</v>
      </c>
      <c r="P2712" s="23" t="n"/>
      <c r="Q2712" s="23" t="n"/>
      <c r="R2712" s="25" t="n"/>
      <c r="S2712" s="26">
        <f>HYPERLINK("http://www.cnpol.ru/covers/19177.jpg","фото на сайте")</f>
        <v/>
      </c>
    </row>
    <row r="2713" ht="50.1" customHeight="1" s="3">
      <c r="A2713" s="23" t="inlineStr">
        <is>
          <t>Д</t>
        </is>
      </c>
      <c r="B2713" s="24" t="inlineStr">
        <is>
          <t>21834</t>
        </is>
      </c>
      <c r="C2713" s="23" t="inlineStr">
        <is>
          <t>МОЛИТВЫ</t>
        </is>
      </c>
      <c r="D2713" s="23" t="inlineStr">
        <is>
          <t>Светлова В.</t>
        </is>
      </c>
      <c r="E2713" s="23" t="inlineStr">
        <is>
          <t>Сытные постные блюда на каждый день. Традиции православного постного стола. Рецепты старинные и современные</t>
        </is>
      </c>
      <c r="F2713" s="23" t="inlineStr">
        <is>
          <t>        </t>
        </is>
      </c>
      <c r="G2713" s="23" t="n">
        <v>207</v>
      </c>
      <c r="H2713" s="23" t="n">
        <v>10</v>
      </c>
      <c r="I2713" s="23" t="n">
        <v>15</v>
      </c>
      <c r="J2713" s="23" t="inlineStr">
        <is>
          <t>978-5-227-11145-6</t>
        </is>
      </c>
      <c r="K2713" s="23" t="inlineStr">
        <is>
          <t>70x100 1/32</t>
        </is>
      </c>
      <c r="L2713" s="23" t="inlineStr">
        <is>
          <t>мяг</t>
        </is>
      </c>
      <c r="M2713" s="23" t="n">
        <v>159</v>
      </c>
      <c r="N2713" s="23" t="n">
        <v>2025</v>
      </c>
      <c r="O2713" s="23" t="n">
        <v>76</v>
      </c>
      <c r="P2713" s="23" t="n"/>
      <c r="Q2713" s="23" t="n"/>
      <c r="R2713" s="25" t="inlineStr">
        <is>
          <t>Игнатий Брянчанинов писал, что «тот, кто по-настоящему постится, воздерживается от гнева, ярости, злобы и мщения, а также воздерживает язык от празднословия, сквернословия, пустословия, клеветы…»._x000D_
Пост — не цель, а средство отвлечься от услаждения своего тела, сосредоточиться и подумать о своей душе; без всего этого он становится всего лишь диетой…_x000D_
В нашей книге собраны рецепты для постных столов. Вы увидите, что это очень простые блюда, и к тому же они вкусны и полезны. Представлены разнообразные рецепты как традиционных православных блюд, так и современных. Предлагаемые технологии достаточно быстры и просты в исполнении. А некоторые рецепты вас даже удивят. Такие блюда украсят постный стол своей формой и оригинальностью. И вы, несомненно, согласитесь, что и в постные дни можно сытно накормить семью. К тому же все эти рецепты можно использовать не только в постные дни.</t>
        </is>
      </c>
      <c r="S2713" s="26">
        <f>HYPERLINK("http://www.cnpol.ru/covers/21834.jpg","фото на сайте")</f>
        <v/>
      </c>
    </row>
    <row r="2714" ht="50.1" customHeight="1" s="3">
      <c r="A2714" s="23" t="inlineStr">
        <is>
          <t>Д</t>
        </is>
      </c>
      <c r="B2714" s="24" t="inlineStr">
        <is>
          <t>22232</t>
        </is>
      </c>
      <c r="C2714" s="23" t="inlineStr">
        <is>
          <t>МОЛИТВЫ</t>
        </is>
      </c>
      <c r="D2714" s="23" t="inlineStr">
        <is>
          <t>Светлова В.</t>
        </is>
      </c>
      <c r="E2714" s="23" t="inlineStr">
        <is>
          <t>Чудодейственные молитвы на разные случаи жизни. От нищеты, о возврате украденного, найти потерянное,</t>
        </is>
      </c>
      <c r="F2714" s="23" t="inlineStr">
        <is>
          <t>        </t>
        </is>
      </c>
      <c r="G2714" s="23" t="n">
        <v>244</v>
      </c>
      <c r="H2714" s="23" t="n">
        <v>10</v>
      </c>
      <c r="I2714" s="23" t="n">
        <v>12</v>
      </c>
      <c r="J2714" s="23" t="inlineStr">
        <is>
          <t>978-5-227-11325-2</t>
        </is>
      </c>
      <c r="K2714" s="23" t="inlineStr">
        <is>
          <t>70x100 1/32</t>
        </is>
      </c>
      <c r="L2714" s="23" t="inlineStr">
        <is>
          <t>мяг</t>
        </is>
      </c>
      <c r="M2714" s="23" t="n">
        <v>159</v>
      </c>
      <c r="N2714" s="23" t="n">
        <v>2026</v>
      </c>
      <c r="O2714" s="23" t="n">
        <v>76</v>
      </c>
      <c r="P2714" s="23" t="n"/>
      <c r="Q2714" s="23" t="n"/>
      <c r="R2714" s="25" t="inlineStr">
        <is>
          <t>Святые помощники слышат любую нашу молитву, и не важно, сказана она своими словами или каноническим текстом. Молитесь горячо и светло и да исполнятся ваши прошения! Иногда человек, попавший в какую-то жизненную ситуацию, растерявшись, не знает, к какому святому обратиться с той или иной просьбой… В этой книге мы даем подборку чудодейственных молитв на самые разные случаи жизни. Здесь есть молитвы к святым, которые окажут помощь в делах и бизнесе, молитвы о трудоустройстве, для успешной продажи или покупки, о возвращении долгов, украденного и потерянной вещи, о тех, кто в армии и на войне, о преуспевании в учебе и успешной сдаче экзаменов, от бед, сглаза и нищеты, неприятностей на работе и измен в семье. Также молитвы о преодолении разных болезней, онкологии, о детях, внуках и тех, кто в пути, близких, подверженных пагубным зависимостям, о мире на Земле и даже о спасении и процветании нашей горячо любимой Родины….</t>
        </is>
      </c>
      <c r="S2714" s="26">
        <f>HYPERLINK("http://www.cnpol.ru/covers/22232.jpg","фото на сайте")</f>
        <v/>
      </c>
    </row>
    <row r="2715" ht="50.1" customHeight="1" s="3">
      <c r="A2715" s="23" t="n"/>
      <c r="B2715" s="24" t="inlineStr">
        <is>
          <t>12585</t>
        </is>
      </c>
      <c r="C2715" s="23" t="inlineStr">
        <is>
          <t>МОР</t>
        </is>
      </c>
      <c r="D2715" s="23" t="inlineStr">
        <is>
          <t>Сток Джон</t>
        </is>
      </c>
      <c r="E2715" s="23" t="inlineStr">
        <is>
          <t>Бегство мертвого шпиона</t>
        </is>
      </c>
      <c r="F2715" s="23" t="inlineStr">
        <is>
          <t>        </t>
        </is>
      </c>
      <c r="G2715" s="23" t="n">
        <v>554</v>
      </c>
      <c r="H2715" s="23" t="n">
        <v>10</v>
      </c>
      <c r="I2715" s="23" t="n">
        <v>12</v>
      </c>
      <c r="J2715" s="23" t="inlineStr">
        <is>
          <t>978-5-227-02726-9</t>
        </is>
      </c>
      <c r="K2715" s="23" t="inlineStr">
        <is>
          <t>84x108 1/32</t>
        </is>
      </c>
      <c r="L2715" s="23" t="inlineStr">
        <is>
          <t>тв</t>
        </is>
      </c>
      <c r="M2715" s="23" t="n">
        <v>350</v>
      </c>
      <c r="N2715" s="23" t="n">
        <v>2011</v>
      </c>
      <c r="O2715" s="23" t="n">
        <v>360</v>
      </c>
      <c r="P2715" s="23" t="n"/>
      <c r="Q2715" s="23" t="n"/>
      <c r="R2715" s="25" t="inlineStr">
        <is>
          <t>По просьбе своей подруги и коллеги Лейлы, агента британской разведки, Дэниель Марчант принял участие в Лондонском марафоне. Лейла намекнула ему, что участникам забега, а среди них находится американский посол, угрожает опасность! Спустя час после старта Дэниель обратил внимание на странное поведение одного из бегунов и очень скоро выяснил, что парня шантажом заставили надеть пояс смертника. При содействии спецслужб Марчанту удалось предотвратить террористический акт. Смертник убит, но Дэниель на подозрении у разведки, его обвиняют в пособничестве преступникам. Улик становится все больше: кто-то снова и снова подставляет его. Марчант понимает, что на него началась охота. Скрываясь от ЦРУ, он бежит в Индию, где ему открывается другая сторона борьбы с терроризмом...</t>
        </is>
      </c>
      <c r="S2715" s="26">
        <f>HYPERLINK("http://www.cnpol.ru/covers/12585.jpg","фото на сайте")</f>
        <v/>
      </c>
    </row>
    <row r="2716" ht="50.1" customHeight="1" s="3">
      <c r="A2716" s="23" t="n"/>
      <c r="B2716" s="24" t="inlineStr">
        <is>
          <t>12358</t>
        </is>
      </c>
      <c r="C2716" s="23" t="inlineStr">
        <is>
          <t>МОР</t>
        </is>
      </c>
      <c r="D2716" s="23" t="inlineStr">
        <is>
          <t>Шрайбер Д.</t>
        </is>
      </c>
      <c r="E2716" s="23" t="inlineStr">
        <is>
          <t>Без окон, без дверей</t>
        </is>
      </c>
      <c r="F2716" s="23" t="inlineStr">
        <is>
          <t>        </t>
        </is>
      </c>
      <c r="G2716" s="23" t="n">
        <v>554</v>
      </c>
      <c r="H2716" s="23" t="n">
        <v>10</v>
      </c>
      <c r="I2716" s="23" t="n">
        <v>12</v>
      </c>
      <c r="J2716" s="23" t="inlineStr">
        <is>
          <t>978-5-227-02513-5</t>
        </is>
      </c>
      <c r="K2716" s="23" t="inlineStr">
        <is>
          <t>84x108 1/32</t>
        </is>
      </c>
      <c r="L2716" s="23" t="inlineStr">
        <is>
          <t>тв</t>
        </is>
      </c>
      <c r="M2716" s="23" t="n">
        <v>318</v>
      </c>
      <c r="N2716" s="23" t="n">
        <v>2010</v>
      </c>
      <c r="O2716" s="23" t="n">
        <v>346</v>
      </c>
      <c r="P2716" s="23" t="n"/>
      <c r="Q2716" s="23" t="n"/>
      <c r="R2716" s="25" t="inlineStr">
        <is>
          <t>Скотт Маст приехал в родной городок на похороны отца, обстоятельства смерти которого темны и дают основание думать о возможном самоубийстве. Случайно Скотт обнаруживает рукопись романа, принадлежащего перу отца. В нем повествуется о некоем Круглом доме, где происходят необъяснимые и страшные вещи. Вскоре выясняется, что Круглый дом существует в реальности, и Скотт поселяется в нем, заинтригованный его тайной. Обстоятельства складываются так, что Скотт понимает: разгадав эту тайну, он избавит себя и своих родных от старинного родового проклятия. Если же нет, семью ничто не спасет — фатальный конец предрешен…</t>
        </is>
      </c>
      <c r="S2716" s="26">
        <f>HYPERLINK("http://www.cnpol.ru/covers/12358.jpg","фото на сайте")</f>
        <v/>
      </c>
    </row>
    <row r="2717" ht="50.1" customHeight="1" s="3">
      <c r="A2717" s="23" t="n"/>
      <c r="B2717" s="24" t="inlineStr">
        <is>
          <t>12529</t>
        </is>
      </c>
      <c r="C2717" s="23" t="inlineStr">
        <is>
          <t>МОР</t>
        </is>
      </c>
      <c r="D2717" s="23" t="inlineStr">
        <is>
          <t>Стивен Дж. Кеннел</t>
        </is>
      </c>
      <c r="E2717" s="23" t="inlineStr">
        <is>
          <t>На острие ножа</t>
        </is>
      </c>
      <c r="F2717" s="23" t="inlineStr">
        <is>
          <t>        </t>
        </is>
      </c>
      <c r="G2717" s="23" t="n">
        <v>468</v>
      </c>
      <c r="H2717" s="23" t="n">
        <v>10</v>
      </c>
      <c r="I2717" s="23" t="n">
        <v>16</v>
      </c>
      <c r="J2717" s="23" t="inlineStr">
        <is>
          <t>978-5-227-02594-4</t>
        </is>
      </c>
      <c r="K2717" s="23" t="inlineStr">
        <is>
          <t>84x108 1/32</t>
        </is>
      </c>
      <c r="L2717" s="23" t="inlineStr">
        <is>
          <t>тв</t>
        </is>
      </c>
      <c r="M2717" s="23" t="n">
        <v>287</v>
      </c>
      <c r="N2717" s="23" t="n">
        <v>2011</v>
      </c>
      <c r="O2717" s="23" t="n">
        <v>302</v>
      </c>
      <c r="P2717" s="23" t="n"/>
      <c r="Q2717" s="23" t="n"/>
      <c r="R2717" s="25" t="n"/>
      <c r="S2717" s="26">
        <f>HYPERLINK("http://www.cnpol.ru/covers/12529.jpg","фото на сайте")</f>
        <v/>
      </c>
    </row>
    <row r="2718" ht="50.1" customHeight="1" s="3">
      <c r="A2718" s="23" t="n"/>
      <c r="B2718" s="24" t="inlineStr">
        <is>
          <t>12351</t>
        </is>
      </c>
      <c r="C2718" s="23" t="inlineStr">
        <is>
          <t>МОР</t>
        </is>
      </c>
      <c r="D2718" s="23" t="inlineStr">
        <is>
          <t>Чилверс А.</t>
        </is>
      </c>
      <c r="E2718" s="23" t="inlineStr">
        <is>
          <t>Падение сквозь облака</t>
        </is>
      </c>
      <c r="F2718" s="23" t="inlineStr">
        <is>
          <t>        </t>
        </is>
      </c>
      <c r="G2718" s="23" t="n">
        <v>554</v>
      </c>
      <c r="H2718" s="23" t="n">
        <v>10</v>
      </c>
      <c r="I2718" s="23" t="n">
        <v>16</v>
      </c>
      <c r="J2718" s="23" t="inlineStr">
        <is>
          <t>978-5-227-02466-4</t>
        </is>
      </c>
      <c r="K2718" s="23" t="inlineStr">
        <is>
          <t>84x108 1/32</t>
        </is>
      </c>
      <c r="L2718" s="23" t="inlineStr">
        <is>
          <t>тв</t>
        </is>
      </c>
      <c r="M2718" s="23" t="n">
        <v>287</v>
      </c>
      <c r="N2718" s="23" t="n">
        <v>2010</v>
      </c>
      <c r="O2718" s="23" t="n">
        <v>316</v>
      </c>
      <c r="P2718" s="23" t="n"/>
      <c r="Q2718" s="23" t="n"/>
      <c r="R2718" s="25" t="n"/>
      <c r="S2718" s="26">
        <f>HYPERLINK("http://www.cnpol.ru/covers/12351.jpg","фото на сайте")</f>
        <v/>
      </c>
    </row>
    <row r="2719" ht="50.1" customHeight="1" s="3">
      <c r="A2719" s="23" t="n"/>
      <c r="B2719" s="24" t="inlineStr">
        <is>
          <t>16005</t>
        </is>
      </c>
      <c r="C2719" s="23" t="inlineStr">
        <is>
          <t>МОСКВА</t>
        </is>
      </c>
      <c r="D2719" s="23" t="inlineStr">
        <is>
          <t>Васькин А.А</t>
        </is>
      </c>
      <c r="E2719" s="23" t="inlineStr">
        <is>
          <t>Волхонка. Знаменка. Ленивка. Прогулки по Чертолью</t>
        </is>
      </c>
      <c r="F2719" s="23" t="inlineStr">
        <is>
          <t>        </t>
        </is>
      </c>
      <c r="G2719" s="23" t="n">
        <v>743</v>
      </c>
      <c r="H2719" s="23" t="n">
        <v>10</v>
      </c>
      <c r="I2719" s="23" t="n">
        <v>16</v>
      </c>
      <c r="J2719" s="23" t="inlineStr">
        <is>
          <t>978-5-227-05733-4</t>
        </is>
      </c>
      <c r="K2719" s="23" t="inlineStr">
        <is>
          <t>84x108 1/32</t>
        </is>
      </c>
      <c r="L2719" s="23" t="inlineStr">
        <is>
          <t>тв</t>
        </is>
      </c>
      <c r="M2719" s="23" t="n">
        <v>384</v>
      </c>
      <c r="N2719" s="23" t="n">
        <v>2015</v>
      </c>
      <c r="O2719" s="23" t="n">
        <v>406</v>
      </c>
      <c r="P2719" s="23" t="n"/>
      <c r="Q2719" s="23" t="n"/>
      <c r="R2719" s="25" t="inlineStr">
        <is>
          <t>Читатели этой книги совершат увлекательное путешествие по улицам древнего района Москвы, причудливо называвшегося когда­то Чертольем. Сегодня его называют музейным кварталом Москвы. Три улицы — Волхонка, Знаменка, Ленивка, четыре переулка — Большой и Малый Знаменские, Колымажный и Лебяжий — и одна набережная — Кремлевская — образуют удивительный исторический и культурный маршрут. Здесь и рассказ о памятниках архитектуры и их создателях­архитекторах: Баженов, Тон, Витберг, Жолтовский, Иофан, и хроника строительства и разрушения домов, а также  история жизни людей, связанных с ними. Это художники: Тропинин, Серов, Остроухов; писатели: Пушкин, Вяземский, Островский; артисты: Собинов, Астангов, Живокини, Ленский; музыканты, ученые, коллекционеры: Щукины, Цветаев, Зильберштейн. А также воспоминания современников о Пастернаке, Эйзенштейне, Мейерхольде, Солженицыне, Маяковском. Ответы на многие интересные вопросы московской истории вы найдете, прочитав книгу.</t>
        </is>
      </c>
      <c r="S2719" s="26">
        <f>HYPERLINK("http://www.cnpol.ru/covers/16005.jpg","фото на сайте")</f>
        <v/>
      </c>
    </row>
    <row r="2720" ht="50.1" customHeight="1" s="3">
      <c r="A2720" s="23" t="inlineStr">
        <is>
          <t>Д</t>
        </is>
      </c>
      <c r="B2720" s="24" t="inlineStr">
        <is>
          <t>21715</t>
        </is>
      </c>
      <c r="C2720" s="23" t="inlineStr">
        <is>
          <t>МОСКВА</t>
        </is>
      </c>
      <c r="D2720" s="23" t="inlineStr">
        <is>
          <t>Давыдов Д.Ю.</t>
        </is>
      </c>
      <c r="E2720" s="23" t="inlineStr">
        <is>
          <t>Колодец трёх рек. Москва приоткрывает вам тайны своих подземелий</t>
        </is>
      </c>
      <c r="F2720" s="23" t="inlineStr">
        <is>
          <t>        </t>
        </is>
      </c>
      <c r="G2720" s="23" t="n">
        <v>709</v>
      </c>
      <c r="H2720" s="23" t="n">
        <v>10</v>
      </c>
      <c r="I2720" s="23" t="n">
        <v>20</v>
      </c>
      <c r="J2720" s="23" t="inlineStr">
        <is>
          <t>978-5-227-11000-8</t>
        </is>
      </c>
      <c r="K2720" s="23" t="inlineStr">
        <is>
          <t>84x108 1/32</t>
        </is>
      </c>
      <c r="L2720" s="23" t="inlineStr">
        <is>
          <t>тв</t>
        </is>
      </c>
      <c r="M2720" s="23" t="n">
        <v>255</v>
      </c>
      <c r="N2720" s="23" t="n">
        <v>2025</v>
      </c>
      <c r="O2720" s="23" t="n">
        <v>304</v>
      </c>
      <c r="P2720" s="23" t="n"/>
      <c r="Q2720" s="23" t="n"/>
      <c r="R2720" s="25" t="inlineStr">
        <is>
          <t>Действие разворачивается в начале нулевых. Из выпуска новостей герой узнаёт о произошедшей трагедии: в московском подземелье погиб телеоператор, а режиссёр получил травмы, но выжил. Выясняется, съёмочная группа планировала снять сюжет о подземном водопаде. Событие запоминается юноше, ему хочется узнать об этом объекте как можно больше, а в одиночку это сделать нелегко… Но Даниле повезло, он знакомится с диггерами и становится частью их отчаянной команды. Оказывается, быть диггером не так-то просто: нужно многое знать, понимать взаимосвязь наземного города с подземным. Вместе с новыми друзьями герой делает первые шаги по тоннелям и коллекторам, которые удивляют, страшат и вдохновляют его. От своих товарищей Данила узнаёт легенду о якобы существующем где-то под Москвой мистическом объекте — «Колодце трёх рек», который и становится основной целью поисков бесстрашной команды…_x000D_
Эта приключенческая книга автобиографична. Практически все герои имеют реальных прототипов, некоторые имена изменены, а некоторые сохранены, если в повествовании речь идёт о произошедших в действительности событиях, отголоски которых сохранились в публикациях и новостных архивах. В тексте период изучения истории подземной Москвы, чтения лекций, проведения экскурсий, занявший в жизни автора 25 лет, сжат до одного года, в течение которого и разворачиваются описанные события. Это позволило сделать текст насыщенным, сконцентрированным и очень занимательным.</t>
        </is>
      </c>
      <c r="S2720" s="26">
        <f>HYPERLINK("http://www.cnpol.ru/covers/21715.jpg","фото на сайте")</f>
        <v/>
      </c>
    </row>
    <row r="2721" ht="50.1" customHeight="1" s="3">
      <c r="A2721" s="23" t="n"/>
      <c r="B2721" s="24" t="inlineStr">
        <is>
          <t>15351</t>
        </is>
      </c>
      <c r="C2721" s="23" t="inlineStr">
        <is>
          <t>МОСКВА</t>
        </is>
      </c>
      <c r="D2721" s="23" t="inlineStr">
        <is>
          <t>Рогачев А.</t>
        </is>
      </c>
      <c r="E2721" s="23" t="inlineStr">
        <is>
          <t>Москва. Великие стройки социализма</t>
        </is>
      </c>
      <c r="F2721" s="23" t="inlineStr">
        <is>
          <t>        </t>
        </is>
      </c>
      <c r="G2721" s="23" t="n">
        <v>927</v>
      </c>
      <c r="H2721" s="23" t="n">
        <v>10</v>
      </c>
      <c r="I2721" s="23" t="n">
        <v>10</v>
      </c>
      <c r="J2721" s="23" t="inlineStr">
        <is>
          <t>978-5-227-05106-6</t>
        </is>
      </c>
      <c r="K2721" s="23" t="inlineStr">
        <is>
          <t>60x90 1/16</t>
        </is>
      </c>
      <c r="L2721" s="23" t="inlineStr">
        <is>
          <t>тв</t>
        </is>
      </c>
      <c r="M2721" s="23" t="n">
        <v>480</v>
      </c>
      <c r="N2721" s="23" t="n">
        <v>2014</v>
      </c>
      <c r="O2721" s="23" t="n">
        <v>594</v>
      </c>
      <c r="P2721" s="23" t="n"/>
      <c r="Q2721" s="23" t="n"/>
      <c r="R2721" s="25" t="n"/>
      <c r="S2721" s="26">
        <f>HYPERLINK("http://www.cnpol.ru/covers/15351.jpg","фото на сайте")</f>
        <v/>
      </c>
    </row>
    <row r="2722" ht="50.1" customHeight="1" s="3">
      <c r="A2722" s="23" t="inlineStr">
        <is>
          <t>Н</t>
        </is>
      </c>
      <c r="B2722" s="24" t="inlineStr">
        <is>
          <t>21212</t>
        </is>
      </c>
      <c r="C2722" s="23" t="inlineStr">
        <is>
          <t>МОСКВА</t>
        </is>
      </c>
      <c r="D2722" s="23" t="inlineStr">
        <is>
          <t>Романюк С.К</t>
        </is>
      </c>
      <c r="E2722" s="23" t="inlineStr">
        <is>
          <t>Москва. Утраты. Уничтоженная архитектура столицы</t>
        </is>
      </c>
      <c r="F2722" s="23" t="inlineStr">
        <is>
          <t>        </t>
        </is>
      </c>
      <c r="G2722" s="27" t="n">
        <v>1143</v>
      </c>
      <c r="H2722" s="23" t="n">
        <v>10</v>
      </c>
      <c r="I2722" s="23" t="n">
        <v>6</v>
      </c>
      <c r="J2722" s="23" t="inlineStr">
        <is>
          <t>978-5-227-10719-0</t>
        </is>
      </c>
      <c r="K2722" s="23" t="inlineStr">
        <is>
          <t>84x108 1/32</t>
        </is>
      </c>
      <c r="L2722" s="23" t="inlineStr">
        <is>
          <t>тв</t>
        </is>
      </c>
      <c r="M2722" s="23" t="n">
        <v>415</v>
      </c>
      <c r="N2722" s="23" t="n">
        <v>2024</v>
      </c>
      <c r="O2722" s="23" t="n">
        <v>447</v>
      </c>
      <c r="P2722" s="23" t="n"/>
      <c r="Q2722" s="23" t="n"/>
      <c r="R2722" s="25" t="inlineStr">
        <is>
          <t>Этот труд именитого историка и москвоведа посвящен тем невосполнимым потерям, которые понесли архитектура и уникальный исторический облик Москвы в ходе Октябрьской революции и дальнейшего пребывания большевиков у власти. Сносились церкви, памятники, неповторимые шедевры зодчества, и чаще всего на их месте не возникало ничего красивого, а порой не оказывалось и ничего вообще. Когда-то превозносимая и искусствоведами, и путешественниками, и самими жителями Первопрестольной, Москва во многом утратила свое лицо, превратившись как в поле для конструктивистских экспериментов, так и в площадку для строительства сталинского ампира. Безвозвратно утраченные жемчужины старой Москвы остались лишь на старинных фотографиях и в воспоминаниях современников. С помощью Сергея Константиновича Романюка читатель сможет представить, как раньше выглядел этот прекрасный город.</t>
        </is>
      </c>
      <c r="S2722" s="26">
        <f>HYPERLINK("http://www.cnpol.ru/covers/21212.jpg","фото на сайте")</f>
        <v/>
      </c>
    </row>
    <row r="2723" ht="50.1" customHeight="1" s="3">
      <c r="A2723" s="23" t="inlineStr">
        <is>
          <t>Н</t>
        </is>
      </c>
      <c r="B2723" s="24" t="inlineStr">
        <is>
          <t>21905</t>
        </is>
      </c>
      <c r="C2723" s="23" t="inlineStr">
        <is>
          <t>МОСКВА</t>
        </is>
      </c>
      <c r="D2723" s="23" t="inlineStr">
        <is>
          <t>Соколова Л.А.</t>
        </is>
      </c>
      <c r="E2723" s="23" t="inlineStr">
        <is>
          <t>Московский модерн в лицах и судьбах</t>
        </is>
      </c>
      <c r="F2723" s="23" t="inlineStr">
        <is>
          <t>        </t>
        </is>
      </c>
      <c r="G2723" s="27" t="n">
        <v>1117</v>
      </c>
      <c r="H2723" s="23" t="n">
        <v>10</v>
      </c>
      <c r="I2723" s="23" t="n">
        <v>10</v>
      </c>
      <c r="J2723" s="23" t="inlineStr">
        <is>
          <t>978-5-227-11171-5</t>
        </is>
      </c>
      <c r="K2723" s="23" t="inlineStr">
        <is>
          <t>60x90 1/16</t>
        </is>
      </c>
      <c r="L2723" s="23" t="inlineStr">
        <is>
          <t>тв</t>
        </is>
      </c>
      <c r="M2723" s="23" t="n">
        <v>367</v>
      </c>
      <c r="N2723" s="23" t="n">
        <v>2026</v>
      </c>
      <c r="O2723" s="23" t="n">
        <v>446</v>
      </c>
      <c r="P2723" s="23" t="n"/>
      <c r="Q2723" s="23" t="n"/>
      <c r="R2723" s="25" t="inlineStr">
        <is>
          <t>"Короткая эпоха расцвета модерна была довольно резко прервана. Классический стиль в искусстве с его плавностью и текучестью форм, растительными орнаментами вряд ли бы прижился в молодом социалистическом государстве.
Но, несмотря на строительство коммунизма и воцарение новых порядков, шедевры модерна на улицах Москвы сохранились: многие из них в превосходном состоянии дошли до наших дней. И сегодня мы имеем возможность любоваться ими.
Так уж случилось, что самые яркие здания в стиле модерн не принесли счастья ни тем, кто их создал, ни тем, кто в них жил. В этой книге мы совершим увлекательное путешествие не только по улицам Москвы, но и во времени: вернемся назад, чтобы лучше понять день сегодняшний."</t>
        </is>
      </c>
      <c r="S2723" s="26">
        <f>HYPERLINK("http://www.cnpol.ru/covers/21905.jpg","фото на сайте")</f>
        <v/>
      </c>
    </row>
    <row r="2724" ht="50.1" customHeight="1" s="3">
      <c r="A2724" s="23" t="inlineStr">
        <is>
          <t>Н</t>
        </is>
      </c>
      <c r="B2724" s="24" t="inlineStr">
        <is>
          <t>21096</t>
        </is>
      </c>
      <c r="C2724" s="23" t="inlineStr">
        <is>
          <t>МОСКВА</t>
        </is>
      </c>
      <c r="D2724" s="23" t="inlineStr">
        <is>
          <t>Кипнис С.Е.</t>
        </is>
      </c>
      <c r="E2724" s="23" t="inlineStr">
        <is>
          <t>Новодевичий мемориал. Некрополь монастыря и кладбища</t>
        </is>
      </c>
      <c r="F2724" s="23" t="inlineStr">
        <is>
          <t>        </t>
        </is>
      </c>
      <c r="G2724" s="27" t="n">
        <v>2620</v>
      </c>
      <c r="H2724" s="23" t="n">
        <v>10</v>
      </c>
      <c r="I2724" s="23" t="n">
        <v>3</v>
      </c>
      <c r="J2724" s="23" t="inlineStr">
        <is>
          <t>978-5-227-10599-8</t>
        </is>
      </c>
      <c r="K2724" s="23" t="inlineStr">
        <is>
          <t>70x100 1/16</t>
        </is>
      </c>
      <c r="L2724" s="23" t="inlineStr">
        <is>
          <t>тв</t>
        </is>
      </c>
      <c r="M2724" s="23" t="n">
        <v>767</v>
      </c>
      <c r="N2724" s="23" t="n">
        <v>2024</v>
      </c>
      <c r="O2724" s="23" t="n">
        <v>635</v>
      </c>
      <c r="P2724" s="23" t="n"/>
      <c r="Q2724" s="23" t="n"/>
      <c r="R2724" s="25" t="inlineStr">
        <is>
          <t>Автор этого монументального труда, Соломон Ефимович Кипнис, потратил десятилетия на изыскания, чтобы составить наиболее подробный некрополь — свод о захоронениях Новодевичьего монастыря и кладбища. К сожалению, в книгу не вошли самые новые захоронения, но даже дополненные и доработанные материалы издания 1998 года представляют значительную ценность и дают возможность ознакомиться с огромным объемом информации. Книга снабжена удобным поисковым аппаратом: планом участков, именным указателем похороненных и скульпторов.</t>
        </is>
      </c>
      <c r="S2724" s="26">
        <f>HYPERLINK("http://www.cnpol.ru/covers/21096.jpg","фото на сайте")</f>
        <v/>
      </c>
    </row>
    <row r="2725" ht="50.1" customHeight="1" s="3">
      <c r="A2725" s="23" t="n"/>
      <c r="B2725" s="24" t="inlineStr">
        <is>
          <t>16319</t>
        </is>
      </c>
      <c r="C2725" s="23" t="inlineStr">
        <is>
          <t>МОСКВА</t>
        </is>
      </c>
      <c r="D2725" s="23" t="inlineStr">
        <is>
          <t>Иванов О.А.</t>
        </is>
      </c>
      <c r="E2725" s="23" t="inlineStr">
        <is>
          <t>От Крымского вала до Воробьевых гор.</t>
        </is>
      </c>
      <c r="F2725" s="23" t="inlineStr">
        <is>
          <t>        </t>
        </is>
      </c>
      <c r="G2725" s="27" t="n">
        <v>1205</v>
      </c>
      <c r="H2725" s="23" t="n">
        <v>10</v>
      </c>
      <c r="I2725" s="23" t="n">
        <v>10</v>
      </c>
      <c r="J2725" s="23" t="inlineStr">
        <is>
          <t>978-5-227-05740-2</t>
        </is>
      </c>
      <c r="K2725" s="23" t="inlineStr">
        <is>
          <t>60x90 1/16</t>
        </is>
      </c>
      <c r="L2725" s="23" t="inlineStr">
        <is>
          <t>тв</t>
        </is>
      </c>
      <c r="M2725" s="23" t="n">
        <v>528</v>
      </c>
      <c r="N2725" s="23" t="n">
        <v>2015</v>
      </c>
      <c r="O2725" s="23" t="n">
        <v>620</v>
      </c>
      <c r="P2725" s="23" t="n"/>
      <c r="Q2725" s="23" t="n"/>
      <c r="R2725" s="25" t="n"/>
      <c r="S2725" s="26">
        <f>HYPERLINK("http://www.cnpol.ru/covers/16319.jpg","фото на сайте")</f>
        <v/>
      </c>
    </row>
    <row r="2726" ht="50.1" customHeight="1" s="3">
      <c r="A2726" s="23" t="inlineStr">
        <is>
          <t>Д</t>
        </is>
      </c>
      <c r="B2726" s="24" t="inlineStr">
        <is>
          <t>21591</t>
        </is>
      </c>
      <c r="C2726" s="23" t="inlineStr">
        <is>
          <t>МОСКВА</t>
        </is>
      </c>
      <c r="D2726" s="23" t="inlineStr">
        <is>
          <t>Романюк С.К</t>
        </is>
      </c>
      <c r="E2726" s="23" t="inlineStr">
        <is>
          <t>От Садового кольца до границ Москвы. История окраин, шедевры зодчества, памятные места, людские судьбы</t>
        </is>
      </c>
      <c r="F2726" s="23" t="inlineStr">
        <is>
          <t>        </t>
        </is>
      </c>
      <c r="G2726" s="27" t="n">
        <v>2292</v>
      </c>
      <c r="H2726" s="23" t="n">
        <v>10</v>
      </c>
      <c r="I2726" s="23" t="n">
        <v>4</v>
      </c>
      <c r="J2726" s="23" t="inlineStr">
        <is>
          <t>978-5-227-11010-7</t>
        </is>
      </c>
      <c r="K2726" s="23" t="inlineStr">
        <is>
          <t>70x100 1/16</t>
        </is>
      </c>
      <c r="L2726" s="23" t="inlineStr">
        <is>
          <t>тв</t>
        </is>
      </c>
      <c r="M2726" s="23" t="n">
        <v>687</v>
      </c>
      <c r="N2726" s="23" t="n">
        <v>2025</v>
      </c>
      <c r="O2726" s="23" t="n">
        <v>1006</v>
      </c>
      <c r="P2726" s="23" t="n"/>
      <c r="Q2726" s="23" t="n"/>
      <c r="R2726" s="25" t="inlineStr">
        <is>
          <t>Известный москвовед Сергей Константинович Романюк рассказывает читателю историю московских сел и слобод, которыми прирастала столица._x000D_
Первая часть повествования поведает о территории от Садового кольца до Камер-Коллежского вала, который был в продолжение более чем ста лет границей города. Описание начинается с местности в излучине Москвы-реки, с Хамовной слободы, и продолжается по часовой стрелке, заканчиваясь Калужской дорогой. Говорится о прошлом этих мест, о шедеврах зодчества и о зданиях, которые не столь на виду, о людях забытых, но славных в истории города._x000D_
Вторая часть описывает местности от Камер-Коллежского вала и до границ города в конце XX века. Здесь сохранились широко известные великолепные дворцы, украшающие знаменитые усадьбы — Кунцево Нарышкиных, Останкино и Кусково Шереметевых, Люблино Дурасовых, царские Коломенское и Царицыно… От многих сел и усадеб остались лишь церковные здания, и часто это прекрасные образцы архитектуры — Покровская церковь в Филях, Знаменская в Перове, Троицкая в Троице-Голенищеве..._x000D_
За последние годы Москва стремительно меняется, а книга написана около тридцати лет назад, но тем не менее за это время никто не сделал более подробного описания местностей за Садовым кольцом, чем автор. Поэтому книга уникальна и рекомендуется самому широкому кругу читателей, интересующихся историей Москвы.</t>
        </is>
      </c>
      <c r="S2726" s="26">
        <f>HYPERLINK("http://www.cnpol.ru/covers/21591.jpg","фото на сайте")</f>
        <v/>
      </c>
    </row>
    <row r="2727" ht="50.1" customHeight="1" s="3">
      <c r="A2727" s="23" t="n"/>
      <c r="B2727" s="24" t="inlineStr">
        <is>
          <t>18766</t>
        </is>
      </c>
      <c r="C2727" s="23" t="inlineStr">
        <is>
          <t>МОСКВА</t>
        </is>
      </c>
      <c r="D2727" s="23" t="inlineStr">
        <is>
          <t>Васькин А.А</t>
        </is>
      </c>
      <c r="E2727" s="23" t="inlineStr">
        <is>
          <t>Охотный Ряд и Моховая. Прогулки под стенами Кремля</t>
        </is>
      </c>
      <c r="F2727" s="23" t="inlineStr">
        <is>
          <t>        </t>
        </is>
      </c>
      <c r="G2727" s="23" t="n">
        <v>851</v>
      </c>
      <c r="H2727" s="23" t="n">
        <v>10</v>
      </c>
      <c r="I2727" s="23" t="n">
        <v>10</v>
      </c>
      <c r="J2727" s="23" t="inlineStr">
        <is>
          <t>978-5-227-05795-2</t>
        </is>
      </c>
      <c r="K2727" s="23" t="inlineStr">
        <is>
          <t>84x108 1/32</t>
        </is>
      </c>
      <c r="L2727" s="23" t="inlineStr">
        <is>
          <t>тв</t>
        </is>
      </c>
      <c r="M2727" s="23" t="n">
        <v>416</v>
      </c>
      <c r="N2727" s="23" t="n">
        <v>2019</v>
      </c>
      <c r="O2727" s="23" t="n">
        <v>456</v>
      </c>
      <c r="P2727" s="23" t="n"/>
      <c r="Q2727" s="23" t="n"/>
      <c r="R2727" s="25" t="n"/>
      <c r="S2727" s="26">
        <f>HYPERLINK("http://www.cnpol.ru/covers/18766.jpg","фото на сайте")</f>
        <v/>
      </c>
    </row>
    <row r="2728" ht="50.1" customHeight="1" s="3">
      <c r="A2728" s="23" t="inlineStr">
        <is>
          <t>Д</t>
        </is>
      </c>
      <c r="B2728" s="24" t="inlineStr">
        <is>
          <t>22181</t>
        </is>
      </c>
      <c r="C2728" s="23" t="inlineStr">
        <is>
          <t>МОСКВА</t>
        </is>
      </c>
      <c r="D2728" s="23" t="inlineStr">
        <is>
          <t>Романюк С.К</t>
        </is>
      </c>
      <c r="E2728" s="23" t="inlineStr">
        <is>
          <t>Переулки старой Москвы</t>
        </is>
      </c>
      <c r="F2728" s="23" t="inlineStr">
        <is>
          <t>        </t>
        </is>
      </c>
      <c r="G2728" s="27" t="n">
        <v>3172</v>
      </c>
      <c r="H2728" s="23" t="n">
        <v>10</v>
      </c>
      <c r="I2728" s="23" t="n">
        <v>4</v>
      </c>
      <c r="J2728" s="23" t="inlineStr">
        <is>
          <t>978-5-227-11320-7</t>
        </is>
      </c>
      <c r="K2728" s="23" t="inlineStr">
        <is>
          <t>70х100 1/16</t>
        </is>
      </c>
      <c r="L2728" s="23" t="inlineStr">
        <is>
          <t>тв</t>
        </is>
      </c>
      <c r="M2728" s="23" t="n">
        <v>831</v>
      </c>
      <c r="N2728" s="23" t="n">
        <v>2026</v>
      </c>
      <c r="O2728" s="23" t="n">
        <v>1212</v>
      </c>
      <c r="P2728" s="23" t="n"/>
      <c r="Q2728" s="23" t="n"/>
      <c r="R2728" s="25" t="inlineStr">
        <is>
          <t>Эта книга приглашает в путешествие по московским переулкам, раскинувшимся в старом городе, ограниченном Садовым кольцом. Здесь, в небольшой части современного города-гиганта, сосредоточено большинство архитектурных и исторических памятников. В книге рассказывается о сокровищах, которые «спрятаны» в прихотливом лабиринте переулков, вдали от проторенных туристами путей, о выдающихся сооружениях и памятных местах, связанных с великими именами в истории нашей страны, о рядовых, казалось бы, ничем не примечательных зданиях и часто незаслуженно забытых деятелях отечественной культуры и истории.</t>
        </is>
      </c>
      <c r="S2728" s="26">
        <f>HYPERLINK("http://www.cnpol.ru/covers/22181.jpg","фото на сайте")</f>
        <v/>
      </c>
    </row>
    <row r="2729" ht="50.1" customHeight="1" s="3">
      <c r="A2729" s="23" t="n"/>
      <c r="B2729" s="24" t="inlineStr">
        <is>
          <t>15184</t>
        </is>
      </c>
      <c r="C2729" s="23" t="inlineStr">
        <is>
          <t>МОСКВА</t>
        </is>
      </c>
      <c r="D2729" s="23" t="inlineStr">
        <is>
          <t>Шокарев С.</t>
        </is>
      </c>
      <c r="E2729" s="23" t="inlineStr">
        <is>
          <t>Путеводитель по средневековой Москве</t>
        </is>
      </c>
      <c r="F2729" s="23" t="inlineStr">
        <is>
          <t>        </t>
        </is>
      </c>
      <c r="G2729" s="23" t="n">
        <v>927</v>
      </c>
      <c r="H2729" s="23" t="n">
        <v>10</v>
      </c>
      <c r="I2729" s="23" t="n">
        <v>12</v>
      </c>
      <c r="J2729" s="23" t="inlineStr">
        <is>
          <t>978-5-227-05090-8</t>
        </is>
      </c>
      <c r="K2729" s="23" t="inlineStr">
        <is>
          <t>60x90 1/16</t>
        </is>
      </c>
      <c r="L2729" s="23" t="inlineStr">
        <is>
          <t>тв</t>
        </is>
      </c>
      <c r="M2729" s="23" t="n">
        <v>448</v>
      </c>
      <c r="N2729" s="23" t="n">
        <v>2014</v>
      </c>
      <c r="O2729" s="23" t="n">
        <v>546</v>
      </c>
      <c r="P2729" s="23" t="n"/>
      <c r="Q2729" s="23" t="n"/>
      <c r="R2729" s="25" t="n"/>
      <c r="S2729" s="26">
        <f>HYPERLINK("http://www.cnpol.ru/covers/15184.jpg","фото на сайте")</f>
        <v/>
      </c>
    </row>
    <row r="2730" ht="50.1" customHeight="1" s="3">
      <c r="A2730" s="23" t="inlineStr">
        <is>
          <t>Н</t>
        </is>
      </c>
      <c r="B2730" s="24" t="inlineStr">
        <is>
          <t>21317</t>
        </is>
      </c>
      <c r="C2730" s="23" t="inlineStr">
        <is>
          <t>МОСКВА</t>
        </is>
      </c>
      <c r="D2730" s="23" t="inlineStr">
        <is>
          <t>Романюк С.К</t>
        </is>
      </c>
      <c r="E2730" s="23" t="inlineStr">
        <is>
          <t>Старая Москва. Путешествие от Кремля до Бульварного кольца. История центра столицы в памятниках, площадях и переулках</t>
        </is>
      </c>
      <c r="F2730" s="23" t="inlineStr">
        <is>
          <t>        </t>
        </is>
      </c>
      <c r="G2730" s="27" t="n">
        <v>3198</v>
      </c>
      <c r="H2730" s="23" t="n">
        <v>10</v>
      </c>
      <c r="I2730" s="23" t="n">
        <v>3</v>
      </c>
      <c r="J2730" s="23" t="inlineStr">
        <is>
          <t>978-5-227-10828-9</t>
        </is>
      </c>
      <c r="K2730" s="23" t="inlineStr">
        <is>
          <t>70x100 1/16</t>
        </is>
      </c>
      <c r="L2730" s="23" t="inlineStr">
        <is>
          <t>тв</t>
        </is>
      </c>
      <c r="M2730" s="23" t="n">
        <v>909</v>
      </c>
      <c r="N2730" s="23" t="n">
        <v>2024</v>
      </c>
      <c r="O2730" s="23" t="n">
        <v>1301</v>
      </c>
      <c r="P2730" s="23" t="n"/>
      <c r="Q2730" s="23" t="n"/>
      <c r="R2730" s="25" t="inlineStr">
        <is>
          <t>Эта книга посвящена рассказу о центре Москвы, многочисленных памятниках Кремля, Красной площади, исторического района Китай-город, площадях и улицах вокруг центральной части города и об одном из самых любопытных и красивых мест центра — Острове._x000D_
Каждое строение города, где бы оно ни находилось, — каменная скрижаль с высеченной на ней историей, рассказом о событиях, людях и их поступках. Автор рассказывает об исторических корнях современной Москвы, описывает все здания (в том числе и снесенные в XX в.) и все важные события, связанные с ними._x000D_
Эта уникальная книга — практически энциклопедия, а как некоторые читатели считают — путеводитель по центру. Она позволяет совершить путешествие во времени и иными глазами взглянуть на достопримечательности столицы._x000D_
Автор достает из недр истории удивительные факты про московские дома и их обитателей. А самое приятное, что написана книга не канцелярским языком, а легко и очень интересно._x000D_
Рекомендуется исследователям истории, экскурсоводам, и всем, кому просто интересна история Москвы.</t>
        </is>
      </c>
      <c r="S2730" s="26">
        <f>HYPERLINK("http://www.cnpol.ru/covers/21317.jpg","фото на сайте")</f>
        <v/>
      </c>
    </row>
    <row r="2731" ht="50.1" customHeight="1" s="3">
      <c r="A2731" s="23" t="n"/>
      <c r="B2731" s="24" t="inlineStr">
        <is>
          <t>19318</t>
        </is>
      </c>
      <c r="C2731" s="23" t="inlineStr">
        <is>
          <t>МП</t>
        </is>
      </c>
      <c r="D2731" s="23" t="inlineStr">
        <is>
          <t>Некрасов А.А.</t>
        </is>
      </c>
      <c r="E2731" s="23" t="inlineStr">
        <is>
          <t>Ваш билет на экзамене жизни. 102 ответа на жизненно важные вопросы</t>
        </is>
      </c>
      <c r="F2731" s="23" t="inlineStr">
        <is>
          <t>        </t>
        </is>
      </c>
      <c r="G2731" s="23" t="n">
        <v>284</v>
      </c>
      <c r="H2731" s="23" t="n">
        <v>10</v>
      </c>
      <c r="I2731" s="23" t="n">
        <v>20</v>
      </c>
      <c r="J2731" s="23" t="inlineStr">
        <is>
          <t>978-5-227-09257-1</t>
        </is>
      </c>
      <c r="K2731" s="23" t="inlineStr">
        <is>
          <t>84x108 1/32 (обл)</t>
        </is>
      </c>
      <c r="L2731" s="23" t="inlineStr">
        <is>
          <t>мяг</t>
        </is>
      </c>
      <c r="M2731" s="23" t="n">
        <v>224</v>
      </c>
      <c r="N2731" s="23" t="n">
        <v>2020</v>
      </c>
      <c r="O2731" s="23" t="n">
        <v>136</v>
      </c>
      <c r="P2731" s="23" t="n"/>
      <c r="Q2731" s="23" t="n"/>
      <c r="R2731" s="25" t="inlineStr">
        <is>
          <t>"В большинстве своём люди не знают самой важной информации в своей жизни — они не знают, зачем живут! Мы не задумываемся над смыслом жизни, а зря — ведь это то, что выделяет человека среди всех других существ. Отсутствие ясности в этом вопросе и наличие значительных заблуждений приводят к потере истинных ориентиров, уходу человека с оптимального пути и, как следствие этого, к потере интереса к жизни, основных человеческих качеств — и в результате короткая жизнь со множеством страданий.
Эта книга станет вашим помощником, настоящим советчиком, к которому вы сможете обращаться при возникновении жизненных трудностей."</t>
        </is>
      </c>
      <c r="S2731" s="26">
        <f>HYPERLINK("http://www.cnpol.ru/covers/19318.jpg","фото на сайте")</f>
        <v/>
      </c>
    </row>
    <row r="2732" ht="50.1" customHeight="1" s="3">
      <c r="A2732" s="23" t="n"/>
      <c r="B2732" s="24" t="inlineStr">
        <is>
          <t>12394</t>
        </is>
      </c>
      <c r="C2732" s="23" t="inlineStr">
        <is>
          <t>МП</t>
        </is>
      </c>
      <c r="D2732" s="23" t="inlineStr">
        <is>
          <t>Некрасов А.А.</t>
        </is>
      </c>
      <c r="E2732" s="23" t="inlineStr">
        <is>
          <t>Живые мысли. Таблетка на каждый день</t>
        </is>
      </c>
      <c r="F2732" s="23" t="inlineStr">
        <is>
          <t>        </t>
        </is>
      </c>
      <c r="G2732" s="23" t="n">
        <v>284</v>
      </c>
      <c r="H2732" s="23" t="n">
        <v>10</v>
      </c>
      <c r="I2732" s="23" t="n">
        <v>28</v>
      </c>
      <c r="J2732" s="23" t="inlineStr">
        <is>
          <t>978-5-227-02565-4</t>
        </is>
      </c>
      <c r="K2732" s="23" t="inlineStr">
        <is>
          <t>84x108 1/32 (обл)</t>
        </is>
      </c>
      <c r="L2732" s="23" t="inlineStr">
        <is>
          <t>мяг</t>
        </is>
      </c>
      <c r="M2732" s="23" t="n">
        <v>248</v>
      </c>
      <c r="N2732" s="23" t="n">
        <v>2010</v>
      </c>
      <c r="O2732" s="23" t="n">
        <v>162</v>
      </c>
      <c r="P2732" s="23" t="n"/>
      <c r="Q2732" s="23" t="n"/>
      <c r="R2732" s="25" t="inlineStr">
        <is>
          <t>В книге автор поднимает вопросы, которые хотя бы иногда задает себе каждый человек: о счастье и страдании, о болезни и здоровье, о духовном развитии и вере, о любви к себе и отношениях с ближними, об осознанности и мудрости....</t>
        </is>
      </c>
      <c r="S2732" s="26">
        <f>HYPERLINK("http://www.cnpol.ru/covers/12394.jpg","фото на сайте")</f>
        <v/>
      </c>
    </row>
    <row r="2733" ht="50.1" customHeight="1" s="3">
      <c r="A2733" s="23" t="n"/>
      <c r="B2733" s="24" t="inlineStr">
        <is>
          <t>12780</t>
        </is>
      </c>
      <c r="C2733" s="23" t="inlineStr">
        <is>
          <t>МП</t>
        </is>
      </c>
      <c r="D2733" s="23" t="inlineStr">
        <is>
          <t>Некрасов А.А.</t>
        </is>
      </c>
      <c r="E2733" s="23" t="inlineStr">
        <is>
          <t>Живые мысли. Таблетка на каждый день</t>
        </is>
      </c>
      <c r="F2733" s="23" t="inlineStr">
        <is>
          <t>        </t>
        </is>
      </c>
      <c r="G2733" s="23" t="n">
        <v>284</v>
      </c>
      <c r="H2733" s="23" t="n">
        <v>10</v>
      </c>
      <c r="I2733" s="23" t="n">
        <v>28</v>
      </c>
      <c r="J2733" s="23" t="inlineStr">
        <is>
          <t>978-5-227-02565-4</t>
        </is>
      </c>
      <c r="K2733" s="23" t="inlineStr">
        <is>
          <t>84x108 1/32 (обл)</t>
        </is>
      </c>
      <c r="L2733" s="23" t="inlineStr">
        <is>
          <t>мяг</t>
        </is>
      </c>
      <c r="M2733" s="23" t="n">
        <v>248</v>
      </c>
      <c r="N2733" s="23" t="n">
        <v>2011</v>
      </c>
      <c r="O2733" s="23" t="n">
        <v>162</v>
      </c>
      <c r="P2733" s="23" t="n"/>
      <c r="Q2733" s="23" t="n"/>
      <c r="R2733" s="25" t="inlineStr">
        <is>
          <t>В книге автор поднимает вопросы, которые хотя бы иногда задает себе каждый человек: о счастье и страдании, о болезни и здоровье, о духовном развитии и вере, о любви к себе и отношениях с ближними, об осознанности и мудрости....</t>
        </is>
      </c>
      <c r="S2733" s="26">
        <f>HYPERLINK("http://www.cnpol.ru/covers/12780.jpg","фото на сайте")</f>
        <v/>
      </c>
    </row>
    <row r="2734" ht="50.1" customHeight="1" s="3">
      <c r="A2734" s="23" t="n"/>
      <c r="B2734" s="24" t="inlineStr">
        <is>
          <t>14118</t>
        </is>
      </c>
      <c r="C2734" s="23" t="inlineStr">
        <is>
          <t>МП</t>
        </is>
      </c>
      <c r="D2734" s="23" t="inlineStr">
        <is>
          <t>Некрасов А.А.</t>
        </is>
      </c>
      <c r="E2734" s="23" t="inlineStr">
        <is>
          <t>Зачетная книжка жизни. Учимся любить</t>
        </is>
      </c>
      <c r="F2734" s="23" t="inlineStr">
        <is>
          <t>        </t>
        </is>
      </c>
      <c r="G2734" s="23" t="n">
        <v>284</v>
      </c>
      <c r="H2734" s="23" t="n">
        <v>10</v>
      </c>
      <c r="I2734" s="23" t="n">
        <v>34</v>
      </c>
      <c r="J2734" s="23" t="inlineStr">
        <is>
          <t>978-5-227-04195-1</t>
        </is>
      </c>
      <c r="K2734" s="23" t="inlineStr">
        <is>
          <t>84x108 1/32 (обл)</t>
        </is>
      </c>
      <c r="L2734" s="23" t="inlineStr">
        <is>
          <t>мяг</t>
        </is>
      </c>
      <c r="M2734" s="23" t="n">
        <v>200</v>
      </c>
      <c r="N2734" s="23" t="n">
        <v>2013</v>
      </c>
      <c r="O2734" s="23" t="n">
        <v>140</v>
      </c>
      <c r="P2734" s="23" t="n"/>
      <c r="Q2734" s="23" t="n"/>
      <c r="R2734" s="25" t="inlineStr">
        <is>
          <t>"Если человек желает познать свой внутренний мир и прожить долгую и счастливую жизнь, перед ним рано или поздно встает вопрос – что такое истинная любовь и как построить полноценные отношения со своей половинкой и с окружающими? Работы студентов Школы Мудрости, уже сделавших свои первые открытия в постижении любви, доказывают, что учиться любить можно и нужно! С помощью опытного Учителя и наставника, Анатолия Некрасова, вы не только овладеете искусством любить себя, других, природу и мир в целом, но и сможете:
• создать вокруг себя пространство любви и счастья;
• укрепить свою семью;
• мудро выстроить систему жизненных ценностей;
• благотворно повлиять на судьбы детей;
• правильно построить отношения с любым партнером, несмотря на разницу в возрасте или положение в обществе;
• наладить отношения  не только с родителями, но и со своим родом в целом.
 Почувствуйте настоящую радость жизни и научитесь жить счастливо!
"</t>
        </is>
      </c>
      <c r="S2734" s="26">
        <f>HYPERLINK("http://www.cnpol.ru/covers/14118.jpg","фото на сайте")</f>
        <v/>
      </c>
    </row>
    <row r="2735" ht="50.1" customHeight="1" s="3">
      <c r="A2735" s="23" t="n"/>
      <c r="B2735" s="24" t="inlineStr">
        <is>
          <t>20262</t>
        </is>
      </c>
      <c r="C2735" s="23" t="inlineStr">
        <is>
          <t>МП</t>
        </is>
      </c>
      <c r="D2735" s="23" t="inlineStr">
        <is>
          <t>Некрасов А.А.</t>
        </is>
      </c>
      <c r="E2735" s="23" t="inlineStr">
        <is>
          <t>Зачетная книжка жизни. Учимся любить</t>
        </is>
      </c>
      <c r="F2735" s="23" t="inlineStr">
        <is>
          <t>        </t>
        </is>
      </c>
      <c r="G2735" s="23" t="n">
        <v>284</v>
      </c>
      <c r="H2735" s="23" t="n">
        <v>10</v>
      </c>
      <c r="I2735" s="23" t="n">
        <v>20</v>
      </c>
      <c r="J2735" s="23" t="inlineStr">
        <is>
          <t>978-5-227-09734-7</t>
        </is>
      </c>
      <c r="K2735" s="23" t="inlineStr">
        <is>
          <t>84x108 1/32 (обл)</t>
        </is>
      </c>
      <c r="L2735" s="23" t="inlineStr">
        <is>
          <t>мяг</t>
        </is>
      </c>
      <c r="M2735" s="23" t="n">
        <v>224</v>
      </c>
      <c r="N2735" s="23" t="n">
        <v>2022</v>
      </c>
      <c r="O2735" s="23" t="n">
        <v>140</v>
      </c>
      <c r="P2735" s="23" t="n"/>
      <c r="Q2735" s="23" t="n"/>
      <c r="R2735" s="25" t="inlineStr">
        <is>
          <t>"Если человек желает познать свой внутренний мир и прожить долгую и счастливую жизнь, перед ним рано или поздно встает вопрос – что такое истинная любовь и как построить полноценные отношения со своей половинкой и с окружающими? Работы студентов Школы Мудрости, уже сделавших свои первые открытия в постижении любви, доказывают, что учиться любить можно и нужно! С помощью опытного Учителя и наставника, Анатолия Некрасова, вы не только овладеете искусством любить себя, других, природу и мир в целом, но и сможете:
• создать вокруг себя пространство любви и счастья;
• укрепить свою семью;
• мудро выстроить систему жизненных ценностей;
• благотворно повлиять на судьбы детей;
• правильно построить отношения с любым партнером, несмотря на разницу в возрасте или положение в обществе;
• наладить отношения  не только с родителями, но и со своим родом в целом.
 Почувствуйте настоящую радость жизни и научитесь жить счастливо!
"</t>
        </is>
      </c>
      <c r="S2735" s="26">
        <f>HYPERLINK("http://www.cnpol.ru/covers/20262.jpg","фото на сайте")</f>
        <v/>
      </c>
    </row>
    <row r="2736" ht="50.1" customHeight="1" s="3">
      <c r="A2736" s="23" t="n"/>
      <c r="B2736" s="24" t="inlineStr">
        <is>
          <t>12519</t>
        </is>
      </c>
      <c r="C2736" s="23" t="inlineStr">
        <is>
          <t>МП</t>
        </is>
      </c>
      <c r="D2736" s="23" t="inlineStr">
        <is>
          <t>Некрасов А.А.</t>
        </is>
      </c>
      <c r="E2736" s="23" t="inlineStr">
        <is>
          <t>Зачётная книжка жизни. Учимся любить</t>
        </is>
      </c>
      <c r="F2736" s="23" t="inlineStr">
        <is>
          <t>        </t>
        </is>
      </c>
      <c r="G2736" s="23" t="n">
        <v>284</v>
      </c>
      <c r="H2736" s="23" t="n">
        <v>10</v>
      </c>
      <c r="I2736" s="23" t="n">
        <v>24</v>
      </c>
      <c r="J2736" s="23" t="inlineStr">
        <is>
          <t>978-5-227-02636-1</t>
        </is>
      </c>
      <c r="K2736" s="23" t="inlineStr">
        <is>
          <t>84x108 1/32 (обл)</t>
        </is>
      </c>
      <c r="L2736" s="23" t="inlineStr">
        <is>
          <t>мяг</t>
        </is>
      </c>
      <c r="M2736" s="23" t="n">
        <v>224</v>
      </c>
      <c r="N2736" s="23" t="n">
        <v>2011</v>
      </c>
      <c r="O2736" s="23" t="n">
        <v>138</v>
      </c>
      <c r="P2736" s="23" t="n"/>
      <c r="Q2736" s="23" t="n"/>
      <c r="R2736" s="25" t="inlineStr">
        <is>
          <t>"Если человек желает познать свой внутренний мир и прожить долгую и счастливую жизнь, перед ним рано или поздно встает вопрос – что такое истинная любовь и как построить полноценные отношения со своей половинкой и с окружающими? Работы студентов Школы Мудрости, уже сделавших свои первые открытия в постижении любви, доказывают, что учиться любить можно и нужно! С помощью опытного Учителя и наставника, Анатолия Некрасова, вы не только овладеете искусством любить себя, других, природу и мир в целом, но и сможете:
• создать вокруг себя пространство любви и счастья;
• укрепить свою семью;
• мудро выстроить систему жизненных ценностей;
• благотворно повлиять на судьбы детей;
• правильно построить отношения с любым партнером, несмотря на разницу в возрасте или положение в обществе;
• наладить отношения  не только с родителями, но и со своим родом в целом.
 Почувствуйте настоящую радость жизни и научитесь жить счастливо!
"</t>
        </is>
      </c>
      <c r="S2736" s="26">
        <f>HYPERLINK("http://www.cnpol.ru/covers/12519.jpg","фото на сайте")</f>
        <v/>
      </c>
    </row>
    <row r="2737" ht="50.1" customHeight="1" s="3">
      <c r="A2737" s="23" t="n"/>
      <c r="B2737" s="24" t="inlineStr">
        <is>
          <t>20164</t>
        </is>
      </c>
      <c r="C2737" s="23" t="inlineStr">
        <is>
          <t>МП</t>
        </is>
      </c>
      <c r="D2737" s="23" t="inlineStr">
        <is>
          <t>Некрасов А.А.</t>
        </is>
      </c>
      <c r="E2737" s="23" t="inlineStr">
        <is>
          <t>Как быть, а не казаться. Викторина жизни в вопросах и ответах</t>
        </is>
      </c>
      <c r="F2737" s="23" t="inlineStr">
        <is>
          <t>        </t>
        </is>
      </c>
      <c r="G2737" s="23" t="n">
        <v>284</v>
      </c>
      <c r="H2737" s="23" t="n">
        <v>10</v>
      </c>
      <c r="I2737" s="23" t="n">
        <v>24</v>
      </c>
      <c r="J2737" s="23" t="inlineStr">
        <is>
          <t>978-5-227-09775-0</t>
        </is>
      </c>
      <c r="K2737" s="23" t="inlineStr">
        <is>
          <t>84x108 1/32 (обл)</t>
        </is>
      </c>
      <c r="L2737" s="23" t="inlineStr">
        <is>
          <t>мяг</t>
        </is>
      </c>
      <c r="M2737" s="23" t="n">
        <v>224</v>
      </c>
      <c r="N2737" s="23" t="n">
        <v>2022</v>
      </c>
      <c r="O2737" s="23" t="n">
        <v>134</v>
      </c>
      <c r="P2737" s="23" t="n"/>
      <c r="Q2737" s="23" t="n"/>
      <c r="R2737" s="25" t="inlineStr">
        <is>
          <t>Перед вами новое произведение известного российского писателя и практикующего психолога — Анатолия Некрасова. Книга необычная по своему стилю: она напоминает викторину, в которой сама жизнь задает вопросы на самые животрепещущие темы. Большая часть текста — письма к автору: живые, пронзительно откровенные, порой похожие на исповедь. Их авторы делятся своей болью, вскрывают душевные раны и опять задают вопросы: себе, жизни, автору. Анатолий Некрасов отвечает, комментирует, советует. Некоторые вопросы автор сознательно оставляет без ответа, давая читателю возможность задуматься и ответить самому…</t>
        </is>
      </c>
      <c r="S2737" s="26">
        <f>HYPERLINK("http://www.cnpol.ru/covers/20164.jpg","фото на сайте")</f>
        <v/>
      </c>
    </row>
    <row r="2738" ht="50.1" customHeight="1" s="3">
      <c r="A2738" s="23" t="inlineStr">
        <is>
          <t>Д</t>
        </is>
      </c>
      <c r="B2738" s="24" t="inlineStr">
        <is>
          <t>21837</t>
        </is>
      </c>
      <c r="C2738" s="23" t="inlineStr">
        <is>
          <t>МП</t>
        </is>
      </c>
      <c r="D2738" s="23" t="inlineStr">
        <is>
          <t>Некрасов А.А.</t>
        </is>
      </c>
      <c r="E2738" s="23" t="inlineStr">
        <is>
          <t>Путы материнской любви</t>
        </is>
      </c>
      <c r="F2738" s="23" t="inlineStr">
        <is>
          <t>        </t>
        </is>
      </c>
      <c r="G2738" s="23" t="n">
        <v>284</v>
      </c>
      <c r="H2738" s="23" t="n">
        <v>10</v>
      </c>
      <c r="I2738" s="23" t="n">
        <v>12</v>
      </c>
      <c r="J2738" s="23" t="inlineStr">
        <is>
          <t>978-5-227-11175-3</t>
        </is>
      </c>
      <c r="K2738" s="23" t="inlineStr">
        <is>
          <t>84x108 1/32 (обл)</t>
        </is>
      </c>
      <c r="L2738" s="23" t="inlineStr">
        <is>
          <t>мяг</t>
        </is>
      </c>
      <c r="M2738" s="23" t="n">
        <v>256</v>
      </c>
      <c r="N2738" s="23" t="n">
        <v>2025</v>
      </c>
      <c r="O2738" s="23" t="n">
        <v>152</v>
      </c>
      <c r="P2738" s="23" t="n"/>
      <c r="Q2738" s="23" t="n"/>
      <c r="R2738" s="25" t="inlineStr">
        <is>
          <t>В этой книге автор рассматривает ту сторону материнской любви, которая приносит много страданий и детям, и родителям, и обществу в целом. Избыточность материнской любви весьма актуальна, ее последствия вы можете встретить практически в каждой семье, ведь такая стратегия воспитания детей передается из поколения в поколение._x000D_
Благодаря этой книге вы сможете изменить себя и повлиять на жизнь своих детей и родителей, изменить отношения с близкими к лучшему, мудро расставить приоритеты и просто стать счастливыми.</t>
        </is>
      </c>
      <c r="S2738" s="26">
        <f>HYPERLINK("http://www.cnpol.ru/covers/21837.jpg","фото на сайте")</f>
        <v/>
      </c>
    </row>
    <row r="2739" ht="50.1" customHeight="1" s="3">
      <c r="A2739" s="23" t="inlineStr">
        <is>
          <t>Д</t>
        </is>
      </c>
      <c r="B2739" s="24" t="inlineStr">
        <is>
          <t>21484</t>
        </is>
      </c>
      <c r="C2739" s="23" t="inlineStr">
        <is>
          <t>МП</t>
        </is>
      </c>
      <c r="D2739" s="23" t="inlineStr">
        <is>
          <t>Некрасов А.А.</t>
        </is>
      </c>
      <c r="E2739" s="23" t="inlineStr">
        <is>
          <t>Сильная Женщина, или Обопрись о моё плечо</t>
        </is>
      </c>
      <c r="F2739" s="23" t="inlineStr">
        <is>
          <t>        </t>
        </is>
      </c>
      <c r="G2739" s="23" t="n">
        <v>284</v>
      </c>
      <c r="H2739" s="23" t="n">
        <v>10</v>
      </c>
      <c r="I2739" s="23" t="n">
        <v>10</v>
      </c>
      <c r="J2739" s="23" t="inlineStr">
        <is>
          <t>978-5-227-10984-2</t>
        </is>
      </c>
      <c r="K2739" s="23" t="inlineStr">
        <is>
          <t>84x108 1/32 (обл)</t>
        </is>
      </c>
      <c r="L2739" s="23" t="inlineStr">
        <is>
          <t>мяг</t>
        </is>
      </c>
      <c r="M2739" s="23" t="n">
        <v>288</v>
      </c>
      <c r="N2739" s="23" t="n">
        <v>2025</v>
      </c>
      <c r="O2739" s="23" t="n">
        <v>181</v>
      </c>
      <c r="P2739" s="23" t="n"/>
      <c r="Q2739" s="23" t="n"/>
      <c r="R2739" s="25" t="inlineStr">
        <is>
          <t>В твоих руках долгожданное произведение Мастера, которое поможет тебе стать счастливой. Анатолий Александрович поставил перед собой непростую задачу — написать книгу, после прочтения и осмысления которой всколыхнётся в каждой читательнице спящая женственность и родится из сильной, воинствующей амазонки прекрасная Афродита: мягкая, нежная и счастливая!_x000D_
Вперёд, не откладывай, читай! И спадут шоры внутреннего контроля, начнут один за другим отваливаться корочки заживших страхов и предустановок. Ты по-новому почувствуешь вкус пищи, воздуха, воды, услышишь голоса людей и звуки города... Будь счастлива, а чем счастливее родители, тем гармоничнее их дети, ведь они лакмусовая бумажка, верно отражающая количество Счастья в семье._x000D_
Ощутив себя в безопасности, в мягкости принятия своей женственности, ты удивишься, что не выносишь самой мысли о том, чтобы драться зубами и когтями на мужском поле, лошадью тащить непомерный воз обязанностей и гордыни. Ты увидишь, что истинная Сила — в пластичности принятия, в гибкости и в истинной кротости с достоинством, в любви и радости…</t>
        </is>
      </c>
      <c r="S2739" s="26">
        <f>HYPERLINK("http://www.cnpol.ru/covers/21484.jpg","фото на сайте")</f>
        <v/>
      </c>
    </row>
    <row r="2740" ht="50.1" customHeight="1" s="3">
      <c r="A2740" s="23" t="inlineStr">
        <is>
          <t>Д</t>
        </is>
      </c>
      <c r="B2740" s="24" t="inlineStr">
        <is>
          <t>21045</t>
        </is>
      </c>
      <c r="C2740" s="23" t="inlineStr">
        <is>
          <t>МП</t>
        </is>
      </c>
      <c r="D2740" s="23" t="inlineStr">
        <is>
          <t>Некрасов А.А.</t>
        </is>
      </c>
      <c r="E2740" s="23" t="inlineStr">
        <is>
          <t>Судьба по заказу! Пишем сценарий счастливой жизни</t>
        </is>
      </c>
      <c r="F2740" s="23" t="inlineStr">
        <is>
          <t>        </t>
        </is>
      </c>
      <c r="G2740" s="23" t="n">
        <v>284</v>
      </c>
      <c r="H2740" s="23" t="n">
        <v>10</v>
      </c>
      <c r="I2740" s="23" t="n">
        <v>26</v>
      </c>
      <c r="J2740" s="23" t="inlineStr">
        <is>
          <t>978-5-227-10542-4</t>
        </is>
      </c>
      <c r="K2740" s="23" t="inlineStr">
        <is>
          <t>84x108 1/32 (обл)</t>
        </is>
      </c>
      <c r="L2740" s="23" t="inlineStr">
        <is>
          <t>мяг</t>
        </is>
      </c>
      <c r="M2740" s="23" t="n">
        <v>224</v>
      </c>
      <c r="N2740" s="23" t="n">
        <v>2024</v>
      </c>
      <c r="O2740" s="23" t="n">
        <v>134</v>
      </c>
      <c r="P2740" s="23" t="n"/>
      <c r="Q2740" s="23" t="n"/>
      <c r="R2740" s="25" t="inlineStr">
        <is>
          <t>Перед вами уникальная книга. Она рассказывает о том, как обычные люди становятся мудрыми, переписывают сценарий жизни и начинают жить счастливо благодаря советам и урокам Школы Мудрости Анатолия Некрасова! Все её герои — наши современники, с которыми происходят реальные чудеса… Создавая книгу, автор пошёл необычным путём — он пригласил студентов Школы рассказать, как происходила волшебная трансформация их судьбы. Из невыдуманных рассказов вы узнаете, как героям удалось поправить здоровье, найти свою половинку, наладить отношения с близкими и построить по-настоящему счастливую, полную гармонии жизнь. Это случится и с вами. Прочтите книгу, почерпните мудрость. Сформулированный автором новый подход к системе жизненных ценностей прост и понятен каждому из нас и в то же время в удивительно короткие сроки даёт потрясающие результаты. Его методика затрагивает мировоззрение человека настолько глубоко, что уже через месяц он меняется, ведь осознание и переоценка ценностей меняют не только жизнь отдельного человека, но и весь мир вокруг него.</t>
        </is>
      </c>
      <c r="S2740" s="26">
        <f>HYPERLINK("http://www.cnpol.ru/covers/21045.jpg","фото на сайте")</f>
        <v/>
      </c>
    </row>
    <row r="2741" ht="50.1" customHeight="1" s="3">
      <c r="A2741" s="23" t="n"/>
      <c r="B2741" s="24" t="inlineStr">
        <is>
          <t>19073</t>
        </is>
      </c>
      <c r="C2741" s="23" t="inlineStr">
        <is>
          <t>МП</t>
        </is>
      </c>
      <c r="D2741" s="23" t="inlineStr">
        <is>
          <t>Некрасов А.А.</t>
        </is>
      </c>
      <c r="E2741" s="23" t="inlineStr">
        <is>
          <t>Три ступени к счастью</t>
        </is>
      </c>
      <c r="F2741" s="23" t="inlineStr">
        <is>
          <t>        </t>
        </is>
      </c>
      <c r="G2741" s="23" t="n">
        <v>284</v>
      </c>
      <c r="H2741" s="23" t="n">
        <v>10</v>
      </c>
      <c r="I2741" s="23" t="n">
        <v>16</v>
      </c>
      <c r="J2741" s="23" t="inlineStr">
        <is>
          <t>978-5-227-08881-9</t>
        </is>
      </c>
      <c r="K2741" s="23" t="inlineStr">
        <is>
          <t>84x108 1/32 (обл)</t>
        </is>
      </c>
      <c r="L2741" s="23" t="inlineStr">
        <is>
          <t>мяг</t>
        </is>
      </c>
      <c r="M2741" s="23" t="n">
        <v>192</v>
      </c>
      <c r="N2741" s="23" t="n">
        <v>2020</v>
      </c>
      <c r="O2741" s="23" t="n">
        <v>110</v>
      </c>
      <c r="P2741" s="23" t="n"/>
      <c r="Q2741" s="23" t="n"/>
      <c r="R2741" s="25" t="n"/>
      <c r="S2741" s="26">
        <f>HYPERLINK("http://www.cnpol.ru/covers/19073.jpg","фото на сайте")</f>
        <v/>
      </c>
    </row>
    <row r="2742" ht="50.1" customHeight="1" s="3">
      <c r="A2742" s="23" t="n"/>
      <c r="B2742" s="24" t="inlineStr">
        <is>
          <t>20353</t>
        </is>
      </c>
      <c r="C2742" s="23" t="inlineStr">
        <is>
          <t>МП АРТ ТЕРАПИЯ</t>
        </is>
      </c>
      <c r="D2742" s="23" t="inlineStr">
        <is>
          <t>Некрасов А.А.</t>
        </is>
      </c>
      <c r="E2742" s="23" t="inlineStr">
        <is>
          <t>Путы материнской любви</t>
        </is>
      </c>
      <c r="F2742" s="23" t="inlineStr">
        <is>
          <t>        </t>
        </is>
      </c>
      <c r="G2742" s="23" t="n">
        <v>636</v>
      </c>
      <c r="H2742" s="23" t="n">
        <v>10</v>
      </c>
      <c r="I2742" s="23" t="n">
        <v>10</v>
      </c>
      <c r="J2742" s="23" t="inlineStr">
        <is>
          <t>978-5-227-10103-7</t>
        </is>
      </c>
      <c r="K2742" s="23" t="inlineStr">
        <is>
          <t>70x90 1/12</t>
        </is>
      </c>
      <c r="L2742" s="23" t="inlineStr">
        <is>
          <t>Интегр</t>
        </is>
      </c>
      <c r="M2742" s="23" t="n">
        <v>84</v>
      </c>
      <c r="N2742" s="23" t="n">
        <v>2022</v>
      </c>
      <c r="O2742" s="23" t="n">
        <v>160</v>
      </c>
      <c r="P2742" s="23" t="n"/>
      <c r="Q2742" s="23" t="n"/>
      <c r="R2742" s="25" t="inlineStr">
        <is>
          <t>Это издание собрано по мотивам легендарной книги автора «Путы материнской любви». Благодаря ей можно изменить себя и повлиять на жизнь своих детей и родителей, изменить отношения с близкими к лучшему, мудро расставить приоритеты и просто стать счастливыми… Если вы ещё не читали «Путы материнской любви», то, возможно, после этого трейлера-цитатника у вас возникнет желание приобрести или скачать полную версию книги. Главная необычность этого альбома в том, что он исполняет сразу две функции. Первая — свойственная любой книге — информационная: кратко познакомить читателя со стилем писателя, изложением авторских мыслей и теорий. А вот вторая… Она лечебная, исцеляющая душу, тело, судьбу. На каждом развороте возле авторской цитаты расположен рисунок-мандала. А медитативное раскрашивание мандал прекрасно сказывается на общем состоянии человека. Успокаивается ход мыслей, уходит напряжение, внутреннее пространство гармонизируется. Это неизбежно проецируется на ваше общее состояние и состояние окружающего пространства и всего живого, его населяющего. Если в доме есть дети, они тоже могут воспользоваться книгой как раскраской, а мама в это время займётся чем-то полезным, отдохнёт или задумается о прочитанном. А может быть, вы вместе с ребенком устроите сеанс «одновременной игры» и займётесь творчеством-раскрашиванием, и это улучшит отношения и укрепит правильную связь взрослых и детей.</t>
        </is>
      </c>
      <c r="S2742" s="26">
        <f>HYPERLINK("http://www.cnpol.ru/covers/20353.jpg","фото на сайте")</f>
        <v/>
      </c>
    </row>
    <row r="2743" ht="50.1" customHeight="1" s="3">
      <c r="A2743" s="23" t="inlineStr">
        <is>
          <t>Д</t>
        </is>
      </c>
      <c r="B2743" s="24" t="inlineStr">
        <is>
          <t>22223</t>
        </is>
      </c>
      <c r="C2743" s="23" t="inlineStr">
        <is>
          <t>МП Т</t>
        </is>
      </c>
      <c r="D2743" s="23" t="inlineStr">
        <is>
          <t>Шинн Ф.</t>
        </is>
      </c>
      <c r="E2743" s="23" t="inlineStr">
        <is>
          <t>Как изменить свою жизнь за семь дней</t>
        </is>
      </c>
      <c r="F2743" s="23" t="inlineStr">
        <is>
          <t>        </t>
        </is>
      </c>
      <c r="G2743" s="23" t="n">
        <v>936</v>
      </c>
      <c r="H2743" s="23" t="n">
        <v>10</v>
      </c>
      <c r="I2743" s="23" t="n">
        <v>10</v>
      </c>
      <c r="J2743" s="23" t="inlineStr">
        <is>
          <t>978-5-227-11359-7</t>
        </is>
      </c>
      <c r="K2743" s="23" t="inlineStr">
        <is>
          <t>84x108 1/32</t>
        </is>
      </c>
      <c r="L2743" s="23" t="inlineStr">
        <is>
          <t>тв</t>
        </is>
      </c>
      <c r="M2743" s="23" t="n">
        <v>287</v>
      </c>
      <c r="N2743" s="23" t="n">
        <v>2026</v>
      </c>
      <c r="O2743" s="23" t="n">
        <v>349</v>
      </c>
      <c r="P2743" s="23" t="n"/>
      <c r="Q2743" s="23" t="n"/>
      <c r="R2743" s="25" t="inlineStr">
        <is>
          <t>Автор книги, известная на Западе писательница Флоренс Шинн, утверждает: жизнь — игра, и от нас самих зависит, сумеем ли мы в ней преуспеть. Наши мечты влияют на воображение. То, о чем мы молим, глубоко отпечатывается в душе. Эти образы рано или поздно обретают плоть и кровь. Мы встречаемся со своими проекциями, но не узнаем их; негодуем, боремся и ропщем, забывая о главном.  А между тем можем вернуть любимого, получить крупную сумму денег и приобрести неограниченное влияние, надо лишь знать правила, по которым следует играть._x000D_
В книгу вошло четыре произведения Флоренс Шинн: «Игра жизни и как в нее играть», «Ваше слово — волшебная палочка», «Потайная дверь к успеху», «Сила изреченного слова».</t>
        </is>
      </c>
      <c r="S2743" s="26">
        <f>HYPERLINK("http://www.cnpol.ru/covers/22223.jpg","фото на сайте")</f>
        <v/>
      </c>
    </row>
    <row r="2744" ht="50.1" customHeight="1" s="3">
      <c r="A2744" s="23" t="n"/>
      <c r="B2744" s="24" t="inlineStr">
        <is>
          <t>5159</t>
        </is>
      </c>
      <c r="C2744" s="23" t="inlineStr">
        <is>
          <t>МП Т</t>
        </is>
      </c>
      <c r="D2744" s="23" t="inlineStr">
        <is>
          <t>Красавина</t>
        </is>
      </c>
      <c r="E2744" s="23" t="inlineStr">
        <is>
          <t>Как не остаться одинокой</t>
        </is>
      </c>
      <c r="F2744" s="23" t="inlineStr">
        <is>
          <t>        </t>
        </is>
      </c>
      <c r="G2744" s="23" t="n">
        <v>279</v>
      </c>
      <c r="H2744" s="23" t="n">
        <v>10</v>
      </c>
      <c r="I2744" s="23" t="n">
        <v>16</v>
      </c>
      <c r="J2744" s="23" t="inlineStr">
        <is>
          <t>5-9524-1218-1</t>
        </is>
      </c>
      <c r="K2744" s="23" t="inlineStr">
        <is>
          <t>84x108 1/32</t>
        </is>
      </c>
      <c r="L2744" s="23" t="inlineStr">
        <is>
          <t>тв</t>
        </is>
      </c>
      <c r="M2744" s="23" t="n">
        <v>240</v>
      </c>
      <c r="N2744" s="23" t="n">
        <v>2004</v>
      </c>
      <c r="O2744" s="23" t="n">
        <v>246</v>
      </c>
      <c r="P2744" s="23" t="n"/>
      <c r="Q2744" s="23" t="n"/>
      <c r="R2744" s="25" t="inlineStr">
        <is>
          <t>В этой книге вы найдете простые и действенные советы, как устроить личную жизнь и решить наболевшие проблемы. Вы узнаете о том, как избежать одиночества, победить депрессию и не заблудиться в любовном треугольнике. Книга будет полезна как для юных девушек, так и для дам элегантного возраста...</t>
        </is>
      </c>
      <c r="S2744" s="26">
        <f>HYPERLINK("http://www.cnpol.ru/covers/5159.jpg","фото на сайте")</f>
        <v/>
      </c>
    </row>
    <row r="2745" ht="50.1" customHeight="1" s="3">
      <c r="A2745" s="23" t="n"/>
      <c r="B2745" s="24" t="inlineStr">
        <is>
          <t>1854</t>
        </is>
      </c>
      <c r="C2745" s="23" t="inlineStr">
        <is>
          <t>МПП</t>
        </is>
      </c>
      <c r="D2745" s="23" t="inlineStr">
        <is>
          <t>Омарр</t>
        </is>
      </c>
      <c r="E2745" s="23" t="inlineStr">
        <is>
          <t>Астрология и кулинария</t>
        </is>
      </c>
      <c r="F2745" s="23" t="inlineStr">
        <is>
          <t>        </t>
        </is>
      </c>
      <c r="G2745" s="23" t="n">
        <v>150</v>
      </c>
      <c r="H2745" s="23" t="n">
        <v>10</v>
      </c>
      <c r="I2745" s="23" t="n">
        <v>22</v>
      </c>
      <c r="J2745" s="23" t="inlineStr">
        <is>
          <t>5-227-00680-6</t>
        </is>
      </c>
      <c r="K2745" s="23" t="inlineStr">
        <is>
          <t>84x108 1/32 (обл)</t>
        </is>
      </c>
      <c r="L2745" s="23" t="inlineStr">
        <is>
          <t>мяг</t>
        </is>
      </c>
      <c r="M2745" s="23" t="n">
        <v>318</v>
      </c>
      <c r="N2745" s="23" t="n">
        <v>2000</v>
      </c>
      <c r="O2745" s="23" t="n">
        <v>200</v>
      </c>
      <c r="P2745" s="23" t="n"/>
      <c r="Q2745" s="23" t="n"/>
      <c r="R2745" s="25" t="inlineStr">
        <is>
          <t>Известный американский астролог Сидни Омарр и столь же известный кулинар Майк Рой высказывают свое мнение о кулинарных пристрастиях представителей всех знаков зодиака. Из этой популярнейшей на Западе книги вы можете узнать все о гастрономических вкусах знаков, предугадать их желания и проложить самый верный путь к их сердцам. Овен - признанный лидер на кухне, у него не возникает проблем с тем, в какую кастрюлю какой продукт положить. Телец необычайно практичен, бережлив и очень тщательно относится к тому,что и как подавать на стол. Если вы хотите узнать, как увеличить свои доходы, поговорите об этом с Раком за обедом, приготовленным специально для него. Астрологические кулинарные рецепты помогут вам составить меню, соответствующее вашему знаку, и выбратьподходящего сотрапезника!</t>
        </is>
      </c>
      <c r="S2745" s="26">
        <f>HYPERLINK("http://www.cnpol.ru/covers/1854.jpg","фото на сайте")</f>
        <v/>
      </c>
    </row>
    <row r="2746" ht="50.1" customHeight="1" s="3">
      <c r="A2746" s="23" t="n"/>
      <c r="B2746" s="24" t="inlineStr">
        <is>
          <t>1931</t>
        </is>
      </c>
      <c r="C2746" s="23" t="inlineStr">
        <is>
          <t>МПП</t>
        </is>
      </c>
      <c r="D2746" s="23" t="inlineStr">
        <is>
          <t>Тресилиан</t>
        </is>
      </c>
      <c r="E2746" s="23" t="inlineStr">
        <is>
          <t>Зодиак для кошек</t>
        </is>
      </c>
      <c r="F2746" s="23" t="inlineStr">
        <is>
          <t>        </t>
        </is>
      </c>
      <c r="G2746" s="23" t="n">
        <v>150</v>
      </c>
      <c r="H2746" s="23" t="n">
        <v>10</v>
      </c>
      <c r="I2746" s="23" t="n">
        <v>40</v>
      </c>
      <c r="J2746" s="23" t="inlineStr">
        <is>
          <t>5-227-00720-9</t>
        </is>
      </c>
      <c r="K2746" s="23" t="inlineStr">
        <is>
          <t>84x108 1/32 (обл)</t>
        </is>
      </c>
      <c r="L2746" s="23" t="inlineStr">
        <is>
          <t>мяг</t>
        </is>
      </c>
      <c r="M2746" s="23" t="n">
        <v>198</v>
      </c>
      <c r="N2746" s="23" t="n">
        <v>2000</v>
      </c>
      <c r="O2746" s="23" t="n">
        <v>126</v>
      </c>
      <c r="P2746" s="23" t="n"/>
      <c r="Q2746" s="23" t="n"/>
      <c r="R2746" s="25" t="inlineStr">
        <is>
          <t>У кошки тоже есть свой характер, который во многом зависит от того, под каким знаком зодиака она появилась на свет. Вы сможете узнать о своей любимице гораздо больше с помощью увлекательной и очень полезной книги Лиз Тресилиан, которая прекрасно знает нетолько астрологию, но и все тонкости кошачьей натуры.</t>
        </is>
      </c>
      <c r="S2746" s="26">
        <f>HYPERLINK("http://www.cnpol.ru/covers/1931.jpg","фото на сайте")</f>
        <v/>
      </c>
    </row>
    <row r="2747" ht="50.1" customHeight="1" s="3">
      <c r="A2747" s="23" t="n"/>
      <c r="B2747" s="24" t="inlineStr">
        <is>
          <t>1930</t>
        </is>
      </c>
      <c r="C2747" s="23" t="inlineStr">
        <is>
          <t>МПП</t>
        </is>
      </c>
      <c r="D2747" s="23" t="inlineStr">
        <is>
          <t>Тресилиан</t>
        </is>
      </c>
      <c r="E2747" s="23" t="inlineStr">
        <is>
          <t>Зодиак для собак</t>
        </is>
      </c>
      <c r="F2747" s="23" t="inlineStr">
        <is>
          <t>        </t>
        </is>
      </c>
      <c r="G2747" s="23" t="n">
        <v>150</v>
      </c>
      <c r="H2747" s="23" t="n">
        <v>10</v>
      </c>
      <c r="I2747" s="23" t="n">
        <v>40</v>
      </c>
      <c r="J2747" s="23" t="inlineStr">
        <is>
          <t>5-227-00724-1</t>
        </is>
      </c>
      <c r="K2747" s="23" t="inlineStr">
        <is>
          <t>84x108 1/32 (обл)</t>
        </is>
      </c>
      <c r="L2747" s="23" t="inlineStr">
        <is>
          <t>мяг</t>
        </is>
      </c>
      <c r="M2747" s="23" t="n">
        <v>153</v>
      </c>
      <c r="N2747" s="23" t="n">
        <v>2000</v>
      </c>
      <c r="O2747" s="23" t="n">
        <v>102</v>
      </c>
      <c r="P2747" s="23" t="n"/>
      <c r="Q2747" s="23" t="n"/>
      <c r="R2747" s="25" t="inlineStr">
        <is>
          <t>Все собаки такие разные! И отличаются они друг от друга не только породой, но и характером, который во многом зависит от того, под каким знаком зодиака они появились на свет. Астролог Лиз Тресилиан откроет вам все секреты собачьего поведения. Книга, иллюстрированная автором, написана с юмором и большой любовью к животным.</t>
        </is>
      </c>
      <c r="S2747" s="26">
        <f>HYPERLINK("http://www.cnpol.ru/covers/1930.jpg","фото на сайте")</f>
        <v/>
      </c>
    </row>
    <row r="2748" ht="50.1" customHeight="1" s="3">
      <c r="A2748" s="23" t="n"/>
      <c r="B2748" s="24" t="inlineStr">
        <is>
          <t>4384</t>
        </is>
      </c>
      <c r="C2748" s="23" t="inlineStr">
        <is>
          <t>МПП</t>
        </is>
      </c>
      <c r="D2748" s="23" t="inlineStr">
        <is>
          <t>Игнатьев</t>
        </is>
      </c>
      <c r="E2748" s="23" t="inlineStr">
        <is>
          <t>Как выжить в большом городе</t>
        </is>
      </c>
      <c r="F2748" s="23" t="inlineStr">
        <is>
          <t>        </t>
        </is>
      </c>
      <c r="G2748" s="23" t="n">
        <v>115</v>
      </c>
      <c r="H2748" s="23" t="n">
        <v>10</v>
      </c>
      <c r="I2748" s="23" t="n">
        <v>30</v>
      </c>
      <c r="J2748" s="23" t="inlineStr">
        <is>
          <t>5-9524-0670-X</t>
        </is>
      </c>
      <c r="K2748" s="23" t="inlineStr">
        <is>
          <t>84x108 1/32 (обл)</t>
        </is>
      </c>
      <c r="L2748" s="23" t="inlineStr">
        <is>
          <t>мяг</t>
        </is>
      </c>
      <c r="M2748" s="23" t="n">
        <v>220</v>
      </c>
      <c r="N2748" s="23" t="n">
        <v>2003</v>
      </c>
      <c r="O2748" s="23" t="n">
        <v>134</v>
      </c>
      <c r="P2748" s="23" t="n"/>
      <c r="Q2748" s="23" t="n"/>
      <c r="R2748" s="25" t="inlineStr">
        <is>
          <t>В книге даются полезные советы о том, как вести себя в экстремальной ситуации и что делать, если вы оказались жертвой мошенничества, воровства, бандитизма, вымогательства, обнаружили за собой слежку или стали заложником. Рассказано, как защититься от произвола милиции или спецслужб, выжить в автокатастрофе или во время стихийного бедствия. Издание будет интересно и полезно самому широкому кругу читателей.</t>
        </is>
      </c>
      <c r="S2748" s="26">
        <f>HYPERLINK("http://www.cnpol.ru/covers/4384.jpg","фото на сайте")</f>
        <v/>
      </c>
    </row>
    <row r="2749" ht="50.1" customHeight="1" s="3">
      <c r="A2749" s="23" t="n"/>
      <c r="B2749" s="24" t="inlineStr">
        <is>
          <t>2943</t>
        </is>
      </c>
      <c r="C2749" s="23" t="inlineStr">
        <is>
          <t>МПП</t>
        </is>
      </c>
      <c r="D2749" s="23" t="inlineStr">
        <is>
          <t>Калинина Н.</t>
        </is>
      </c>
      <c r="E2749" s="23" t="inlineStr">
        <is>
          <t>Как выйти замуж</t>
        </is>
      </c>
      <c r="F2749" s="23" t="inlineStr">
        <is>
          <t>        </t>
        </is>
      </c>
      <c r="G2749" s="23" t="n">
        <v>68</v>
      </c>
      <c r="H2749" s="23" t="n">
        <v>10</v>
      </c>
      <c r="I2749" s="23" t="n">
        <v>30</v>
      </c>
      <c r="J2749" s="23" t="inlineStr">
        <is>
          <t>5-227-01414-0</t>
        </is>
      </c>
      <c r="K2749" s="23" t="inlineStr">
        <is>
          <t>84x108 1/32 (обл)</t>
        </is>
      </c>
      <c r="L2749" s="23" t="inlineStr">
        <is>
          <t>мяг</t>
        </is>
      </c>
      <c r="M2749" s="23" t="n">
        <v>204</v>
      </c>
      <c r="N2749" s="23" t="n">
        <v>2002</v>
      </c>
      <c r="O2749" s="23" t="n">
        <v>128</v>
      </c>
      <c r="P2749" s="23" t="n"/>
      <c r="Q2749" s="23" t="n"/>
      <c r="R2749" s="25" t="inlineStr">
        <is>
          <t>Оригинальные советы, собранные на страницах этой книги, помогут современной женщине найти достойного спутника жизни. Вы научитесь раскрепощаться, любить свое тело, обольщать, предугадывать желания мужчин и обращать их слабости себе на пользу. Оцените плюсы и минусы пробного брака и курортного романа, узнаете все о подводных камнях интернет-знакомств. В книге приведены типы мужских характеров, тесты, брачный гороско</t>
        </is>
      </c>
      <c r="S2749" s="26">
        <f>HYPERLINK("http://www.cnpol.ru/covers/2943.jpg","фото на сайте")</f>
        <v/>
      </c>
    </row>
    <row r="2750" ht="50.1" customHeight="1" s="3">
      <c r="A2750" s="23" t="n"/>
      <c r="B2750" s="24" t="inlineStr">
        <is>
          <t>2594</t>
        </is>
      </c>
      <c r="C2750" s="23" t="inlineStr">
        <is>
          <t>МПП</t>
        </is>
      </c>
      <c r="D2750" s="23" t="inlineStr">
        <is>
          <t>Картленд Б.</t>
        </is>
      </c>
      <c r="E2750" s="23" t="inlineStr">
        <is>
          <t>Таинство любви Сквозь призму истории</t>
        </is>
      </c>
      <c r="F2750" s="23" t="inlineStr">
        <is>
          <t>        </t>
        </is>
      </c>
      <c r="G2750" s="23" t="n">
        <v>97</v>
      </c>
      <c r="H2750" s="23" t="n">
        <v>10</v>
      </c>
      <c r="I2750" s="23" t="n">
        <v>22</v>
      </c>
      <c r="J2750" s="23" t="inlineStr">
        <is>
          <t>5-227-01123-0</t>
        </is>
      </c>
      <c r="K2750" s="23" t="inlineStr">
        <is>
          <t>84x108 1/32 (обл)</t>
        </is>
      </c>
      <c r="L2750" s="23" t="inlineStr">
        <is>
          <t>мяг</t>
        </is>
      </c>
      <c r="M2750" s="23" t="n">
        <v>269</v>
      </c>
      <c r="N2750" s="23" t="n">
        <v>2001</v>
      </c>
      <c r="O2750" s="23" t="n">
        <v>172</v>
      </c>
      <c r="P2750" s="23" t="n"/>
      <c r="Q2750" s="23" t="n"/>
      <c r="R2750" s="25" t="n"/>
      <c r="S2750" s="26">
        <f>HYPERLINK("http://www.cnpol.ru/covers/2594.jpg","фото на сайте")</f>
        <v/>
      </c>
    </row>
    <row r="2751" ht="50.1" customHeight="1" s="3">
      <c r="A2751" s="23" t="inlineStr">
        <is>
          <t>Д</t>
        </is>
      </c>
      <c r="B2751" s="24" t="inlineStr">
        <is>
          <t>21949</t>
        </is>
      </c>
      <c r="C2751" s="23" t="inlineStr">
        <is>
          <t>МС</t>
        </is>
      </c>
      <c r="D2751" s="23" t="inlineStr">
        <is>
          <t>Борисова Т.М.</t>
        </is>
      </c>
      <c r="E2751" s="23" t="inlineStr">
        <is>
          <t>Детское питание</t>
        </is>
      </c>
      <c r="F2751" s="23" t="inlineStr">
        <is>
          <t>        </t>
        </is>
      </c>
      <c r="G2751" s="23" t="n">
        <v>239</v>
      </c>
      <c r="H2751" s="23" t="n">
        <v>10</v>
      </c>
      <c r="I2751" s="23" t="n">
        <v>10</v>
      </c>
      <c r="J2751" s="23" t="inlineStr">
        <is>
          <t>978-5-227-11201-9</t>
        </is>
      </c>
      <c r="K2751" s="23" t="inlineStr">
        <is>
          <t>84x108 1/32 (обл)</t>
        </is>
      </c>
      <c r="L2751" s="23" t="inlineStr">
        <is>
          <t>мяг</t>
        </is>
      </c>
      <c r="M2751" s="23" t="n">
        <v>256</v>
      </c>
      <c r="N2751" s="23" t="n">
        <v>2026</v>
      </c>
      <c r="O2751" s="23" t="n">
        <v>151</v>
      </c>
      <c r="P2751" s="23" t="n"/>
      <c r="Q2751" s="23" t="n"/>
      <c r="R2751" s="25" t="inlineStr">
        <is>
          <t>В этой книге популярно рассказано о современных медицинских основах детского питания начиная от рождения ребенка и до пяти лет. Большое внимание уделено первому году жизни ребенка: смешанному и искусственному вскармливанию, а также вскармливанию недоношенных детей. Даны рекомендации организации питания по месяцам на первом году жизни детей. Приведен большой ассортимент самых различных блюд и рецепты их приготовления.</t>
        </is>
      </c>
      <c r="S2751" s="26">
        <f>HYPERLINK("http://www.cnpol.ru/covers/21949.jpg","фото на сайте")</f>
        <v/>
      </c>
    </row>
    <row r="2752" ht="50.1" customHeight="1" s="3">
      <c r="A2752" s="23" t="n"/>
      <c r="B2752" s="24" t="inlineStr">
        <is>
          <t>11570</t>
        </is>
      </c>
      <c r="C2752" s="23" t="inlineStr">
        <is>
          <t>МС</t>
        </is>
      </c>
      <c r="D2752" s="23" t="inlineStr">
        <is>
          <t>Борисова Татьяна</t>
        </is>
      </c>
      <c r="E2752" s="23" t="inlineStr">
        <is>
          <t>Детское питание Разнообразные меню на каждый день от рождения до пяти лет</t>
        </is>
      </c>
      <c r="F2752" s="23" t="inlineStr">
        <is>
          <t>        </t>
        </is>
      </c>
      <c r="G2752" s="23" t="n">
        <v>134</v>
      </c>
      <c r="H2752" s="23" t="n">
        <v>10</v>
      </c>
      <c r="I2752" s="23" t="n">
        <v>16</v>
      </c>
      <c r="J2752" s="23" t="inlineStr">
        <is>
          <t>978-5-9524-4689-2</t>
        </is>
      </c>
      <c r="K2752" s="23" t="inlineStr">
        <is>
          <t>84x108 1/32 (обл)</t>
        </is>
      </c>
      <c r="L2752" s="23" t="inlineStr">
        <is>
          <t>мяг</t>
        </is>
      </c>
      <c r="M2752" s="23" t="n">
        <v>251</v>
      </c>
      <c r="N2752" s="23" t="n">
        <v>2009</v>
      </c>
      <c r="O2752" s="23" t="n">
        <v>160</v>
      </c>
      <c r="P2752" s="23" t="n"/>
      <c r="Q2752" s="23" t="n"/>
      <c r="R2752" s="25" t="inlineStr">
        <is>
          <t>Уникальное практическое пособие для молодых мам и пап! В нем даны все необходимые сведения о современных медицинских основах детского питания от рождения ребенка до 5 лет. Особое внимание уделено первому году жизни ребенка, смешанному и искусственному вскармливанию, а также вскармлмванию недоношенных детей. Простые и полезные рекомендации специалистов помогут морлодым родителям самостоятельно организовать правильное питание своего младенца по месяцам на первом году жизни. А многочисленные рецепты помогут сделать меню малыша полезным, разнообразным и очень вкусным!</t>
        </is>
      </c>
      <c r="S2752" s="26">
        <f>HYPERLINK("http://www.cnpol.ru/covers/11570.jpg","фото на сайте")</f>
        <v/>
      </c>
    </row>
    <row r="2753" ht="50.1" customHeight="1" s="3">
      <c r="A2753" s="23" t="n"/>
      <c r="B2753" s="24" t="inlineStr">
        <is>
          <t>7876</t>
        </is>
      </c>
      <c r="C2753" s="23" t="inlineStr">
        <is>
          <t>МС</t>
        </is>
      </c>
      <c r="D2753" s="23" t="inlineStr">
        <is>
          <t>Ковальчук Елена</t>
        </is>
      </c>
      <c r="E2753" s="23" t="inlineStr">
        <is>
          <t>Долой послеродовую депрессию Пособие для будущих мам</t>
        </is>
      </c>
      <c r="F2753" s="23" t="inlineStr">
        <is>
          <t>        </t>
        </is>
      </c>
      <c r="G2753" s="23" t="n">
        <v>213</v>
      </c>
      <c r="H2753" s="23" t="n">
        <v>10</v>
      </c>
      <c r="I2753" s="23" t="n">
        <v>24</v>
      </c>
      <c r="J2753" s="23" t="inlineStr">
        <is>
          <t>978-5-9524-2736-5</t>
        </is>
      </c>
      <c r="K2753" s="23" t="inlineStr">
        <is>
          <t>84x108 1/32</t>
        </is>
      </c>
      <c r="L2753" s="23" t="inlineStr">
        <is>
          <t>тв</t>
        </is>
      </c>
      <c r="M2753" s="23" t="n">
        <v>191</v>
      </c>
      <c r="N2753" s="23" t="n">
        <v>2008</v>
      </c>
      <c r="O2753" s="23" t="n">
        <v>216</v>
      </c>
      <c r="P2753" s="23" t="n"/>
      <c r="Q2753" s="23" t="n"/>
      <c r="R2753" s="25" t="inlineStr">
        <is>
          <t>Закончились девять месяцев ожидания. Малыш появился на свет! Однако радость случившегося быстро сменилась тревогой, недовольством, страшной усталостью, плохим настроением и раздражительностью. Это послеродовая депрессия. О том, как ее вовремя распознать эта книга.</t>
        </is>
      </c>
      <c r="S2753" s="26">
        <f>HYPERLINK("http://www.cnpol.ru/covers/7876.jpg","фото на сайте")</f>
        <v/>
      </c>
    </row>
    <row r="2754" ht="50.1" customHeight="1" s="3">
      <c r="A2754" s="23" t="n"/>
      <c r="B2754" s="24" t="inlineStr">
        <is>
          <t>14964</t>
        </is>
      </c>
      <c r="C2754" s="23" t="inlineStr">
        <is>
          <t>МС</t>
        </is>
      </c>
      <c r="D2754" s="23" t="inlineStr">
        <is>
          <t>Пигулевская И.С.</t>
        </is>
      </c>
      <c r="E2754" s="23" t="inlineStr">
        <is>
          <t>Домашний педиатр. Все, что нужно знать о детских болезнях</t>
        </is>
      </c>
      <c r="F2754" s="23" t="inlineStr">
        <is>
          <t>        </t>
        </is>
      </c>
      <c r="G2754" s="23" t="n">
        <v>186</v>
      </c>
      <c r="H2754" s="23" t="n">
        <v>10</v>
      </c>
      <c r="I2754" s="23" t="n">
        <v>32</v>
      </c>
      <c r="J2754" s="23" t="inlineStr">
        <is>
          <t>978-5-227-04838-7</t>
        </is>
      </c>
      <c r="K2754" s="23" t="inlineStr">
        <is>
          <t>84x108 1/32 (обл)</t>
        </is>
      </c>
      <c r="L2754" s="23" t="inlineStr">
        <is>
          <t>мяг</t>
        </is>
      </c>
      <c r="M2754" s="23" t="n">
        <v>223</v>
      </c>
      <c r="N2754" s="23" t="n">
        <v>2014</v>
      </c>
      <c r="O2754" s="23" t="n">
        <v>136</v>
      </c>
      <c r="P2754" s="23" t="n"/>
      <c r="Q2754" s="23" t="n"/>
      <c r="R2754" s="25" t="inlineStr">
        <is>
          <t>Ни для кого не секрет, что симптомы многих детских заболеваний схожи, и родители порой не могут определить, к какому врачу стоит обратиться, чтобы как можно быстрее получить квалифицированную помощь. Данный справочник поможет поставить предварительный диагноз, ведь в нем в простой и доступной форме изложена полезная информация об основных болезнях, которые могут коснуться вашего ребенка. _x000D_
Знания, полученные из этой книги, помогут своевременно оказать первую медицинскую помощь вашему малышу; сориентируют вас в медицинских показаниях; подскажут, на какой срок может затянуться предстоящее лечение. Цель книги - вооружить родителей необходимым минимумом медицинских знаний, но не стоит прибегать к самолечению, если вы хоть в чем-то сомневаетесь! Только своевременное обращение к специалисту гарантирует вашему ребенку полное выздоровление без нежелательных последствий. Будьте здоровы!</t>
        </is>
      </c>
      <c r="S2754" s="26">
        <f>HYPERLINK("http://www.cnpol.ru/covers/14964.jpg","фото на сайте")</f>
        <v/>
      </c>
    </row>
    <row r="2755" ht="50.1" customHeight="1" s="3">
      <c r="A2755" s="23" t="n"/>
      <c r="B2755" s="24" t="inlineStr">
        <is>
          <t>11272</t>
        </is>
      </c>
      <c r="C2755" s="23" t="inlineStr">
        <is>
          <t>МС</t>
        </is>
      </c>
      <c r="D2755" s="23" t="inlineStr">
        <is>
          <t>Исаева</t>
        </is>
      </c>
      <c r="E2755" s="23" t="inlineStr">
        <is>
          <t>Как назвать вашего ребенка. Выбирая имя-выбираем судьбу</t>
        </is>
      </c>
      <c r="F2755" s="23" t="inlineStr">
        <is>
          <t>        </t>
        </is>
      </c>
      <c r="G2755" s="23" t="n">
        <v>168</v>
      </c>
      <c r="H2755" s="23" t="n">
        <v>10</v>
      </c>
      <c r="I2755" s="23" t="n">
        <v>30</v>
      </c>
      <c r="J2755" s="23" t="inlineStr">
        <is>
          <t>978-5-9524-4369-3</t>
        </is>
      </c>
      <c r="K2755" s="23" t="inlineStr">
        <is>
          <t>84x108 1/32 (обл)</t>
        </is>
      </c>
      <c r="L2755" s="23" t="inlineStr">
        <is>
          <t>мяг</t>
        </is>
      </c>
      <c r="M2755" s="23" t="n">
        <v>206</v>
      </c>
      <c r="N2755" s="23" t="n">
        <v>2009</v>
      </c>
      <c r="O2755" s="23" t="n">
        <v>132</v>
      </c>
      <c r="P2755" s="23" t="n"/>
      <c r="Q2755" s="23" t="n"/>
      <c r="R2755" s="25" t="inlineStr">
        <is>
          <t>Выбор имени - огромная ответственность для молодых родителей. Еще в древности люди заметили, что имя способно повлиять на судьбу, оно может предопределить поступки, характер и даже внешний вид человека. Если вы желаете своему ребенку яркой и успешной жизни, счастья и благополучия, то эта книга для вас. С ее помощью вы сможете проникнуть в тайну каждого имени, узнаете его психологическое, астрологическое и символическое значение и сделаете единственно правильный выбор в пользу своего малыша.</t>
        </is>
      </c>
      <c r="S2755" s="26">
        <f>HYPERLINK("http://www.cnpol.ru/covers/11272.jpg","фото на сайте")</f>
        <v/>
      </c>
    </row>
    <row r="2756" ht="50.1" customHeight="1" s="3">
      <c r="A2756" s="23" t="inlineStr">
        <is>
          <t>Н</t>
        </is>
      </c>
      <c r="B2756" s="24" t="inlineStr">
        <is>
          <t>22177</t>
        </is>
      </c>
      <c r="C2756" s="23" t="inlineStr">
        <is>
          <t>МТ</t>
        </is>
      </c>
      <c r="D2756" s="23" t="inlineStr">
        <is>
          <t>Эрскин Б.</t>
        </is>
      </c>
      <c r="E2756" s="23" t="inlineStr">
        <is>
          <t>Полночь — приют одиночества</t>
        </is>
      </c>
      <c r="F2756" s="23" t="inlineStr">
        <is>
          <t>        </t>
        </is>
      </c>
      <c r="G2756" s="27" t="n">
        <v>1238</v>
      </c>
      <c r="H2756" s="23" t="n">
        <v>10</v>
      </c>
      <c r="I2756" s="23" t="n">
        <v>10</v>
      </c>
      <c r="J2756" s="23" t="inlineStr">
        <is>
          <t>978-5-9524-6703-3</t>
        </is>
      </c>
      <c r="K2756" s="23" t="inlineStr">
        <is>
          <t>84x108 1/32</t>
        </is>
      </c>
      <c r="L2756" s="23" t="inlineStr">
        <is>
          <t>тв</t>
        </is>
      </c>
      <c r="M2756" s="23" t="n">
        <v>445</v>
      </c>
      <c r="N2756" s="23" t="n">
        <v>2026</v>
      </c>
      <c r="O2756" s="23" t="n">
        <v>434</v>
      </c>
      <c r="P2756" s="23" t="n"/>
      <c r="Q2756" s="23" t="n"/>
      <c r="R2756" s="25" t="inlineStr">
        <is>
          <t>После расставания с любимым Кейт Кеннеди уединяется в коттедже на побережье Эссекса, чтобы поработать над своим новым литературным проектом. Но желанный покой и уединение сменяются чувством страха, когда начинают происходить невероятные события — события, которые, как уверена Кейт, связаны с раскопками древнего римского захоронения. Похоже, духи римского легионера, его жены Клавдии и ее любовника, принца-друида Ниона, стремятся отомстить друг другу спустя несколько тысячелетий после смерти.</t>
        </is>
      </c>
      <c r="S2756" s="26">
        <f>HYPERLINK("http://www.cnpol.ru/covers/22177.jpg","фото на сайте")</f>
        <v/>
      </c>
    </row>
    <row r="2757" ht="50.1" customHeight="1" s="3">
      <c r="A2757" s="23" t="n"/>
      <c r="B2757" s="24" t="inlineStr">
        <is>
          <t>7619</t>
        </is>
      </c>
      <c r="C2757" s="23" t="inlineStr">
        <is>
          <t>МФЭ</t>
        </is>
      </c>
      <c r="D2757" s="23" t="inlineStr">
        <is>
          <t>Константинов В.</t>
        </is>
      </c>
      <c r="E2757" s="23" t="inlineStr">
        <is>
          <t>Вызов смерти</t>
        </is>
      </c>
      <c r="F2757" s="23" t="inlineStr">
        <is>
          <t>        </t>
        </is>
      </c>
      <c r="G2757" s="23" t="n">
        <v>123</v>
      </c>
      <c r="H2757" s="23" t="n">
        <v>10</v>
      </c>
      <c r="I2757" s="23" t="n">
        <v>20</v>
      </c>
      <c r="J2757" s="23" t="inlineStr">
        <is>
          <t>5-9524-2561-5</t>
        </is>
      </c>
      <c r="K2757" s="23" t="inlineStr">
        <is>
          <t>70x90 1/32</t>
        </is>
      </c>
      <c r="L2757" s="23" t="inlineStr">
        <is>
          <t>мяг</t>
        </is>
      </c>
      <c r="M2757" s="23" t="n">
        <v>427</v>
      </c>
      <c r="N2757" s="23" t="n">
        <v>2008</v>
      </c>
      <c r="O2757" s="23" t="n">
        <v>180</v>
      </c>
      <c r="P2757" s="23" t="n"/>
      <c r="Q2757" s="23" t="n"/>
      <c r="R2757" s="25" t="inlineStr">
        <is>
          <t>Журналисту Андрею Говорову приходится вспомнить прежнюю профессию помощника прокурора, когда его интерес к двум случившимся в городе убийствам обернулся для него большими неприятностями. Чудом уцелев после покушения, он едва не угодил в тюрьму по ложному обвинению, затем стал заложником мафиозной группировки.</t>
        </is>
      </c>
      <c r="S2757" s="26">
        <f>HYPERLINK("http://www.cnpol.ru/covers/7619.jpg","фото на сайте")</f>
        <v/>
      </c>
    </row>
    <row r="2758" ht="50.1" customHeight="1" s="3">
      <c r="A2758" s="23" t="n"/>
      <c r="B2758" s="24" t="inlineStr">
        <is>
          <t>14368</t>
        </is>
      </c>
      <c r="C2758" s="23" t="inlineStr">
        <is>
          <t>МФЭ</t>
        </is>
      </c>
      <c r="D2758" s="23" t="inlineStr">
        <is>
          <t>Арджент Р.</t>
        </is>
      </c>
      <c r="E2758" s="23" t="inlineStr">
        <is>
          <t>Рыцарь зимы</t>
        </is>
      </c>
      <c r="F2758" s="23" t="inlineStr">
        <is>
          <t>        </t>
        </is>
      </c>
      <c r="G2758" s="23" t="n">
        <v>574</v>
      </c>
      <c r="H2758" s="23" t="n">
        <v>10</v>
      </c>
      <c r="I2758" s="23" t="n">
        <v>8</v>
      </c>
      <c r="J2758" s="23" t="inlineStr">
        <is>
          <t>978-5-227-04436-5</t>
        </is>
      </c>
      <c r="K2758" s="23" t="inlineStr">
        <is>
          <t>84x108 1/32</t>
        </is>
      </c>
      <c r="L2758" s="23" t="inlineStr">
        <is>
          <t>тв</t>
        </is>
      </c>
      <c r="M2758" s="23" t="n">
        <v>477</v>
      </c>
      <c r="N2758" s="23" t="n">
        <v>2013</v>
      </c>
      <c r="O2758" s="23" t="n">
        <v>366</v>
      </c>
      <c r="P2758" s="23" t="n"/>
      <c r="Q2758" s="23" t="n"/>
      <c r="R2758" s="25" t="n"/>
      <c r="S2758" s="26">
        <f>HYPERLINK("http://www.cnpol.ru/covers/14368.jpg","фото на сайте")</f>
        <v/>
      </c>
    </row>
    <row r="2759" ht="50.1" customHeight="1" s="3">
      <c r="A2759" s="23" t="n"/>
      <c r="B2759" s="24" t="inlineStr">
        <is>
          <t>14172</t>
        </is>
      </c>
      <c r="C2759" s="23" t="inlineStr">
        <is>
          <t>МФЭ</t>
        </is>
      </c>
      <c r="D2759" s="23" t="inlineStr">
        <is>
          <t>Бьюкенен К.</t>
        </is>
      </c>
      <c r="E2759" s="23" t="inlineStr">
        <is>
          <t>Фарландер</t>
        </is>
      </c>
      <c r="F2759" s="23" t="inlineStr">
        <is>
          <t>        </t>
        </is>
      </c>
      <c r="G2759" s="23" t="n">
        <v>574</v>
      </c>
      <c r="H2759" s="23" t="n">
        <v>10</v>
      </c>
      <c r="I2759" s="23" t="n">
        <v>10</v>
      </c>
      <c r="J2759" s="23" t="inlineStr">
        <is>
          <t>978-5-227-04302-3</t>
        </is>
      </c>
      <c r="K2759" s="23" t="inlineStr">
        <is>
          <t>84x108 1/32</t>
        </is>
      </c>
      <c r="L2759" s="23" t="inlineStr">
        <is>
          <t>тв</t>
        </is>
      </c>
      <c r="M2759" s="23" t="n">
        <v>445</v>
      </c>
      <c r="N2759" s="23" t="n">
        <v>2013</v>
      </c>
      <c r="O2759" s="23" t="n">
        <v>350</v>
      </c>
      <c r="P2759" s="23" t="n"/>
      <c r="Q2759" s="23" t="n"/>
      <c r="R2759" s="25" t="n"/>
      <c r="S2759" s="26">
        <f>HYPERLINK("http://www.cnpol.ru/covers/14172.jpg","фото на сайте")</f>
        <v/>
      </c>
    </row>
    <row r="2760" ht="50.1" customHeight="1" s="3">
      <c r="A2760" s="23" t="inlineStr">
        <is>
          <t>Д</t>
        </is>
      </c>
      <c r="B2760" s="24" t="inlineStr">
        <is>
          <t>21707</t>
        </is>
      </c>
      <c r="C2760" s="23" t="inlineStr">
        <is>
          <t>Н ЙОГА</t>
        </is>
      </c>
      <c r="D2760" s="23" t="inlineStr">
        <is>
          <t>Брахмачари С.</t>
        </is>
      </c>
      <c r="E2760" s="23" t="inlineStr">
        <is>
          <t>5 минут йоги не вставая с кровати. Для каждой женщины в любом возрасте</t>
        </is>
      </c>
      <c r="F2760" s="23" t="inlineStr">
        <is>
          <t>        </t>
        </is>
      </c>
      <c r="G2760" s="23" t="n">
        <v>170</v>
      </c>
      <c r="H2760" s="23" t="n">
        <v>10</v>
      </c>
      <c r="I2760" s="23" t="n">
        <v>21</v>
      </c>
      <c r="J2760" s="23" t="inlineStr">
        <is>
          <t>978-5-227-11004-6</t>
        </is>
      </c>
      <c r="K2760" s="23" t="inlineStr">
        <is>
          <t>84x108 1/32 (обл)</t>
        </is>
      </c>
      <c r="L2760" s="23" t="inlineStr">
        <is>
          <t>мяг</t>
        </is>
      </c>
      <c r="M2760" s="23" t="n">
        <v>127</v>
      </c>
      <c r="N2760" s="23" t="n">
        <v>2025</v>
      </c>
      <c r="O2760" s="23" t="n">
        <v>81</v>
      </c>
      <c r="P2760" s="23" t="n"/>
      <c r="Q2760" s="23" t="n"/>
      <c r="R2760" s="25" t="inlineStr">
        <is>
          <t>Вам нравится йога, но у вас нет времени ходить на занятия? Или, может быть, напротив, вы считаете ее мудреным увлечением экзальтированных домохозяек? И зря, ведь с помощью этого древнего учения и заложенных в нем практик можно помочь себе родиться заново._x000D_
Эта книга перевернет ваше представление о йоге и докажет, что она может быть проще, чем вы думаете, и, главное, что она действительно работает! Вам не надо будет никуда ходить — большинство упражнений, описанных здесь, можно выполнять не вставая с постели, и это займет у вас всего пять минут!_x000D_
Несложные асаны, мудры и пранаяма помогут вам избавиться от болезней и тревог, вредных привычек, лишнего веса, обрести психологическое равновесие и отличное здоровье.</t>
        </is>
      </c>
      <c r="S2760" s="26">
        <f>HYPERLINK("http://www.cnpol.ru/covers/21707.jpg","фото на сайте")</f>
        <v/>
      </c>
    </row>
    <row r="2761" ht="50.1" customHeight="1" s="3">
      <c r="A2761" s="23" t="inlineStr">
        <is>
          <t>Д</t>
        </is>
      </c>
      <c r="B2761" s="24" t="inlineStr">
        <is>
          <t>22124</t>
        </is>
      </c>
      <c r="C2761" s="23" t="inlineStr">
        <is>
          <t>Н ЙОГА</t>
        </is>
      </c>
      <c r="D2761" s="23" t="inlineStr">
        <is>
          <t>Брахмачари Свами</t>
        </is>
      </c>
      <c r="E2761" s="23" t="inlineStr">
        <is>
          <t>Лёгкая йога для похудения. Идеальное тело за 5 минут в день. Гарантированный результат в любом возрасте</t>
        </is>
      </c>
      <c r="F2761" s="23" t="inlineStr">
        <is>
          <t>        </t>
        </is>
      </c>
      <c r="G2761" s="23" t="n">
        <v>174</v>
      </c>
      <c r="H2761" s="23" t="n">
        <v>10</v>
      </c>
      <c r="I2761" s="23" t="n">
        <v>18</v>
      </c>
      <c r="J2761" s="23" t="inlineStr">
        <is>
          <t>978-5-227-11284-2</t>
        </is>
      </c>
      <c r="K2761" s="23" t="inlineStr">
        <is>
          <t>84x108 1/32</t>
        </is>
      </c>
      <c r="L2761" s="23" t="inlineStr">
        <is>
          <t>мяг</t>
        </is>
      </c>
      <c r="M2761" s="23" t="n">
        <v>127</v>
      </c>
      <c r="N2761" s="23" t="n">
        <v>2026</v>
      </c>
      <c r="O2761" s="23" t="n">
        <v>82</v>
      </c>
      <c r="P2761" s="23" t="n"/>
      <c r="Q2761" s="23" t="n"/>
      <c r="R2761" s="25" t="inlineStr">
        <is>
          <t>Сложно остановиться, когда перед тобой красиво сервированный стол, уставленный всевозможными яствами. А праздник следует за праздником, блюдо за блюдом… Не успеешь оглянуться — килограммы уже набраны. Как от них избавиться? Можно сесть на диету, только надо иметь в виду, что сработает та диета, которая обещает медленное снижение веса, иначе ушедшие килограммы быстренько вернутся. Можно заняться физическими упражнениями, но не всем хватает силы воли и здоровья заниматься этим постоянно и ежедневно. Что же делать?_x000D_
Займитесь йогой! _x000D_
Сложно, скажете вы, и будете не правы. Мы предлагаем читателям комплекс самых простых асан, исполнение которых доступно КАЖДОМУ. Регулярно занимаясь лёгкой йогой всего несколько минут в день, вы гарантированно вернёте юношескую гибкость и идеальную фигуру за очень небольшой период времени. Уверяем вас, толстых йогов не бывает!</t>
        </is>
      </c>
      <c r="S2761" s="26">
        <f>HYPERLINK("http://www.cnpol.ru/covers/22124.jpg","фото на сайте")</f>
        <v/>
      </c>
    </row>
    <row r="2762" ht="50.1" customHeight="1" s="3">
      <c r="A2762" s="23" t="n"/>
      <c r="B2762" s="24" t="inlineStr">
        <is>
          <t>14564</t>
        </is>
      </c>
      <c r="C2762" s="23" t="inlineStr">
        <is>
          <t>Н ИР МАСКАРАД</t>
        </is>
      </c>
      <c r="D2762" s="23" t="inlineStr">
        <is>
          <t>Физерстоун Ш.</t>
        </is>
      </c>
      <c r="E2762" s="23" t="inlineStr">
        <is>
          <t>Скандальное обольщение</t>
        </is>
      </c>
      <c r="F2762" s="23" t="inlineStr">
        <is>
          <t>        </t>
        </is>
      </c>
      <c r="G2762" s="23" t="n">
        <v>486</v>
      </c>
      <c r="H2762" s="23" t="n">
        <v>10</v>
      </c>
      <c r="I2762" s="23" t="n">
        <v>10</v>
      </c>
      <c r="J2762" s="23" t="inlineStr">
        <is>
          <t>978-5-227-04524-9</t>
        </is>
      </c>
      <c r="K2762" s="23" t="inlineStr">
        <is>
          <t>84x108 1/32</t>
        </is>
      </c>
      <c r="L2762" s="23" t="inlineStr">
        <is>
          <t>тв</t>
        </is>
      </c>
      <c r="M2762" s="23" t="n">
        <v>416</v>
      </c>
      <c r="N2762" s="23" t="n">
        <v>2013</v>
      </c>
      <c r="O2762" s="23" t="n">
        <v>332</v>
      </c>
      <c r="P2762" s="23" t="n"/>
      <c r="Q2762" s="23" t="n"/>
      <c r="R2762" s="25" t="n"/>
      <c r="S2762" s="26">
        <f>HYPERLINK("http://www.cnpol.ru/covers/14564.jpg","фото на сайте")</f>
        <v/>
      </c>
    </row>
    <row r="2763" ht="50.1" customHeight="1" s="3">
      <c r="A2763" s="23" t="n"/>
      <c r="B2763" s="24" t="inlineStr">
        <is>
          <t>3241</t>
        </is>
      </c>
      <c r="C2763" s="23" t="inlineStr">
        <is>
          <t>Н МОД</t>
        </is>
      </c>
      <c r="D2763" s="23" t="inlineStr">
        <is>
          <t>Грубер Ф.</t>
        </is>
      </c>
      <c r="E2763" s="23" t="inlineStr">
        <is>
          <t>Рынок для убийства</t>
        </is>
      </c>
      <c r="F2763" s="23" t="inlineStr">
        <is>
          <t>        </t>
        </is>
      </c>
      <c r="G2763" s="23" t="n">
        <v>279</v>
      </c>
      <c r="H2763" s="23" t="n">
        <v>10</v>
      </c>
      <c r="I2763" s="23" t="n">
        <v>10</v>
      </c>
      <c r="J2763" s="23" t="inlineStr">
        <is>
          <t>5-227-01785-9</t>
        </is>
      </c>
      <c r="K2763" s="23" t="inlineStr">
        <is>
          <t>60x84 1/16</t>
        </is>
      </c>
      <c r="L2763" s="23" t="inlineStr">
        <is>
          <t>тв</t>
        </is>
      </c>
      <c r="M2763" s="23" t="n">
        <v>511</v>
      </c>
      <c r="N2763" s="23" t="n">
        <v>2002</v>
      </c>
      <c r="O2763" s="23" t="n">
        <v>426</v>
      </c>
      <c r="P2763" s="23" t="n"/>
      <c r="Q2763" s="23" t="n"/>
      <c r="R2763" s="25" t="n"/>
      <c r="S2763" s="26">
        <f>HYPERLINK("http://www.cnpol.ru/covers/3241.jpg","фото на сайте")</f>
        <v/>
      </c>
    </row>
    <row r="2764" ht="50.1" customHeight="1" s="3">
      <c r="A2764" s="23" t="n"/>
      <c r="B2764" s="24" t="inlineStr">
        <is>
          <t>4409</t>
        </is>
      </c>
      <c r="C2764" s="23" t="inlineStr">
        <is>
          <t>Н МОД</t>
        </is>
      </c>
      <c r="D2764" s="23" t="inlineStr">
        <is>
          <t>Пратер Р.</t>
        </is>
      </c>
      <c r="E2764" s="23" t="inlineStr">
        <is>
          <t>Свидетелей не оставлять</t>
        </is>
      </c>
      <c r="F2764" s="23" t="inlineStr">
        <is>
          <t>        </t>
        </is>
      </c>
      <c r="G2764" s="23" t="n">
        <v>279</v>
      </c>
      <c r="H2764" s="23" t="n">
        <v>10</v>
      </c>
      <c r="I2764" s="23" t="n">
        <v>10</v>
      </c>
      <c r="J2764" s="23" t="inlineStr">
        <is>
          <t>5-9524-0473-1</t>
        </is>
      </c>
      <c r="K2764" s="23" t="inlineStr">
        <is>
          <t>60x84 1/16</t>
        </is>
      </c>
      <c r="L2764" s="23" t="inlineStr">
        <is>
          <t>тв</t>
        </is>
      </c>
      <c r="M2764" s="23" t="n">
        <v>480</v>
      </c>
      <c r="N2764" s="23" t="n">
        <v>2003</v>
      </c>
      <c r="O2764" s="23" t="n">
        <v>398</v>
      </c>
      <c r="P2764" s="23" t="n"/>
      <c r="Q2764" s="23" t="n"/>
      <c r="R2764" s="25" t="n"/>
      <c r="S2764" s="26">
        <f>HYPERLINK("http://www.cnpol.ru/covers/4409.jpg","фото на сайте")</f>
        <v/>
      </c>
    </row>
    <row r="2765" ht="50.1" customHeight="1" s="3">
      <c r="A2765" s="23" t="n"/>
      <c r="B2765" s="24" t="inlineStr">
        <is>
          <t>3741</t>
        </is>
      </c>
      <c r="C2765" s="23" t="inlineStr">
        <is>
          <t>Н МОД</t>
        </is>
      </c>
      <c r="D2765" s="23" t="inlineStr">
        <is>
          <t>Хейр</t>
        </is>
      </c>
      <c r="E2765" s="23" t="inlineStr">
        <is>
          <t>Смерть играет</t>
        </is>
      </c>
      <c r="F2765" s="23" t="inlineStr">
        <is>
          <t>        </t>
        </is>
      </c>
      <c r="G2765" s="23" t="n">
        <v>213</v>
      </c>
      <c r="H2765" s="23" t="n">
        <v>10</v>
      </c>
      <c r="I2765" s="23" t="n">
        <v>16</v>
      </c>
      <c r="J2765" s="23" t="inlineStr">
        <is>
          <t>5-9524-0193-7</t>
        </is>
      </c>
      <c r="K2765" s="23" t="inlineStr">
        <is>
          <t>60x84 1/16</t>
        </is>
      </c>
      <c r="L2765" s="23" t="inlineStr">
        <is>
          <t>тв</t>
        </is>
      </c>
      <c r="M2765" s="23" t="n">
        <v>416</v>
      </c>
      <c r="N2765" s="23" t="n">
        <v>2003</v>
      </c>
      <c r="O2765" s="23" t="n">
        <v>340</v>
      </c>
      <c r="P2765" s="23" t="n"/>
      <c r="Q2765" s="23" t="n"/>
      <c r="R2765" s="25" t="n"/>
      <c r="S2765" s="26">
        <f>HYPERLINK("http://www.cnpol.ru/covers/3741.jpg","фото на сайте")</f>
        <v/>
      </c>
    </row>
    <row r="2766" ht="50.1" customHeight="1" s="3">
      <c r="A2766" s="23" t="n"/>
      <c r="B2766" s="24" t="inlineStr">
        <is>
          <t>3548</t>
        </is>
      </c>
      <c r="C2766" s="23" t="inlineStr">
        <is>
          <t>Н МОД</t>
        </is>
      </c>
      <c r="D2766" s="23" t="inlineStr">
        <is>
          <t>Аваллон М.</t>
        </is>
      </c>
      <c r="E2766" s="23" t="inlineStr">
        <is>
          <t>Смерть ныряет глубоко</t>
        </is>
      </c>
      <c r="F2766" s="23" t="inlineStr">
        <is>
          <t>        </t>
        </is>
      </c>
      <c r="G2766" s="23" t="n">
        <v>279</v>
      </c>
      <c r="H2766" s="23" t="n">
        <v>10</v>
      </c>
      <c r="I2766" s="23" t="n">
        <v>14</v>
      </c>
      <c r="J2766" s="23" t="inlineStr">
        <is>
          <t>5-9524-0087-6</t>
        </is>
      </c>
      <c r="K2766" s="23" t="inlineStr">
        <is>
          <t>60x84 1/16</t>
        </is>
      </c>
      <c r="L2766" s="23" t="inlineStr">
        <is>
          <t>тв</t>
        </is>
      </c>
      <c r="M2766" s="23" t="n">
        <v>477</v>
      </c>
      <c r="N2766" s="23" t="n">
        <v>2002</v>
      </c>
      <c r="O2766" s="23" t="n">
        <v>392</v>
      </c>
      <c r="P2766" s="23" t="n"/>
      <c r="Q2766" s="23" t="n"/>
      <c r="R2766" s="25" t="n"/>
      <c r="S2766" s="26">
        <f>HYPERLINK("http://www.cnpol.ru/covers/3548.jpg","фото на сайте")</f>
        <v/>
      </c>
    </row>
    <row r="2767" ht="50.1" customHeight="1" s="3">
      <c r="A2767" s="23" t="n"/>
      <c r="B2767" s="24" t="inlineStr">
        <is>
          <t>3748</t>
        </is>
      </c>
      <c r="C2767" s="23" t="inlineStr">
        <is>
          <t>Н МОД</t>
        </is>
      </c>
      <c r="D2767" s="23" t="inlineStr">
        <is>
          <t>Пратер Р.</t>
        </is>
      </c>
      <c r="E2767" s="23" t="inlineStr">
        <is>
          <t>Убить клоуна</t>
        </is>
      </c>
      <c r="F2767" s="23" t="inlineStr">
        <is>
          <t>        </t>
        </is>
      </c>
      <c r="G2767" s="23" t="n">
        <v>241</v>
      </c>
      <c r="H2767" s="23" t="n">
        <v>10</v>
      </c>
      <c r="I2767" s="23" t="n">
        <v>14</v>
      </c>
      <c r="J2767" s="23" t="inlineStr">
        <is>
          <t>5-9524-0209-7</t>
        </is>
      </c>
      <c r="K2767" s="23" t="inlineStr">
        <is>
          <t>60x84 1/16</t>
        </is>
      </c>
      <c r="L2767" s="23" t="inlineStr">
        <is>
          <t>тв</t>
        </is>
      </c>
      <c r="M2767" s="23" t="n">
        <v>464</v>
      </c>
      <c r="N2767" s="23" t="n">
        <v>2002</v>
      </c>
      <c r="O2767" s="23" t="n">
        <v>364</v>
      </c>
      <c r="P2767" s="23" t="n"/>
      <c r="Q2767" s="23" t="n"/>
      <c r="R2767" s="25" t="n"/>
      <c r="S2767" s="26">
        <f>HYPERLINK("http://www.cnpol.ru/covers/3748.jpg","фото на сайте")</f>
        <v/>
      </c>
    </row>
    <row r="2768" ht="50.1" customHeight="1" s="3">
      <c r="A2768" s="23" t="n"/>
      <c r="B2768" s="24" t="inlineStr">
        <is>
          <t>3222</t>
        </is>
      </c>
      <c r="C2768" s="23" t="inlineStr">
        <is>
          <t>Н ПУШКИН</t>
        </is>
      </c>
      <c r="D2768" s="23" t="inlineStr">
        <is>
          <t>Пушкина</t>
        </is>
      </c>
      <c r="E2768" s="23" t="inlineStr">
        <is>
          <t>Истории Оксаны Пушкиной 1</t>
        </is>
      </c>
      <c r="F2768" s="23" t="inlineStr">
        <is>
          <t>        </t>
        </is>
      </c>
      <c r="G2768" s="23" t="n">
        <v>229</v>
      </c>
      <c r="H2768" s="23" t="n">
        <v>10</v>
      </c>
      <c r="I2768" s="23" t="n">
        <v>28</v>
      </c>
      <c r="J2768" s="23" t="inlineStr">
        <is>
          <t>5-227-01789-1</t>
        </is>
      </c>
      <c r="K2768" s="23" t="inlineStr">
        <is>
          <t>70x100 1/32</t>
        </is>
      </c>
      <c r="L2768" s="23" t="inlineStr">
        <is>
          <t>мяг</t>
        </is>
      </c>
      <c r="M2768" s="23" t="n">
        <v>222</v>
      </c>
      <c r="N2768" s="23" t="n">
        <v>2002</v>
      </c>
      <c r="O2768" s="23" t="n">
        <v>128</v>
      </c>
      <c r="P2768" s="23" t="n"/>
      <c r="Q2768" s="23" t="n"/>
      <c r="R2768" s="25" t="inlineStr">
        <is>
          <t>Рассказы героев и героинь историй Оксаны Пушкиной вызывают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состояться как личность. Своими горестями и радостями делятся с вами, дорогие читатели и читательницы, Елена Проклова, Мария Арбатова, Илзе Лиепа, Элина Быстрицкая, Людмила Кучма, Тамара Гвердцителн, Мария Кириенко, Наталья Селезнева, Ирина Примакова, Сати Спивакова, Александр Шилов, Ада Роговцева, Марина Деникина.</t>
        </is>
      </c>
      <c r="S2768" s="26">
        <f>HYPERLINK("http://www.cnpol.ru/covers/3222.jpg","фото на сайте")</f>
        <v/>
      </c>
    </row>
    <row r="2769" ht="50.1" customHeight="1" s="3">
      <c r="A2769" s="23" t="n"/>
      <c r="B2769" s="24" t="inlineStr">
        <is>
          <t>3243</t>
        </is>
      </c>
      <c r="C2769" s="23" t="inlineStr">
        <is>
          <t>Н ПУШКИН</t>
        </is>
      </c>
      <c r="D2769" s="23" t="inlineStr">
        <is>
          <t>Пушкина</t>
        </is>
      </c>
      <c r="E2769" s="23" t="inlineStr">
        <is>
          <t>Истории Оксаны Пушкиной 2</t>
        </is>
      </c>
      <c r="F2769" s="23" t="inlineStr">
        <is>
          <t>        </t>
        </is>
      </c>
      <c r="G2769" s="23" t="n">
        <v>229</v>
      </c>
      <c r="H2769" s="23" t="n">
        <v>10</v>
      </c>
      <c r="I2769" s="23" t="n">
        <v>28</v>
      </c>
      <c r="J2769" s="23" t="inlineStr">
        <is>
          <t>5-227-01790-5</t>
        </is>
      </c>
      <c r="K2769" s="23" t="inlineStr">
        <is>
          <t>70x100 1/32</t>
        </is>
      </c>
      <c r="L2769" s="23" t="inlineStr">
        <is>
          <t>мяг</t>
        </is>
      </c>
      <c r="M2769" s="23" t="n">
        <v>255</v>
      </c>
      <c r="N2769" s="23" t="n">
        <v>2002</v>
      </c>
      <c r="O2769" s="23" t="n">
        <v>144</v>
      </c>
      <c r="P2769" s="23" t="n"/>
      <c r="Q2769" s="23" t="n"/>
      <c r="R2769" s="25" t="n"/>
      <c r="S2769" s="26">
        <f>HYPERLINK("http://www.cnpol.ru/covers/3243.jpg","фото на сайте")</f>
        <v/>
      </c>
    </row>
    <row r="2770" ht="50.1" customHeight="1" s="3">
      <c r="A2770" s="23" t="n"/>
      <c r="B2770" s="24" t="inlineStr">
        <is>
          <t>4449</t>
        </is>
      </c>
      <c r="C2770" s="23" t="inlineStr">
        <is>
          <t>Н ПУШКИН</t>
        </is>
      </c>
      <c r="D2770" s="23" t="inlineStr">
        <is>
          <t>Пушкина</t>
        </is>
      </c>
      <c r="E2770" s="23" t="inlineStr">
        <is>
          <t>Истории Оксаны Пушкиной 3</t>
        </is>
      </c>
      <c r="F2770" s="23" t="inlineStr">
        <is>
          <t>        </t>
        </is>
      </c>
      <c r="G2770" s="23" t="n">
        <v>97</v>
      </c>
      <c r="H2770" s="23" t="n">
        <v>10</v>
      </c>
      <c r="I2770" s="23" t="n">
        <v>32</v>
      </c>
      <c r="J2770" s="23" t="inlineStr">
        <is>
          <t>5-9524-0720-X</t>
        </is>
      </c>
      <c r="K2770" s="23" t="inlineStr">
        <is>
          <t>70x100 1/32</t>
        </is>
      </c>
      <c r="L2770" s="23" t="inlineStr">
        <is>
          <t>мяг</t>
        </is>
      </c>
      <c r="M2770" s="23" t="n">
        <v>220</v>
      </c>
      <c r="N2770" s="23" t="n">
        <v>2004</v>
      </c>
      <c r="O2770" s="23" t="n">
        <v>126</v>
      </c>
      <c r="P2770" s="23" t="n"/>
      <c r="Q2770" s="23" t="n"/>
      <c r="R2770" s="25" t="inlineStr">
        <is>
          <t>Откровения знаменитых женщин о себе и о том, как противостоять превратностям судьбы!_x000D_
Проникновенные беседы известной телеведущей Оксаны Пушкиной с ее знаменитыми героинями: звездами оперы, балета, кино, эстрады, спорта, женами политиков, затрагивают самые чувствительные струны души благодарных телезрителей и читателей, учат стойкости и терпению, вселяют надежду на успех и счастье._x000D_
Восхищает искренность рассказов, и становится понятно, что судьбы этих женщин в чем-то схожи с вашей судьбой и судьбой ваших знакомых. Они смогли выстоять, когда было трудно, заявить о себе во весь голос и завоевать всенародное признание._x000D_
Своими горестями и радостями делятся с вами, дорогие читатели и читательницы, Надежда Бабкина, Фаина Громова, Лариса Гузеева, Анита Цой, Наталья Бестемьянова, Лариса Долина, Лада Фетисова, Ирина Грибулина, Эдита Пьеха._x000D_
Отдельная статья посвящена безвременно ушедшей Галине Старовойтовой._x000D_
Они смогли сделать свою судьбу сами и утверждают - это подвластно всем, только поверьте в себя!</t>
        </is>
      </c>
      <c r="S2770" s="26">
        <f>HYPERLINK("http://www.cnpol.ru/covers/4449.jpg","фото на сайте")</f>
        <v/>
      </c>
    </row>
    <row r="2771" ht="50.1" customHeight="1" s="3">
      <c r="A2771" s="23" t="n"/>
      <c r="B2771" s="24" t="inlineStr">
        <is>
          <t>4432</t>
        </is>
      </c>
      <c r="C2771" s="23" t="inlineStr">
        <is>
          <t>Н ПУШКИН</t>
        </is>
      </c>
      <c r="D2771" s="23" t="inlineStr">
        <is>
          <t>Пушкина</t>
        </is>
      </c>
      <c r="E2771" s="23" t="inlineStr">
        <is>
          <t>Истории Оксаны Пушкиной 4</t>
        </is>
      </c>
      <c r="F2771" s="23" t="inlineStr">
        <is>
          <t>        </t>
        </is>
      </c>
      <c r="G2771" s="23" t="n">
        <v>186</v>
      </c>
      <c r="H2771" s="23" t="n">
        <v>10</v>
      </c>
      <c r="I2771" s="23" t="n">
        <v>40</v>
      </c>
      <c r="J2771" s="23" t="inlineStr">
        <is>
          <t>5-9524-0721-8</t>
        </is>
      </c>
      <c r="K2771" s="23" t="inlineStr">
        <is>
          <t>70x100 1/32</t>
        </is>
      </c>
      <c r="L2771" s="23" t="inlineStr">
        <is>
          <t>мяг</t>
        </is>
      </c>
      <c r="M2771" s="23" t="n">
        <v>204</v>
      </c>
      <c r="N2771" s="23" t="n">
        <v>2004</v>
      </c>
      <c r="O2771" s="23" t="n">
        <v>120</v>
      </c>
      <c r="P2771" s="23" t="n"/>
      <c r="Q2771" s="23" t="n"/>
      <c r="R2771" s="25" t="inlineStr">
        <is>
          <t>Рассказы героев и героинь историй Оксаны Пушкиной вызывают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состояться как личность. Своими горестями и радостями делятся с вами, дорогие читатели и читательницы, Вера Алентова, Наталья Бондарчук, Галина Логинова, Екатерина фон Гечмен-Вальдек, Ирина Краг, Владимир Ресин, Александр Ворошило, Каталин Любимова, Надежда Павлова, Елена Боннэр, Галина Беседина, Вера Таривердиева, Ирэн Федорова.</t>
        </is>
      </c>
      <c r="S2771" s="26">
        <f>HYPERLINK("http://www.cnpol.ru/covers/4432.jpg","фото на сайте")</f>
        <v/>
      </c>
    </row>
    <row r="2772" ht="50.1" customHeight="1" s="3">
      <c r="A2772" s="23" t="n"/>
      <c r="B2772" s="24" t="inlineStr">
        <is>
          <t>7457</t>
        </is>
      </c>
      <c r="C2772" s="23" t="inlineStr">
        <is>
          <t>Н РИ+</t>
        </is>
      </c>
      <c r="D2772" s="23" t="inlineStr">
        <is>
          <t>Быстрова И.</t>
        </is>
      </c>
      <c r="E2772" s="23" t="inlineStr">
        <is>
          <t>Всему свое время</t>
        </is>
      </c>
      <c r="F2772" s="23" t="inlineStr">
        <is>
          <t>        </t>
        </is>
      </c>
      <c r="G2772" s="23" t="n">
        <v>358</v>
      </c>
      <c r="H2772" s="23" t="n">
        <v>10</v>
      </c>
      <c r="I2772" s="23" t="n">
        <v>16</v>
      </c>
      <c r="J2772" s="23" t="inlineStr">
        <is>
          <t>5-9524-2469-4</t>
        </is>
      </c>
      <c r="K2772" s="23" t="inlineStr">
        <is>
          <t>84x108 1/32</t>
        </is>
      </c>
      <c r="L2772" s="23" t="inlineStr">
        <is>
          <t>тв</t>
        </is>
      </c>
      <c r="M2772" s="23" t="n">
        <v>255</v>
      </c>
      <c r="N2772" s="23" t="n">
        <v>2007</v>
      </c>
      <c r="O2772" s="23" t="n">
        <v>274</v>
      </c>
      <c r="P2772" s="23" t="n"/>
      <c r="Q2772" s="23" t="n"/>
      <c r="R2772" s="25" t="inlineStr">
        <is>
          <t>Три подруги сохранили дружбу со студенческой скамьи. Но судьбы их сложились по-разному. Ирина осталась в столице и уверенно штурмовала ступени карьерной лестницы. Светлана сменила и профессию, и страну проживания. А Маша, тихая, безобидная и безответная Машка, стала мужней женой, примерной матерью двоих детей и хозяйкой небедного дома...</t>
        </is>
      </c>
      <c r="S2772" s="26">
        <f>HYPERLINK("http://www.cnpol.ru/covers/7457.jpg","фото на сайте")</f>
        <v/>
      </c>
    </row>
    <row r="2773" ht="50.1" customHeight="1" s="3">
      <c r="A2773" s="23" t="n"/>
      <c r="B2773" s="24" t="inlineStr">
        <is>
          <t>7417</t>
        </is>
      </c>
      <c r="C2773" s="23" t="inlineStr">
        <is>
          <t>Н РИ+</t>
        </is>
      </c>
      <c r="D2773" s="23" t="inlineStr">
        <is>
          <t>Лукьянова Н.</t>
        </is>
      </c>
      <c r="E2773" s="23" t="inlineStr">
        <is>
          <t>Жизнь зебра полосатая</t>
        </is>
      </c>
      <c r="F2773" s="23" t="inlineStr">
        <is>
          <t>        </t>
        </is>
      </c>
      <c r="G2773" s="23" t="n">
        <v>358</v>
      </c>
      <c r="H2773" s="23" t="n">
        <v>10</v>
      </c>
      <c r="I2773" s="23" t="n">
        <v>14</v>
      </c>
      <c r="J2773" s="23" t="inlineStr">
        <is>
          <t>5-9524-2428-7</t>
        </is>
      </c>
      <c r="K2773" s="23" t="inlineStr">
        <is>
          <t>84x108 1/32</t>
        </is>
      </c>
      <c r="L2773" s="23" t="inlineStr">
        <is>
          <t>тв</t>
        </is>
      </c>
      <c r="M2773" s="23" t="n">
        <v>239</v>
      </c>
      <c r="N2773" s="23" t="n">
        <v>2008</v>
      </c>
      <c r="O2773" s="23" t="n">
        <v>282</v>
      </c>
      <c r="P2773" s="23" t="n"/>
      <c r="Q2773" s="23" t="n"/>
      <c r="R2773" s="25" t="inlineStr">
        <is>
          <t>Жизнь Евгении, такая непростая в последнее время, вроде бы наладилась. Постепенно забылся, ушел в прошлое тягостный разрыв с любимым, на работе все складывается удачно, появился новый кавалер, да такой, о котором можно только мечтать, — галантный, заботливый, состоятельный. Живи да радуйся! Но Жене без неприятных сюрпризов, похоже, не обойтись...</t>
        </is>
      </c>
      <c r="S2773" s="26">
        <f>HYPERLINK("http://www.cnpol.ru/covers/7417.jpg","фото на сайте")</f>
        <v/>
      </c>
    </row>
    <row r="2774" ht="50.1" customHeight="1" s="3">
      <c r="A2774" s="23" t="n"/>
      <c r="B2774" s="24" t="inlineStr">
        <is>
          <t>7768</t>
        </is>
      </c>
      <c r="C2774" s="23" t="inlineStr">
        <is>
          <t>Н РИ+</t>
        </is>
      </c>
      <c r="D2774" s="23" t="inlineStr">
        <is>
          <t>Лукьянова Н.</t>
        </is>
      </c>
      <c r="E2774" s="23" t="inlineStr">
        <is>
          <t>Пустые хлопоты или Привычка наступать на грабли</t>
        </is>
      </c>
      <c r="F2774" s="23" t="inlineStr">
        <is>
          <t>        </t>
        </is>
      </c>
      <c r="G2774" s="23" t="n">
        <v>358</v>
      </c>
      <c r="H2774" s="23" t="n">
        <v>10</v>
      </c>
      <c r="I2774" s="23" t="n">
        <v>16</v>
      </c>
      <c r="J2774" s="23" t="inlineStr">
        <is>
          <t>978-5-9524-2614-6</t>
        </is>
      </c>
      <c r="K2774" s="23" t="inlineStr">
        <is>
          <t>70x90 1/32</t>
        </is>
      </c>
      <c r="L2774" s="23" t="inlineStr">
        <is>
          <t>тв</t>
        </is>
      </c>
      <c r="M2774" s="23" t="n">
        <v>253</v>
      </c>
      <c r="N2774" s="23" t="n">
        <v>2008</v>
      </c>
      <c r="O2774" s="23" t="n">
        <v>288</v>
      </c>
      <c r="P2774" s="23" t="n"/>
      <c r="Q2774" s="23" t="n"/>
      <c r="R2774" s="25" t="n"/>
      <c r="S2774" s="26">
        <f>HYPERLINK("http://www.cnpol.ru/covers/7768.jpg","фото на сайте")</f>
        <v/>
      </c>
    </row>
    <row r="2775" ht="50.1" customHeight="1" s="3">
      <c r="A2775" s="23" t="n"/>
      <c r="B2775" s="24" t="inlineStr">
        <is>
          <t>8801</t>
        </is>
      </c>
      <c r="C2775" s="23" t="inlineStr">
        <is>
          <t>Н РИ+</t>
        </is>
      </c>
      <c r="D2775" s="23" t="inlineStr">
        <is>
          <t>Волошина А., Волошина О.</t>
        </is>
      </c>
      <c r="E2775" s="23" t="inlineStr">
        <is>
          <t>Чертополох в хрустальной вазе</t>
        </is>
      </c>
      <c r="F2775" s="23" t="inlineStr">
        <is>
          <t>        </t>
        </is>
      </c>
      <c r="G2775" s="23" t="n">
        <v>358</v>
      </c>
      <c r="H2775" s="23" t="n">
        <v>10</v>
      </c>
      <c r="I2775" s="23" t="n">
        <v>16</v>
      </c>
      <c r="J2775" s="23" t="inlineStr">
        <is>
          <t>978-5-9524-3003-7</t>
        </is>
      </c>
      <c r="K2775" s="23" t="inlineStr">
        <is>
          <t>84x108 1/32</t>
        </is>
      </c>
      <c r="L2775" s="23" t="inlineStr">
        <is>
          <t>тв</t>
        </is>
      </c>
      <c r="M2775" s="23" t="n">
        <v>254</v>
      </c>
      <c r="N2775" s="23" t="n">
        <v>2008</v>
      </c>
      <c r="O2775" s="23" t="n">
        <v>258</v>
      </c>
      <c r="P2775" s="23" t="n"/>
      <c r="Q2775" s="23" t="n"/>
      <c r="R2775" s="25" t="n"/>
      <c r="S2775" s="26">
        <f>HYPERLINK("http://www.cnpol.ru/covers/8801.jpg","фото на сайте")</f>
        <v/>
      </c>
    </row>
    <row r="2776" ht="50.1" customHeight="1" s="3">
      <c r="A2776" s="23" t="n"/>
      <c r="B2776" s="24" t="inlineStr">
        <is>
          <t>6197</t>
        </is>
      </c>
      <c r="C2776" s="23" t="inlineStr">
        <is>
          <t>Н СД</t>
        </is>
      </c>
      <c r="D2776" s="23" t="inlineStr">
        <is>
          <t>Ван Гулик Роберт</t>
        </is>
      </c>
      <c r="E2776" s="23" t="inlineStr">
        <is>
          <t>Жемчужина императора</t>
        </is>
      </c>
      <c r="F2776" s="23" t="inlineStr">
        <is>
          <t>        </t>
        </is>
      </c>
      <c r="G2776" s="23" t="n">
        <v>534</v>
      </c>
      <c r="H2776" s="23" t="n">
        <v>10</v>
      </c>
      <c r="I2776" s="23" t="n">
        <v>18</v>
      </c>
      <c r="J2776" s="23" t="inlineStr">
        <is>
          <t>5-9524-1968-2</t>
        </is>
      </c>
      <c r="K2776" s="23" t="inlineStr">
        <is>
          <t>84х90 1/32</t>
        </is>
      </c>
      <c r="L2776" s="23" t="inlineStr">
        <is>
          <t>тв</t>
        </is>
      </c>
      <c r="M2776" s="23" t="n">
        <v>223</v>
      </c>
      <c r="N2776" s="23" t="n">
        <v>2005</v>
      </c>
      <c r="O2776" s="23" t="n">
        <v>198</v>
      </c>
      <c r="P2776" s="23" t="n"/>
      <c r="Q2776" s="23" t="n"/>
      <c r="R2776" s="25" t="inlineStr">
        <is>
          <t>Таинственная гибель двух бродячих студентов, жестокое убийство жены торговца древностями, смерть старухи-сводни от руки неизвестного... Эту череду загадочных преступлений может раскрыть только проницательный и неподкупный судья Ди Жэньчжи.</t>
        </is>
      </c>
      <c r="S2776" s="26">
        <f>HYPERLINK("http://www.cnpol.ru/covers/6197.jpg","фото на сайте")</f>
        <v/>
      </c>
    </row>
    <row r="2777" ht="50.1" customHeight="1" s="3">
      <c r="A2777" s="23" t="n"/>
      <c r="B2777" s="24" t="inlineStr">
        <is>
          <t>5717</t>
        </is>
      </c>
      <c r="C2777" s="23" t="inlineStr">
        <is>
          <t>Н СД</t>
        </is>
      </c>
      <c r="D2777" s="23" t="inlineStr">
        <is>
          <t>Ван Гулик Роберт</t>
        </is>
      </c>
      <c r="E2777" s="23" t="inlineStr">
        <is>
          <t>Монастырь с привидениями</t>
        </is>
      </c>
      <c r="F2777" s="23" t="inlineStr">
        <is>
          <t>        </t>
        </is>
      </c>
      <c r="G2777" s="23" t="n">
        <v>534</v>
      </c>
      <c r="H2777" s="23" t="n">
        <v>10</v>
      </c>
      <c r="I2777" s="23" t="n">
        <v>18</v>
      </c>
      <c r="J2777" s="23" t="inlineStr">
        <is>
          <t>5-9524-1656-X</t>
        </is>
      </c>
      <c r="K2777" s="23" t="inlineStr">
        <is>
          <t>84х90 1/32</t>
        </is>
      </c>
      <c r="L2777" s="23" t="inlineStr">
        <is>
          <t>тв</t>
        </is>
      </c>
      <c r="M2777" s="23" t="n">
        <v>222</v>
      </c>
      <c r="N2777" s="23" t="n">
        <v>2005</v>
      </c>
      <c r="O2777" s="23" t="n">
        <v>192</v>
      </c>
      <c r="P2777" s="23" t="n"/>
      <c r="Q2777" s="23" t="n"/>
      <c r="R2777" s="25" t="n"/>
      <c r="S2777" s="26">
        <f>HYPERLINK("http://www.cnpol.ru/covers/5717.jpg","фото на сайте")</f>
        <v/>
      </c>
    </row>
    <row r="2778" ht="50.1" customHeight="1" s="3">
      <c r="A2778" s="23" t="n"/>
      <c r="B2778" s="24" t="inlineStr">
        <is>
          <t>5869</t>
        </is>
      </c>
      <c r="C2778" s="23" t="inlineStr">
        <is>
          <t>Н СД</t>
        </is>
      </c>
      <c r="D2778" s="23" t="inlineStr">
        <is>
          <t>Ван Гулик Роберт</t>
        </is>
      </c>
      <c r="E2778" s="23" t="inlineStr">
        <is>
          <t>Убийство в Кантоне</t>
        </is>
      </c>
      <c r="F2778" s="23" t="inlineStr">
        <is>
          <t>        </t>
        </is>
      </c>
      <c r="G2778" s="23" t="n">
        <v>534</v>
      </c>
      <c r="H2778" s="23" t="n">
        <v>10</v>
      </c>
      <c r="I2778" s="23" t="n">
        <v>16</v>
      </c>
      <c r="J2778" s="23" t="inlineStr">
        <is>
          <t>5-9524-1765-5</t>
        </is>
      </c>
      <c r="K2778" s="23" t="inlineStr">
        <is>
          <t>84х90 1/32</t>
        </is>
      </c>
      <c r="L2778" s="23" t="inlineStr">
        <is>
          <t>тв</t>
        </is>
      </c>
      <c r="M2778" s="23" t="n">
        <v>270</v>
      </c>
      <c r="N2778" s="23" t="n">
        <v>2005</v>
      </c>
      <c r="O2778" s="23" t="n">
        <v>222</v>
      </c>
      <c r="P2778" s="23" t="n"/>
      <c r="Q2778" s="23" t="n"/>
      <c r="R2778" s="25" t="n"/>
      <c r="S2778" s="26">
        <f>HYPERLINK("http://www.cnpol.ru/covers/5869.jpg","фото на сайте")</f>
        <v/>
      </c>
    </row>
    <row r="2779" ht="50.1" customHeight="1" s="3">
      <c r="A2779" s="23" t="n"/>
      <c r="B2779" s="24" t="inlineStr">
        <is>
          <t>3486</t>
        </is>
      </c>
      <c r="C2779" s="23" t="inlineStr">
        <is>
          <t>Н СТАУТ</t>
        </is>
      </c>
      <c r="D2779" s="23" t="inlineStr">
        <is>
          <t>Стаут Рекс</t>
        </is>
      </c>
      <c r="E2779" s="23" t="inlineStr">
        <is>
          <t>Авантюристка</t>
        </is>
      </c>
      <c r="F2779" s="23" t="inlineStr">
        <is>
          <t>        </t>
        </is>
      </c>
      <c r="G2779" s="23" t="n">
        <v>220</v>
      </c>
      <c r="H2779" s="23" t="n">
        <v>10</v>
      </c>
      <c r="I2779" s="23" t="n">
        <v>10</v>
      </c>
      <c r="J2779" s="23" t="inlineStr">
        <is>
          <t>5-9524-0052-3</t>
        </is>
      </c>
      <c r="K2779" s="23" t="inlineStr">
        <is>
          <t>84x108 1/32</t>
        </is>
      </c>
      <c r="L2779" s="23" t="inlineStr">
        <is>
          <t>тв</t>
        </is>
      </c>
      <c r="M2779" s="23" t="inlineStr">
        <is>
          <t>    </t>
        </is>
      </c>
      <c r="N2779" s="23" t="inlineStr">
        <is>
          <t>    </t>
        </is>
      </c>
      <c r="O2779" s="23" t="inlineStr">
        <is>
          <t>     </t>
        </is>
      </c>
      <c r="P2779" s="23" t="n"/>
      <c r="Q2779" s="23" t="n"/>
      <c r="R2779" s="25" t="n"/>
      <c r="S2779" s="26">
        <f>HYPERLINK("http://www.cnpol.ru/covers/3486.jpg","фото на сайте")</f>
        <v/>
      </c>
    </row>
    <row r="2780" ht="50.1" customHeight="1" s="3">
      <c r="A2780" s="23" t="n"/>
      <c r="B2780" s="24" t="inlineStr">
        <is>
          <t>4332</t>
        </is>
      </c>
      <c r="C2780" s="23" t="inlineStr">
        <is>
          <t>Н СТАУТ</t>
        </is>
      </c>
      <c r="D2780" s="23" t="inlineStr">
        <is>
          <t>Стаут Рекс</t>
        </is>
      </c>
      <c r="E2780" s="23" t="inlineStr">
        <is>
          <t>Авантюристка</t>
        </is>
      </c>
      <c r="F2780" s="23" t="inlineStr">
        <is>
          <t>        </t>
        </is>
      </c>
      <c r="G2780" s="23" t="n">
        <v>534</v>
      </c>
      <c r="H2780" s="23" t="n">
        <v>10</v>
      </c>
      <c r="I2780" s="23" t="n">
        <v>10</v>
      </c>
      <c r="J2780" s="23" t="inlineStr">
        <is>
          <t>5-9524-0052-3</t>
        </is>
      </c>
      <c r="K2780" s="23" t="inlineStr">
        <is>
          <t>84x108 1/32</t>
        </is>
      </c>
      <c r="L2780" s="23" t="inlineStr">
        <is>
          <t>тв</t>
        </is>
      </c>
      <c r="M2780" s="23" t="n">
        <v>525</v>
      </c>
      <c r="N2780" s="23" t="n">
        <v>2003</v>
      </c>
      <c r="O2780" s="23" t="n">
        <v>412</v>
      </c>
      <c r="P2780" s="23" t="n"/>
      <c r="Q2780" s="23" t="n"/>
      <c r="R2780" s="25" t="n"/>
      <c r="S2780" s="26">
        <f>HYPERLINK("http://www.cnpol.ru/covers/4332.jpg","фото на сайте")</f>
        <v/>
      </c>
    </row>
    <row r="2781" ht="50.1" customHeight="1" s="3">
      <c r="A2781" s="23" t="n"/>
      <c r="B2781" s="24" t="inlineStr">
        <is>
          <t>14355</t>
        </is>
      </c>
      <c r="C2781" s="23" t="inlineStr">
        <is>
          <t>Н ТП</t>
        </is>
      </c>
      <c r="D2781" s="23" t="inlineStr">
        <is>
          <t>Синельников В.В.</t>
        </is>
      </c>
      <c r="E2781" s="23" t="inlineStr">
        <is>
          <t>В поисках источников личной силы. Мужской разговор</t>
        </is>
      </c>
      <c r="F2781" s="23" t="inlineStr">
        <is>
          <t>        </t>
        </is>
      </c>
      <c r="G2781" s="23" t="n">
        <v>653</v>
      </c>
      <c r="H2781" s="23" t="n">
        <v>10</v>
      </c>
      <c r="I2781" s="23" t="n">
        <v>24</v>
      </c>
      <c r="J2781" s="23" t="inlineStr">
        <is>
          <t>978-5-227-04390-0</t>
        </is>
      </c>
      <c r="K2781" s="23" t="inlineStr">
        <is>
          <t>70x108 1/32</t>
        </is>
      </c>
      <c r="L2781" s="23" t="inlineStr">
        <is>
          <t>тв</t>
        </is>
      </c>
      <c r="M2781" s="23" t="n">
        <v>192</v>
      </c>
      <c r="N2781" s="23" t="n">
        <v>2013</v>
      </c>
      <c r="O2781" s="23" t="n">
        <v>212</v>
      </c>
      <c r="P2781" s="23" t="n"/>
      <c r="Q2781" s="23" t="n"/>
      <c r="R2781" s="25" t="inlineStr">
        <is>
          <t>Перед вами новая книга Валерия Синельникова. 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 Книга о мужчинах и для мужчин. Именно поэтому она будет полезна и женщинам, ведь именно они рожают сыновей, идут по жизни рядом с любимыми, поддерживают братьев и чтят отцов.</t>
        </is>
      </c>
      <c r="S2781" s="26">
        <f>HYPERLINK("http://www.cnpol.ru/covers/14355.jpg","фото на сайте")</f>
        <v/>
      </c>
    </row>
    <row r="2782" ht="50.1" customHeight="1" s="3">
      <c r="A2782" s="23" t="n"/>
      <c r="B2782" s="24" t="inlineStr">
        <is>
          <t>19941</t>
        </is>
      </c>
      <c r="C2782" s="23" t="inlineStr">
        <is>
          <t>Н ТП</t>
        </is>
      </c>
      <c r="D2782" s="23" t="inlineStr">
        <is>
          <t>Синельников В.В.</t>
        </is>
      </c>
      <c r="E2782" s="23" t="inlineStr">
        <is>
          <t>Возлюби болезнь свою</t>
        </is>
      </c>
      <c r="F2782" s="23" t="inlineStr">
        <is>
          <t>        </t>
        </is>
      </c>
      <c r="G2782" s="23" t="n">
        <v>743</v>
      </c>
      <c r="H2782" s="23" t="n">
        <v>10</v>
      </c>
      <c r="I2782" s="23" t="n">
        <v>10</v>
      </c>
      <c r="J2782" s="23" t="inlineStr">
        <is>
          <t>978-5-227-09588-6</t>
        </is>
      </c>
      <c r="K2782" s="23" t="inlineStr">
        <is>
          <t>84x108 1/32</t>
        </is>
      </c>
      <c r="L2782" s="23" t="inlineStr">
        <is>
          <t>тв</t>
        </is>
      </c>
      <c r="M2782" s="23" t="n">
        <v>416</v>
      </c>
      <c r="N2782" s="23" t="n">
        <v>2021</v>
      </c>
      <c r="O2782" s="23" t="n">
        <v>345</v>
      </c>
      <c r="P2782" s="23" t="n"/>
      <c r="Q2782" s="23" t="n"/>
      <c r="R2782" s="25" t="inlineStr">
        <is>
          <t>Прочитав книгу, вы сможете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is>
      </c>
      <c r="S2782" s="26">
        <f>HYPERLINK("http://www.cnpol.ru/covers/19941.jpg","фото на сайте")</f>
        <v/>
      </c>
    </row>
    <row r="2783" ht="50.1" customHeight="1" s="3">
      <c r="A2783" s="23" t="n"/>
      <c r="B2783" s="24" t="inlineStr">
        <is>
          <t>20217</t>
        </is>
      </c>
      <c r="C2783" s="23" t="inlineStr">
        <is>
          <t>Н ТП</t>
        </is>
      </c>
      <c r="D2783" s="23" t="inlineStr">
        <is>
          <t>Синельников В.В.</t>
        </is>
      </c>
      <c r="E2783" s="23" t="inlineStr">
        <is>
          <t>Жизнь без страха</t>
        </is>
      </c>
      <c r="F2783" s="23" t="inlineStr">
        <is>
          <t>        </t>
        </is>
      </c>
      <c r="G2783" s="23" t="n">
        <v>653</v>
      </c>
      <c r="H2783" s="23" t="n">
        <v>10</v>
      </c>
      <c r="I2783" s="23" t="n">
        <v>16</v>
      </c>
      <c r="J2783" s="23" t="inlineStr">
        <is>
          <t>978-5-227-09897-9</t>
        </is>
      </c>
      <c r="K2783" s="23" t="inlineStr">
        <is>
          <t>70x108 1/32</t>
        </is>
      </c>
      <c r="L2783" s="23" t="inlineStr">
        <is>
          <t>тв</t>
        </is>
      </c>
      <c r="M2783" s="23" t="n">
        <v>160</v>
      </c>
      <c r="N2783" s="23" t="n">
        <v>2022</v>
      </c>
      <c r="O2783" s="23" t="n">
        <v>200</v>
      </c>
      <c r="P2783" s="23" t="n"/>
      <c r="Q2783" s="23" t="n"/>
      <c r="R2783" s="25" t="inlineStr">
        <is>
          <t>Мы не подозреваем, насколько глубоко страх вошёл в нашу жизнь, буквально во все сферы нашего бытия. Мы боимся заболеть и умереть, остаться без средств к существованию, быть убитыми, потерять родных, быть брошенными любимыми людьми. Мы боимся подлости и предательства, боимся проявления насилия. Мы можем бояться не только за себя, но и за своих близких…_x000D_
Жизнь без страха — вторая книга в серии «Трансформация негативных эмоций». В ней мы вместе исследуем наши страхи, осознаем их природу и подсознательные причины появления. Мы прольём свет осознания на «тёмные» стороны нашей жизни, что поможет избавиться от многих явных и скрытых страхов, а к остальным мы применим очень эффективные методики, которые помогут нам распрощаться со своими страхами навсегда.</t>
        </is>
      </c>
      <c r="S2783" s="26">
        <f>HYPERLINK("http://www.cnpol.ru/covers/20217.jpg","фото на сайте")</f>
        <v/>
      </c>
    </row>
    <row r="2784" ht="50.1" customHeight="1" s="3">
      <c r="A2784" s="23" t="n"/>
      <c r="B2784" s="24" t="inlineStr">
        <is>
          <t>19752</t>
        </is>
      </c>
      <c r="C2784" s="23" t="inlineStr">
        <is>
          <t>Н ТП</t>
        </is>
      </c>
      <c r="D2784" s="23" t="inlineStr">
        <is>
          <t>Синельников В.В.</t>
        </is>
      </c>
      <c r="E2784" s="23" t="inlineStr">
        <is>
          <t>Избавление от гордыни с СД</t>
        </is>
      </c>
      <c r="F2784" s="23" t="inlineStr">
        <is>
          <t>        </t>
        </is>
      </c>
      <c r="G2784" s="23" t="n">
        <v>806</v>
      </c>
      <c r="H2784" s="23" t="n">
        <v>22</v>
      </c>
      <c r="I2784" s="23" t="n">
        <v>14</v>
      </c>
      <c r="J2784" s="23" t="inlineStr">
        <is>
          <t>978-5-227-09259-5</t>
        </is>
      </c>
      <c r="K2784" s="23" t="inlineStr">
        <is>
          <t>70x108 1/32</t>
        </is>
      </c>
      <c r="L2784" s="23" t="inlineStr">
        <is>
          <t>тв</t>
        </is>
      </c>
      <c r="M2784" s="23" t="n">
        <v>160</v>
      </c>
      <c r="N2784" s="23" t="n">
        <v>2021</v>
      </c>
      <c r="O2784" s="23" t="n">
        <v>226</v>
      </c>
      <c r="P2784" s="23" t="n"/>
      <c r="Q2784" s="23" t="n"/>
      <c r="R2784" s="25" t="inlineStr">
        <is>
          <t>Болезни и многие другие наши проблемы связаны с наличием в подсознании разрушительных, негативных эмоций, чувств и мыслей. Но как на практике избавиться от этих вредоносных факторов нашей жизни? Как достичь такого состояния в работе над собой, когда невозможно будет в принципе испытать ни одной негативной эмоции?_x000D_
Ответам на эти и многие другие вопросы и посвящена эта книга, в которой пойдет разговор о матери всех смертных грехов – гордыне. О  коварстве и опасности гордыни и о том, как распознать и искоренить в себе это разрушительное чувство,  рассказывает нам Валерий Синельников.</t>
        </is>
      </c>
      <c r="S2784" s="26">
        <f>HYPERLINK("http://www.cnpol.ru/covers/19752.jpg","фото на сайте")</f>
        <v/>
      </c>
    </row>
    <row r="2785" ht="50.1" customHeight="1" s="3">
      <c r="A2785" s="23" t="n"/>
      <c r="B2785" s="24" t="inlineStr">
        <is>
          <t>19567</t>
        </is>
      </c>
      <c r="C2785" s="23" t="inlineStr">
        <is>
          <t>Н ТП</t>
        </is>
      </c>
      <c r="D2785" s="23" t="inlineStr">
        <is>
          <t>Синельников В.В.</t>
        </is>
      </c>
      <c r="E2785" s="23" t="inlineStr">
        <is>
          <t>Молитва Преображения с CD</t>
        </is>
      </c>
      <c r="F2785" s="23" t="inlineStr">
        <is>
          <t>        </t>
        </is>
      </c>
      <c r="G2785" s="23" t="n">
        <v>791</v>
      </c>
      <c r="H2785" s="23" t="n">
        <v>22</v>
      </c>
      <c r="I2785" s="23" t="n">
        <v>28</v>
      </c>
      <c r="J2785" s="23" t="inlineStr">
        <is>
          <t>978-5-227-08990-8</t>
        </is>
      </c>
      <c r="K2785" s="23" t="inlineStr">
        <is>
          <t>70x108 1/32</t>
        </is>
      </c>
      <c r="L2785" s="23" t="inlineStr">
        <is>
          <t>тв</t>
        </is>
      </c>
      <c r="M2785" s="23" t="n">
        <v>128</v>
      </c>
      <c r="N2785" s="23" t="n">
        <v>2021</v>
      </c>
      <c r="O2785" s="23" t="n">
        <v>194</v>
      </c>
      <c r="P2785" s="23" t="n"/>
      <c r="Q2785" s="23" t="n"/>
      <c r="R2785" s="25" t="n"/>
      <c r="S2785" s="26">
        <f>HYPERLINK("http://www.cnpol.ru/covers/19567.jpg","фото на сайте")</f>
        <v/>
      </c>
    </row>
    <row r="2786" ht="50.1" customHeight="1" s="3">
      <c r="A2786" s="23" t="n"/>
      <c r="B2786" s="24" t="inlineStr">
        <is>
          <t>11561</t>
        </is>
      </c>
      <c r="C2786" s="23" t="inlineStr">
        <is>
          <t>Н ТП</t>
        </is>
      </c>
      <c r="D2786" s="23" t="inlineStr">
        <is>
          <t>Синельников В.В.</t>
        </is>
      </c>
      <c r="E2786" s="23" t="inlineStr">
        <is>
          <t>Питание в благости</t>
        </is>
      </c>
      <c r="F2786" s="23" t="inlineStr">
        <is>
          <t>        </t>
        </is>
      </c>
      <c r="G2786" s="23" t="n">
        <v>508</v>
      </c>
      <c r="H2786" s="23" t="n">
        <v>10</v>
      </c>
      <c r="I2786" s="23" t="n">
        <v>16</v>
      </c>
      <c r="J2786" s="23" t="inlineStr">
        <is>
          <t>978-5-9524-4667-0</t>
        </is>
      </c>
      <c r="K2786" s="23" t="inlineStr">
        <is>
          <t>84x108 1/32</t>
        </is>
      </c>
      <c r="L2786" s="23" t="inlineStr">
        <is>
          <t>тв</t>
        </is>
      </c>
      <c r="M2786" s="23" t="n">
        <v>251</v>
      </c>
      <c r="N2786" s="23" t="n">
        <v>2009</v>
      </c>
      <c r="O2786" s="23" t="n">
        <v>268</v>
      </c>
      <c r="P2786" s="23" t="n"/>
      <c r="Q2786" s="23" t="n"/>
      <c r="R2786" s="25" t="n"/>
      <c r="S2786" s="26">
        <f>HYPERLINK("http://www.cnpol.ru/covers/11561.jpg","фото на сайте")</f>
        <v/>
      </c>
    </row>
    <row r="2787" ht="50.1" customHeight="1" s="3">
      <c r="A2787" s="23" t="n"/>
      <c r="B2787" s="24" t="inlineStr">
        <is>
          <t>16002</t>
        </is>
      </c>
      <c r="C2787" s="23" t="inlineStr">
        <is>
          <t>Н ТП</t>
        </is>
      </c>
      <c r="D2787" s="23" t="inlineStr">
        <is>
          <t>Синельников В.В.</t>
        </is>
      </c>
      <c r="E2787" s="23" t="inlineStr">
        <is>
          <t>Практический курс доктора Синельникова. Как научиться любить себя</t>
        </is>
      </c>
      <c r="F2787" s="23" t="inlineStr">
        <is>
          <t>        </t>
        </is>
      </c>
      <c r="G2787" s="23" t="n">
        <v>574</v>
      </c>
      <c r="H2787" s="23" t="n">
        <v>10</v>
      </c>
      <c r="I2787" s="23" t="n">
        <v>20</v>
      </c>
      <c r="J2787" s="23" t="inlineStr">
        <is>
          <t>978-5-227-05914-7</t>
        </is>
      </c>
      <c r="K2787" s="23" t="inlineStr">
        <is>
          <t>84x108 1/32</t>
        </is>
      </c>
      <c r="L2787" s="23" t="inlineStr">
        <is>
          <t>тв</t>
        </is>
      </c>
      <c r="M2787" s="23" t="n">
        <v>238</v>
      </c>
      <c r="N2787" s="23" t="n">
        <v>2015</v>
      </c>
      <c r="O2787" s="23" t="n">
        <v>224</v>
      </c>
      <c r="P2787" s="23" t="n"/>
      <c r="Q2787" s="23" t="n"/>
      <c r="R2787" s="25" t="n"/>
      <c r="S2787" s="26">
        <f>HYPERLINK("http://www.cnpol.ru/covers/16002.jpg","фото на сайте")</f>
        <v/>
      </c>
    </row>
    <row r="2788" ht="50.1" customHeight="1" s="3">
      <c r="A2788" s="23" t="n"/>
      <c r="B2788" s="24" t="inlineStr">
        <is>
          <t>19105</t>
        </is>
      </c>
      <c r="C2788" s="23" t="inlineStr">
        <is>
          <t>Н ТП</t>
        </is>
      </c>
      <c r="D2788" s="23" t="inlineStr">
        <is>
          <t>Синельников В.В.</t>
        </is>
      </c>
      <c r="E2788" s="23" t="inlineStr">
        <is>
          <t>Рецепты здоровья. Добрая пища для тела и души</t>
        </is>
      </c>
      <c r="F2788" s="23" t="inlineStr">
        <is>
          <t>        </t>
        </is>
      </c>
      <c r="G2788" s="23" t="n">
        <v>743</v>
      </c>
      <c r="H2788" s="23" t="n">
        <v>10</v>
      </c>
      <c r="I2788" s="23" t="n">
        <v>16</v>
      </c>
      <c r="J2788" s="23" t="inlineStr">
        <is>
          <t>978-5-227-08995-3</t>
        </is>
      </c>
      <c r="K2788" s="23" t="inlineStr">
        <is>
          <t>84x108 1/32</t>
        </is>
      </c>
      <c r="L2788" s="23" t="inlineStr">
        <is>
          <t>тв</t>
        </is>
      </c>
      <c r="M2788" s="23" t="n">
        <v>192</v>
      </c>
      <c r="N2788" s="23" t="n">
        <v>2020</v>
      </c>
      <c r="O2788" s="23" t="n">
        <v>280</v>
      </c>
      <c r="P2788" s="23" t="n"/>
      <c r="Q2788" s="23" t="n"/>
      <c r="R2788" s="25" t="n"/>
      <c r="S2788" s="26">
        <f>HYPERLINK("http://www.cnpol.ru/covers/19105.jpg","фото на сайте")</f>
        <v/>
      </c>
    </row>
    <row r="2789" ht="50.1" customHeight="1" s="3">
      <c r="A2789" s="23" t="inlineStr">
        <is>
          <t>Д</t>
        </is>
      </c>
      <c r="B2789" s="24" t="inlineStr">
        <is>
          <t>21463</t>
        </is>
      </c>
      <c r="C2789" s="23" t="inlineStr">
        <is>
          <t>Н ТП</t>
        </is>
      </c>
      <c r="D2789" s="23" t="inlineStr">
        <is>
          <t>Солодовникова О.В.</t>
        </is>
      </c>
      <c r="E2789" s="23" t="inlineStr">
        <is>
          <t>Сила рода. Уникальные практики: исцеление отношений, укрепление здоровья, самореализация</t>
        </is>
      </c>
      <c r="F2789" s="23" t="inlineStr">
        <is>
          <t>        </t>
        </is>
      </c>
      <c r="G2789" s="23" t="n">
        <v>806</v>
      </c>
      <c r="H2789" s="23" t="n">
        <v>10</v>
      </c>
      <c r="I2789" s="23" t="n">
        <v>6</v>
      </c>
      <c r="J2789" s="23" t="inlineStr">
        <is>
          <t>978-5-227-10886-9</t>
        </is>
      </c>
      <c r="K2789" s="23" t="inlineStr">
        <is>
          <t>84x108 1/32</t>
        </is>
      </c>
      <c r="L2789" s="23" t="inlineStr">
        <is>
          <t>тв</t>
        </is>
      </c>
      <c r="M2789" s="23" t="n">
        <v>639</v>
      </c>
      <c r="N2789" s="23" t="n">
        <v>2024</v>
      </c>
      <c r="O2789" s="23" t="n">
        <v>466</v>
      </c>
      <c r="P2789" s="23" t="n"/>
      <c r="Q2789" s="23" t="n"/>
      <c r="R2789" s="25" t="inlineStr">
        <is>
          <t>В жизни каждого случаются неурядицы. Неприятные, травмирующие события происходят даже с самыми хорошими людьми. Конечно, самый лучший выход из такой ситуации - решить проблему, найти причину и устранить ее. Но немногие осознают, что беды - разводы, болезни, несчастные случаи, конфликты - преследуют их уже не одно поколение. Зачастую проблема кроется именно в этом, и наиболее эффективно помочь себе, своей семье и близким можно, только заглянув в историю рода и увидев, что именно в ней сокрыто. Корни происходящего с нами именно там, в жизни наших родителей, бабушек, дедушек. Оксана Солодовникова - специалист с многолетним опытом, и она помогла многим людям обрести здоровье и счастье, открыв для них их родовую программу и проработав ее с ними, в том числе с помощью расстановок. Этот сборник, состоящий из трех ее книг, будет вашим верным спутником в путешествии в прошлое, помогая понять родовую программу, и в будущее, помогая найти наилучший выход из сложившейся ситуации, будь то психологическая травма или болезнь. Вы сможете получить поддержку, силу и помощь от своего рода, открыть новые возможности и наслаждаться жизнью здесь и сейчас.</t>
        </is>
      </c>
      <c r="S2789" s="26">
        <f>HYPERLINK("http://www.cnpol.ru/covers/21463.jpg","фото на сайте")</f>
        <v/>
      </c>
    </row>
    <row r="2790" ht="50.1" customHeight="1" s="3">
      <c r="A2790" s="23" t="n"/>
      <c r="B2790" s="24" t="inlineStr">
        <is>
          <t>20983</t>
        </is>
      </c>
      <c r="C2790" s="23" t="inlineStr">
        <is>
          <t>Н ХАМОН</t>
        </is>
      </c>
      <c r="D2790" s="23" t="inlineStr">
        <is>
          <t>Хамон Л.</t>
        </is>
      </c>
      <c r="E2790" s="23" t="inlineStr">
        <is>
          <t>Ваш гороскоп и ваши звёзды. Узнайте всё о себе и других по дате рождения</t>
        </is>
      </c>
      <c r="F2790" s="23" t="inlineStr">
        <is>
          <t>        </t>
        </is>
      </c>
      <c r="G2790" s="23" t="n">
        <v>983</v>
      </c>
      <c r="H2790" s="23" t="n">
        <v>10</v>
      </c>
      <c r="I2790" s="23" t="n">
        <v>12</v>
      </c>
      <c r="J2790" s="23" t="inlineStr">
        <is>
          <t>978-5-227-10559-2</t>
        </is>
      </c>
      <c r="K2790" s="23" t="inlineStr">
        <is>
          <t>84x108 1/32</t>
        </is>
      </c>
      <c r="L2790" s="23" t="inlineStr">
        <is>
          <t>тв</t>
        </is>
      </c>
      <c r="M2790" s="23" t="n">
        <v>332</v>
      </c>
      <c r="N2790" s="23" t="n">
        <v>2024</v>
      </c>
      <c r="O2790" s="23" t="n">
        <v>380</v>
      </c>
      <c r="P2790" s="23" t="n"/>
      <c r="Q2790" s="23" t="n"/>
      <c r="R2790" s="25" t="inlineStr">
        <is>
          <t>Знаменитый британский хиромант Луис Хамон, известный всему миру под псевдонимом Кайро, представляет созданную им оригинальную систему составления гороскопа, основанную на общепринятых законах астрологии, но с учетом нумерологии и в зависимости от даты рождения. Рекомендации по коррекции характера, здоровья, взаимоотношений между мужчиной и женщиной и настрой на успех в бизнесе и любви, по мнению автора, помогут в решении каждодневных проблем.</t>
        </is>
      </c>
      <c r="S2790" s="26">
        <f>HYPERLINK("http://www.cnpol.ru/covers/20983.jpg","фото на сайте")</f>
        <v/>
      </c>
    </row>
    <row r="2791" ht="50.1" customHeight="1" s="3">
      <c r="A2791" s="23" t="inlineStr">
        <is>
          <t>Д</t>
        </is>
      </c>
      <c r="B2791" s="24" t="inlineStr">
        <is>
          <t>21844</t>
        </is>
      </c>
      <c r="C2791" s="23" t="inlineStr">
        <is>
          <t>Н ХАМОН</t>
        </is>
      </c>
      <c r="D2791" s="23" t="inlineStr">
        <is>
          <t>Хамон Л.</t>
        </is>
      </c>
      <c r="E2791" s="23" t="inlineStr">
        <is>
          <t>Книга чисел Кайро. Шифр вашей судьбы. Полезная нумерология</t>
        </is>
      </c>
      <c r="F2791" s="23" t="inlineStr">
        <is>
          <t>        </t>
        </is>
      </c>
      <c r="G2791" s="23" t="n">
        <v>849</v>
      </c>
      <c r="H2791" s="23" t="n">
        <v>10</v>
      </c>
      <c r="I2791" s="23" t="n">
        <v>10</v>
      </c>
      <c r="J2791" s="23" t="inlineStr">
        <is>
          <t>978-5-227-11169-2</t>
        </is>
      </c>
      <c r="K2791" s="23" t="inlineStr">
        <is>
          <t>84x108 1/32</t>
        </is>
      </c>
      <c r="L2791" s="23" t="inlineStr">
        <is>
          <t>тв</t>
        </is>
      </c>
      <c r="M2791" s="23" t="n">
        <v>220</v>
      </c>
      <c r="N2791" s="23" t="n">
        <v>2025</v>
      </c>
      <c r="O2791" s="23" t="n">
        <v>371</v>
      </c>
      <c r="P2791" s="23" t="n"/>
      <c r="Q2791" s="23" t="n"/>
      <c r="R2791" s="25" t="inlineStr">
        <is>
          <t>Эта уникальная книга, несомненно, станет вашим мудрым советчиком и верным другом. Написал ее знаменитый Луис Хамон, известный всему миру под псевдонимом Кайро, — автор многих классических трудов по астрологии, хиромантии и нумерологии. С позиций своей системы Луис Хамон оценивает даты рождения, имена, фамилии и показывает, как с помощью нумерологии определить наиболее благоприятное время для принятия важных решений. Кайро объясняет влияние чисел на жизнь людей, бизнес, здоровье и счастье. Он подскажет, какие числа принесут удачу, а каких следует избегать.</t>
        </is>
      </c>
      <c r="S2791" s="26">
        <f>HYPERLINK("http://www.cnpol.ru/covers/21844.jpg","фото на сайте")</f>
        <v/>
      </c>
    </row>
    <row r="2792" ht="50.1" customHeight="1" s="3">
      <c r="A2792" s="23" t="inlineStr">
        <is>
          <t>Д</t>
        </is>
      </c>
      <c r="B2792" s="24" t="inlineStr">
        <is>
          <t>21902</t>
        </is>
      </c>
      <c r="C2792" s="23" t="inlineStr">
        <is>
          <t>Н ХАМОН</t>
        </is>
      </c>
      <c r="D2792" s="23" t="inlineStr">
        <is>
          <t>Хамон Л.</t>
        </is>
      </c>
      <c r="E2792" s="23" t="inlineStr">
        <is>
          <t>Хиромантия — искусство чтения судьбы. Толкование знаков на ладони от древности до наших дней</t>
        </is>
      </c>
      <c r="F2792" s="23" t="inlineStr">
        <is>
          <t>        </t>
        </is>
      </c>
      <c r="G2792" s="23" t="n">
        <v>983</v>
      </c>
      <c r="H2792" s="23" t="n">
        <v>10</v>
      </c>
      <c r="I2792" s="23" t="n">
        <v>10</v>
      </c>
      <c r="J2792" s="23" t="inlineStr">
        <is>
          <t>978-5-227-11203-3</t>
        </is>
      </c>
      <c r="K2792" s="23" t="inlineStr">
        <is>
          <t>84x108 1/32</t>
        </is>
      </c>
      <c r="L2792" s="23" t="inlineStr">
        <is>
          <t>тв</t>
        </is>
      </c>
      <c r="M2792" s="23" t="n">
        <v>313</v>
      </c>
      <c r="N2792" s="23" t="n">
        <v>2026</v>
      </c>
      <c r="O2792" s="23" t="n">
        <v>361</v>
      </c>
      <c r="P2792" s="23" t="n"/>
      <c r="Q2792" s="23" t="n"/>
      <c r="R2792" s="25" t="inlineStr">
        <is>
          <t>Книга знаменитого британского хироманта Луиса Хамона, известного в европейских столицах под псевдонимом Кайро, содержит сведения о хиромантии, а также обширную базу любопытных фактов и жизненных историй людей, в разное время бывших клиентами маэстро. Значительная часть текста — практическое руководство со специальными методиками, которые позволят вам в короткое время овладеть искусством чтения знаков, начертанных судьбой на ваших ладонях.</t>
        </is>
      </c>
      <c r="S2792" s="26">
        <f>HYPERLINK("http://www.cnpol.ru/covers/21902.jpg","фото на сайте")</f>
        <v/>
      </c>
    </row>
    <row r="2793" ht="50.1" customHeight="1" s="3">
      <c r="A2793" s="23" t="inlineStr">
        <is>
          <t>Д</t>
        </is>
      </c>
      <c r="B2793" s="24" t="inlineStr">
        <is>
          <t>21515</t>
        </is>
      </c>
      <c r="C2793" s="23" t="inlineStr">
        <is>
          <t>НАШИ</t>
        </is>
      </c>
      <c r="D2793" s="23" t="inlineStr">
        <is>
          <t>Лейкин Н.А.</t>
        </is>
      </c>
      <c r="E2793" s="23" t="inlineStr">
        <is>
          <t>В гостях у турок. Юмористическое описание путешествия супругов Николая Ивановича и Глафиры Семеновны Ивановых через славянские земли в Константинополь</t>
        </is>
      </c>
      <c r="F2793" s="23" t="inlineStr">
        <is>
          <t>        </t>
        </is>
      </c>
      <c r="G2793" s="27" t="n">
        <v>1231</v>
      </c>
      <c r="H2793" s="23" t="n">
        <v>10</v>
      </c>
      <c r="I2793" s="23" t="n">
        <v>10</v>
      </c>
      <c r="J2793" s="23" t="inlineStr">
        <is>
          <t>978-5-227-10983-5</t>
        </is>
      </c>
      <c r="K2793" s="23" t="inlineStr">
        <is>
          <t>84x108 1/32</t>
        </is>
      </c>
      <c r="L2793" s="23" t="inlineStr">
        <is>
          <t>тв</t>
        </is>
      </c>
      <c r="M2793" s="23" t="n">
        <v>446</v>
      </c>
      <c r="N2793" s="23" t="n">
        <v>2025</v>
      </c>
      <c r="O2793" s="23" t="n">
        <v>378</v>
      </c>
      <c r="P2793" s="23" t="n"/>
      <c r="Q2793" s="23" t="n"/>
      <c r="R2793" s="25" t="inlineStr">
        <is>
          <t>Глафира Семеновна и Николай Иванович Ивановы уже в статусе бывалых путешественников отправились в Константинополь. В пути им было уже не так сложно. После цыганского царства — Венгрии — маршрут пролегал через славянские земли, и общие братские корни облегчали понимание. Однако наши соотечественники смогли отличиться — чуть не попали в криминальные новости. Глафира Семеновна метнула в сербского таможенного офицера кусок ветчины, а Николай Иванович выступил самозванцем, раздавая интервью об отсутствии самоваров в Софии и их влиянии на российско-болгарские отношения.</t>
        </is>
      </c>
      <c r="S2793" s="26">
        <f>HYPERLINK("http://www.cnpol.ru/covers/21515.jpg","фото на сайте")</f>
        <v/>
      </c>
    </row>
    <row r="2794" ht="50.1" customHeight="1" s="3">
      <c r="A2794" s="23" t="n"/>
      <c r="B2794" s="24" t="inlineStr">
        <is>
          <t>20085</t>
        </is>
      </c>
      <c r="C2794" s="23" t="inlineStr">
        <is>
          <t>НАШИ</t>
        </is>
      </c>
      <c r="D2794" s="23" t="inlineStr">
        <is>
          <t>Лейкин Н.А.</t>
        </is>
      </c>
      <c r="E2794" s="23" t="inlineStr">
        <is>
          <t>В ожидании наследства. Страница из жизни Кости Бережкова</t>
        </is>
      </c>
      <c r="F2794" s="23" t="inlineStr">
        <is>
          <t>        </t>
        </is>
      </c>
      <c r="G2794" s="23" t="n">
        <v>633</v>
      </c>
      <c r="H2794" s="23" t="n">
        <v>10</v>
      </c>
      <c r="I2794" s="23" t="n">
        <v>10</v>
      </c>
      <c r="J2794" s="23" t="inlineStr">
        <is>
          <t>978-5-227-09779-8</t>
        </is>
      </c>
      <c r="K2794" s="23" t="inlineStr">
        <is>
          <t>84x108 1/32</t>
        </is>
      </c>
      <c r="L2794" s="23" t="inlineStr">
        <is>
          <t>тв</t>
        </is>
      </c>
      <c r="M2794" s="23" t="n">
        <v>447</v>
      </c>
      <c r="N2794" s="23" t="n">
        <v>2022</v>
      </c>
      <c r="O2794" s="23" t="n">
        <v>478</v>
      </c>
      <c r="P2794" s="23" t="n"/>
      <c r="Q2794" s="23" t="n"/>
      <c r="R2794" s="25" t="inlineStr">
        <is>
          <t>Мастер сатиры XIX столетия Н.А. Лейкин выводит яркие людские типажи — самые узнаваемые и по сей день — в своем смешном, драматичном и нравоучительном романе из петербургской жизни. Купеческий сын Костя Бережков без ума от хорошенькой кафешантанной актрисы Надежды Ларионовны и готов для нее на любые подвиги. Дама сердца требует подношений в качестве доказательств его любви: шубу, лошадей с кучером, бриллиантовую брошку, постоянные угощения в ресторанах. Вот только денег-то у незадачливого влюбленного и нет. Но ведь его богатый дядя тяжело болен и со дня на день умрет, а значит, можно набрать долгов…</t>
        </is>
      </c>
      <c r="S2794" s="26">
        <f>HYPERLINK("http://www.cnpol.ru/covers/20085.jpg","фото на сайте")</f>
        <v/>
      </c>
    </row>
    <row r="2795" ht="50.1" customHeight="1" s="3">
      <c r="A2795" s="23" t="inlineStr">
        <is>
          <t>Д</t>
        </is>
      </c>
      <c r="B2795" s="24" t="inlineStr">
        <is>
          <t>21897</t>
        </is>
      </c>
      <c r="C2795" s="23" t="inlineStr">
        <is>
          <t>НАШИ</t>
        </is>
      </c>
      <c r="D2795" s="23" t="inlineStr">
        <is>
          <t>Лейкин Н.А.</t>
        </is>
      </c>
      <c r="E2795" s="23" t="inlineStr">
        <is>
          <t>Воскресенье на даче. Рассказы и картинки с натуры</t>
        </is>
      </c>
      <c r="F2795" s="23" t="inlineStr">
        <is>
          <t>        </t>
        </is>
      </c>
      <c r="G2795" s="27" t="n">
        <v>1231</v>
      </c>
      <c r="H2795" s="23" t="n">
        <v>10</v>
      </c>
      <c r="I2795" s="23" t="n">
        <v>7</v>
      </c>
      <c r="J2795" s="23" t="inlineStr">
        <is>
          <t>978-5-227-11205-7</t>
        </is>
      </c>
      <c r="K2795" s="23" t="inlineStr">
        <is>
          <t>84x108 1/32</t>
        </is>
      </c>
      <c r="L2795" s="23" t="inlineStr">
        <is>
          <t>тв</t>
        </is>
      </c>
      <c r="M2795" s="23" t="n">
        <v>479</v>
      </c>
      <c r="N2795" s="23" t="n">
        <v>2026</v>
      </c>
      <c r="O2795" s="23" t="n">
        <v>506</v>
      </c>
      <c r="P2795" s="23" t="n"/>
      <c r="Q2795" s="23" t="n"/>
      <c r="R2795" s="25" t="inlineStr">
        <is>
          <t>В конце XIX века, как и сейчас, наши соотечественники стремились провести лето на природе, на свежем воздухе, вдали от городской суеты. В новом сборнике известного сатирика позапрошлого столетия Николая Александровича Лейкина изображены не только традиции и реалии ушедших дней, но и вещи, которые никогда не устаревают. Здесь и про трудности наема дачи, и про особенности взаимодействия с сельскими жителями, и про отношения дачников друг с другом, и про грибную и рыбную охоту, и про народные поверья, и, конечно, про русскую душу — такую же обширную и многогранную, как наша страна.</t>
        </is>
      </c>
      <c r="S2795" s="26">
        <f>HYPERLINK("http://www.cnpol.ru/covers/21897.jpg","фото на сайте")</f>
        <v/>
      </c>
    </row>
    <row r="2796" ht="50.1" customHeight="1" s="3">
      <c r="A2796" s="23" t="n"/>
      <c r="B2796" s="24" t="inlineStr">
        <is>
          <t>19978</t>
        </is>
      </c>
      <c r="C2796" s="23" t="inlineStr">
        <is>
          <t>НАШИ</t>
        </is>
      </c>
      <c r="D2796" s="23" t="inlineStr">
        <is>
          <t>Лейкин Н.А.</t>
        </is>
      </c>
      <c r="E2796" s="23" t="inlineStr">
        <is>
          <t>Воскресные охотники. Юмористические рассказы о похождениях столичных подгородных охотников</t>
        </is>
      </c>
      <c r="F2796" s="23" t="inlineStr">
        <is>
          <t>        </t>
        </is>
      </c>
      <c r="G2796" s="23" t="n">
        <v>633</v>
      </c>
      <c r="H2796" s="23" t="n">
        <v>10</v>
      </c>
      <c r="I2796" s="23" t="n">
        <v>10</v>
      </c>
      <c r="J2796" s="23" t="inlineStr">
        <is>
          <t>978-5-227-09718-7</t>
        </is>
      </c>
      <c r="K2796" s="23" t="inlineStr">
        <is>
          <t>84x108 1/32</t>
        </is>
      </c>
      <c r="L2796" s="23" t="inlineStr">
        <is>
          <t>тв</t>
        </is>
      </c>
      <c r="M2796" s="23" t="n">
        <v>446</v>
      </c>
      <c r="N2796" s="23" t="n">
        <v>2021</v>
      </c>
      <c r="O2796" s="23" t="n">
        <v>432</v>
      </c>
      <c r="P2796" s="23" t="n"/>
      <c r="Q2796" s="23" t="n"/>
      <c r="R2796" s="25" t="inlineStr">
        <is>
          <t>Н.А. Лейкин — известный писатель конца XIX — начала XX века, вновь демонстрирует свое мастерство владения словом. Сегодня мы представляем сборник произведений, посвященных охоте, рыбалке и прочим «охотам» и интересам человечества, среди которых любовь к голубям, собакам, лошадям и даже насекомым. Некоторым героям не чужда тяга к собиранию редкостей и тяга к прекрасному, а также странные привычки, пороки и зависимости…_x000D_
Как давно известно, рассказы охотников и рыбаков с их приключениями, байками и преувеличениями — это всегда практически анекдоты, а уж в исполнении виртуозного писателя эти смешные, пропитанные иронией, добродушные тексты едва ли оставят кого-либо равнодушным. Они доставят удовольствие и поднимут настроение любому, даже самому грустному читателю.</t>
        </is>
      </c>
      <c r="S2796" s="26">
        <f>HYPERLINK("http://www.cnpol.ru/covers/19978.jpg","фото на сайте")</f>
        <v/>
      </c>
    </row>
    <row r="2797" ht="50.1" customHeight="1" s="3">
      <c r="A2797" s="23" t="inlineStr">
        <is>
          <t>Д</t>
        </is>
      </c>
      <c r="B2797" s="24" t="inlineStr">
        <is>
          <t>21671</t>
        </is>
      </c>
      <c r="C2797" s="23" t="inlineStr">
        <is>
          <t>НАШИ</t>
        </is>
      </c>
      <c r="D2797" s="23" t="inlineStr">
        <is>
          <t>Лейкин Н.А.</t>
        </is>
      </c>
      <c r="E2797" s="23" t="inlineStr">
        <is>
          <t>Где зреют апельсины. Юмористическое описание путешествия супругов Николая Ивановича и Глафиры Семеновны Ивановых по Ривьере и Италии</t>
        </is>
      </c>
      <c r="F2797" s="23" t="inlineStr">
        <is>
          <t>        </t>
        </is>
      </c>
      <c r="G2797" s="27" t="n">
        <v>1117</v>
      </c>
      <c r="H2797" s="23" t="n">
        <v>10</v>
      </c>
      <c r="I2797" s="23" t="n">
        <v>5</v>
      </c>
      <c r="J2797" s="23" t="inlineStr">
        <is>
          <t>978-5-227-11075-6</t>
        </is>
      </c>
      <c r="K2797" s="23" t="inlineStr">
        <is>
          <t>84x108 1/32</t>
        </is>
      </c>
      <c r="L2797" s="23" t="inlineStr">
        <is>
          <t>тв</t>
        </is>
      </c>
      <c r="M2797" s="23" t="n">
        <v>414</v>
      </c>
      <c r="N2797" s="23" t="n">
        <v>2025</v>
      </c>
      <c r="O2797" s="23" t="n">
        <v>344</v>
      </c>
      <c r="P2797" s="23" t="n"/>
      <c r="Q2797" s="23" t="n"/>
      <c r="R2797" s="25" t="inlineStr">
        <is>
          <t>Глафира Семеновна и Николай Иванович Ивановы — уже бывалые путешественники. Не без приключений посетив парижскую выставку, они потянулись в Италию: «на папу римскую» посмотреть и на огнедышащую гору Везувий подняться (еще не зная, что по дороге их подстерегает казино в Монте-Карло!). На сей раз компанию им составил купец-фруктовщик Иван Кондратьевич, который вообще не понимает, что он за границей делает и где находится в данный момент. Но как всякий русский человек, если что и решит, то выпьет обязательно._x000D_
Путешественники с приключениями пересаживаются с поезда на поезд; едят не то, что хотят (боятся, что им подсунут лягушку или черепаху); зевая, осматривают окрестности и постоянно попадают в уморительно смешные ситуации из-за незнания языка и нежелания понимать нравы и обычаи Европы.</t>
        </is>
      </c>
      <c r="S2797" s="26">
        <f>HYPERLINK("http://www.cnpol.ru/covers/21671.jpg","фото на сайте")</f>
        <v/>
      </c>
    </row>
    <row r="2798" ht="50.1" customHeight="1" s="3">
      <c r="A2798" s="23" t="n"/>
      <c r="B2798" s="24" t="inlineStr">
        <is>
          <t>20774</t>
        </is>
      </c>
      <c r="C2798" s="23" t="inlineStr">
        <is>
          <t>НАШИ</t>
        </is>
      </c>
      <c r="D2798" s="23" t="inlineStr">
        <is>
          <t>Лейкин Н.А.</t>
        </is>
      </c>
      <c r="E2798" s="23" t="inlineStr">
        <is>
          <t>Голь перекатная. Картинки с натуры</t>
        </is>
      </c>
      <c r="F2798" s="23" t="inlineStr">
        <is>
          <t>        </t>
        </is>
      </c>
      <c r="G2798" s="23" t="n">
        <v>633</v>
      </c>
      <c r="H2798" s="23" t="n">
        <v>10</v>
      </c>
      <c r="I2798" s="23" t="n">
        <v>14</v>
      </c>
      <c r="J2798" s="23" t="inlineStr">
        <is>
          <t>978-5-227-10386-4</t>
        </is>
      </c>
      <c r="K2798" s="23" t="inlineStr">
        <is>
          <t>84x108 1/32</t>
        </is>
      </c>
      <c r="L2798" s="23" t="inlineStr">
        <is>
          <t>тв</t>
        </is>
      </c>
      <c r="M2798" s="23" t="n">
        <v>319</v>
      </c>
      <c r="N2798" s="23" t="n">
        <v>2023</v>
      </c>
      <c r="O2798" s="23" t="n">
        <v>280</v>
      </c>
      <c r="P2798" s="23" t="n"/>
      <c r="Q2798" s="23" t="n"/>
      <c r="R2798" s="25" t="inlineStr">
        <is>
          <t>В эту книгу Николая Александровича Лейкина вошли сборник рассказов «Голь перекатная» и повесть «Кусок хлеба». «Голь перекатная» во многом напоминает раздел о Хитровке признанного шедевра Владимира Алексеевича Гиляровского «Москва и москвичи», только дело происходит в Санкт-Петербурге. Автор без прикрас показывает жизнь опустившихся на социальное дно людей, ютящихся по углам, по чердакам и в подвалах, живо изображая невыносимые условия существования и повальное пьянство. «Кусок хлеба» продолжает затронутую в сборнике тему, давая возможность взглянуть на жизнь страдающих от неурожаев в деревнях и от отсутствия рабочих мест в городах людей, в итоге обреченных либо на нищенское существование, либо на сомнительные способы заработка. Автор в очередной раз демонстрирует прекрасное владение словом и, несмотря на общий тон сборника, как и всегда оживляет происходящее своими меткими наблюдениями.</t>
        </is>
      </c>
      <c r="S2798" s="26">
        <f>HYPERLINK("http://www.cnpol.ru/covers/20774.jpg","фото на сайте")</f>
        <v/>
      </c>
    </row>
    <row r="2799" ht="50.1" customHeight="1" s="3">
      <c r="A2799" s="23" t="n"/>
      <c r="B2799" s="24" t="inlineStr">
        <is>
          <t>20426</t>
        </is>
      </c>
      <c r="C2799" s="23" t="inlineStr">
        <is>
          <t>НАШИ</t>
        </is>
      </c>
      <c r="D2799" s="23" t="inlineStr">
        <is>
          <t>Лейкин Н.А.</t>
        </is>
      </c>
      <c r="E2799" s="23" t="inlineStr">
        <is>
          <t>Гуси лапчатые. Юмористические картинки</t>
        </is>
      </c>
      <c r="F2799" s="23" t="inlineStr">
        <is>
          <t>        </t>
        </is>
      </c>
      <c r="G2799" s="23" t="n">
        <v>633</v>
      </c>
      <c r="H2799" s="23" t="n">
        <v>10</v>
      </c>
      <c r="I2799" s="23" t="n">
        <v>12</v>
      </c>
      <c r="J2799" s="23" t="inlineStr">
        <is>
          <t>978-5-227-09915-0</t>
        </is>
      </c>
      <c r="K2799" s="23" t="inlineStr">
        <is>
          <t>84x108 1/32</t>
        </is>
      </c>
      <c r="L2799" s="23" t="inlineStr">
        <is>
          <t>тв</t>
        </is>
      </c>
      <c r="M2799" s="23" t="n">
        <v>351</v>
      </c>
      <c r="N2799" s="23" t="n">
        <v>2022</v>
      </c>
      <c r="O2799" s="23" t="n">
        <v>296</v>
      </c>
      <c r="P2799" s="23" t="n"/>
      <c r="Q2799" s="23" t="n"/>
      <c r="R2799" s="25" t="inlineStr">
        <is>
          <t>В новом сборнике рассказов Николая Александровича Лейкина перед читателем предстает парад мест, событий, действующих лиц и ситуаций, характерных для конца XIX века и изображенных в свойственном известному сатирику-классику ироническом ключе. В этой книге мы видим не только реалии ушедших дней, но и вещи, которые никогда не устаревают, например, мнения жителей Первопрестольной и культурной столицы об искусстве и развлечениях, которым и посвящен этот сборник. В книгу вошел целый парад выставок в Петербурге, открытие памятника Пушкину в Москве, посещение самой разной публикой зоопарка, цирка и театра, танцы, пение. Не обделены выниманием и традиционные праздники и самые разные уморительные курьезы, происходившие на них с купцами и представителями прочих сословий.</t>
        </is>
      </c>
      <c r="S2799" s="26">
        <f>HYPERLINK("http://www.cnpol.ru/covers/20426.jpg","фото на сайте")</f>
        <v/>
      </c>
    </row>
    <row r="2800" ht="50.1" customHeight="1" s="3">
      <c r="A2800" s="23" t="inlineStr">
        <is>
          <t>Н</t>
        </is>
      </c>
      <c r="B2800" s="24" t="inlineStr">
        <is>
          <t>21991</t>
        </is>
      </c>
      <c r="C2800" s="23" t="inlineStr">
        <is>
          <t>НАШИ</t>
        </is>
      </c>
      <c r="D2800" s="23" t="inlineStr">
        <is>
          <t>Лейкин Н.А.</t>
        </is>
      </c>
      <c r="E2800" s="23" t="inlineStr">
        <is>
          <t>Караси и щуки. Юмористические рассказы</t>
        </is>
      </c>
      <c r="F2800" s="23" t="inlineStr">
        <is>
          <t>        </t>
        </is>
      </c>
      <c r="G2800" s="23" t="n">
        <v>700</v>
      </c>
      <c r="H2800" s="23" t="n">
        <v>10</v>
      </c>
      <c r="I2800" s="23" t="n">
        <v>10</v>
      </c>
      <c r="J2800" s="23" t="inlineStr">
        <is>
          <t>978-5-227-10710-7</t>
        </is>
      </c>
      <c r="K2800" s="23" t="inlineStr">
        <is>
          <t>84x108 1/32</t>
        </is>
      </c>
      <c r="L2800" s="23" t="inlineStr">
        <is>
          <t>тв</t>
        </is>
      </c>
      <c r="M2800" s="23" t="n">
        <v>414</v>
      </c>
      <c r="N2800" s="23" t="n">
        <v>2026</v>
      </c>
      <c r="O2800" s="23" t="n">
        <v>335</v>
      </c>
      <c r="P2800" s="23" t="n"/>
      <c r="Q2800" s="23" t="n"/>
      <c r="R2800" s="25" t="inlineStr">
        <is>
          <t>В этом юмористическом сборнике представитель старинного петербургского купеческого семейства Николай Лейкин, известный российский сатирик-классик конца XIX века, как и всегда, представляет читателям обилие бытовых подробностей и примет своего времени. Здесь герои рассказов не только купцы и мещане, но и мужики и трактирщики, фотографы и чиновники, гуляющие по Литейной. А также разные француженки, опытные по бульварной части модистки и совсем юные девицы. Автор заводит читателя во Владикавказ, Рыбинск, Кимры и, конечно же, Петербург, повсюду вызывая у читателя улыбку.</t>
        </is>
      </c>
      <c r="S2800" s="26">
        <f>HYPERLINK("http://www.cnpol.ru/covers/21991.jpg","фото на сайте")</f>
        <v/>
      </c>
    </row>
    <row r="2801" ht="50.1" customHeight="1" s="3">
      <c r="A2801" s="23" t="n"/>
      <c r="B2801" s="24" t="inlineStr">
        <is>
          <t>19856</t>
        </is>
      </c>
      <c r="C2801" s="23" t="inlineStr">
        <is>
          <t>НАШИ</t>
        </is>
      </c>
      <c r="D2801" s="23" t="inlineStr">
        <is>
          <t>Лейкин Н.А.</t>
        </is>
      </c>
      <c r="E2801" s="23" t="inlineStr">
        <is>
          <t>Купец пришел! Повествование о разорившемся дворянине и разбогатевших купцах</t>
        </is>
      </c>
      <c r="F2801" s="23" t="inlineStr">
        <is>
          <t>        </t>
        </is>
      </c>
      <c r="G2801" s="23" t="n">
        <v>633</v>
      </c>
      <c r="H2801" s="23" t="n">
        <v>10</v>
      </c>
      <c r="I2801" s="23" t="n">
        <v>12</v>
      </c>
      <c r="J2801" s="23" t="inlineStr">
        <is>
          <t>978-5-227-09659-3</t>
        </is>
      </c>
      <c r="K2801" s="23" t="inlineStr">
        <is>
          <t>84x108 1/32</t>
        </is>
      </c>
      <c r="L2801" s="23" t="inlineStr">
        <is>
          <t>тв</t>
        </is>
      </c>
      <c r="M2801" s="23" t="n">
        <v>383</v>
      </c>
      <c r="N2801" s="23" t="n">
        <v>2021</v>
      </c>
      <c r="O2801" s="23" t="n">
        <v>316</v>
      </c>
      <c r="P2801" s="23" t="n"/>
      <c r="Q2801" s="23" t="n"/>
      <c r="R2801" s="25" t="inlineStr">
        <is>
          <t>Известный сатирик Николай Александрович Лейкин вновь демонстрирует свое мастерство, как и всегда обращаясь к остросоциальным темам. Метко и язвительно так, что невозможно не смеяться, он описывает самые разные типы общества конца XIX — начала XX века. Россия на стыке эпох претерпевала постепенные, но неизбежные изменения. Все меньше и меньше реальной силой были дворяне, все больше влияния приобретали купцы. Автор не дает этому явлению однозначных оценок, стараясь показывать ситуацию с разных точек зрения. Яркие, живые образы увлекают пережить вместе с ними историю о переменах и о том, как сегодняшние «хозяева жизни» скупали имущество вчерашних. Пусть описанная история кажется далекой от нашего времени, меняются только декорации, а люди остаются. Как и прочие работы Лейкина, этот роман — самая настоящая энциклопедия жизни русского народа, не только каким он был в конце XIX века, но и каким он является сейчас, в веке XXI. Веселые и грустные, остросатирические и лирические строки этого произведения едва ли оставят кого-либо равнодушным.</t>
        </is>
      </c>
      <c r="S2801" s="26">
        <f>HYPERLINK("http://www.cnpol.ru/covers/19856.jpg","фото на сайте")</f>
        <v/>
      </c>
    </row>
    <row r="2802" ht="50.1" customHeight="1" s="3">
      <c r="A2802" s="23" t="n"/>
      <c r="B2802" s="24" t="inlineStr">
        <is>
          <t>20473</t>
        </is>
      </c>
      <c r="C2802" s="23" t="inlineStr">
        <is>
          <t>НАШИ</t>
        </is>
      </c>
      <c r="D2802" s="23" t="inlineStr">
        <is>
          <t>Лейкин Н.А.</t>
        </is>
      </c>
      <c r="E2802" s="23" t="inlineStr">
        <is>
          <t>Медные лбы. Картинки с натуры</t>
        </is>
      </c>
      <c r="F2802" s="23" t="inlineStr">
        <is>
          <t>        </t>
        </is>
      </c>
      <c r="G2802" s="23" t="n">
        <v>633</v>
      </c>
      <c r="H2802" s="23" t="n">
        <v>10</v>
      </c>
      <c r="I2802" s="23" t="n">
        <v>14</v>
      </c>
      <c r="J2802" s="23" t="inlineStr">
        <is>
          <t>978-5-227-09978-5</t>
        </is>
      </c>
      <c r="K2802" s="23" t="inlineStr">
        <is>
          <t>84x108 1/32</t>
        </is>
      </c>
      <c r="L2802" s="23" t="inlineStr">
        <is>
          <t>тв</t>
        </is>
      </c>
      <c r="M2802" s="23" t="n">
        <v>317</v>
      </c>
      <c r="N2802" s="23" t="n">
        <v>2022</v>
      </c>
      <c r="O2802" s="23" t="n">
        <v>272</v>
      </c>
      <c r="P2802" s="23" t="n"/>
      <c r="Q2802" s="23" t="n"/>
      <c r="R2802" s="25" t="inlineStr">
        <is>
          <t>В очередном сборнике юмористических рассказов классика Н.А. Лейкина раскрываются типичные для того времени темы. Традиционные праздники и способы их отмечать, в том числе способы накрывать на стол за счет гостей, и угощение приютских сирот на господском празднике — конечно, о равноправном веселье не может быть и речи. Вездесущие купцы, безуспешно пытающиеся понять значение пьес, балета, цирковых представлений, принципы составления библиотеки (на вес или объем книг), архитектурные особенности городских новинок — фонтанов и мостов. Последние особенно настораживают: как бы чего не случилось, лучше поехать по льду, чем по мосту. И еще о страхах: до сих пор люди опасаются летать самолетами, а в конце XIX — начале XX века уже заранее оплакивали поднимающихся на воздушном шаре, попутчики же по железной дороге и вовсе не изменились. Так же жутковато и ночью на улицах, схожие увлекательные байки рассказывают о загранице, и настолько же похожи современные объявления о продаже на старинные — как и то, что ждет покупателей на месте. Зато радует, что отношение к труду художников медленно, но верно меняется к лучшему.</t>
        </is>
      </c>
      <c r="S2802" s="26">
        <f>HYPERLINK("http://www.cnpol.ru/covers/20473.jpg","фото на сайте")</f>
        <v/>
      </c>
    </row>
    <row r="2803" ht="50.1" customHeight="1" s="3">
      <c r="A2803" s="23" t="n"/>
      <c r="B2803" s="24" t="inlineStr">
        <is>
          <t>20347</t>
        </is>
      </c>
      <c r="C2803" s="23" t="inlineStr">
        <is>
          <t>НАШИ</t>
        </is>
      </c>
      <c r="D2803" s="23" t="inlineStr">
        <is>
          <t>Лейкин Н.А.</t>
        </is>
      </c>
      <c r="E2803" s="23" t="inlineStr">
        <is>
          <t>Меж трех огней. Роман из актерской жизни</t>
        </is>
      </c>
      <c r="F2803" s="23" t="inlineStr">
        <is>
          <t>        </t>
        </is>
      </c>
      <c r="G2803" s="23" t="n">
        <v>633</v>
      </c>
      <c r="H2803" s="23" t="n">
        <v>10</v>
      </c>
      <c r="I2803" s="23" t="n">
        <v>12</v>
      </c>
      <c r="J2803" s="23" t="inlineStr">
        <is>
          <t>978-5-227-09997-6</t>
        </is>
      </c>
      <c r="K2803" s="23" t="inlineStr">
        <is>
          <t>84x108 1/32</t>
        </is>
      </c>
      <c r="L2803" s="23" t="inlineStr">
        <is>
          <t>тв</t>
        </is>
      </c>
      <c r="M2803" s="23" t="n">
        <v>351</v>
      </c>
      <c r="N2803" s="23" t="n">
        <v>2022</v>
      </c>
      <c r="O2803" s="23" t="n">
        <v>294</v>
      </c>
      <c r="P2803" s="23" t="n"/>
      <c r="Q2803" s="23" t="n"/>
      <c r="R2803" s="25" t="n"/>
      <c r="S2803" s="26">
        <f>HYPERLINK("http://www.cnpol.ru/covers/20347.jpg","фото на сайте")</f>
        <v/>
      </c>
    </row>
    <row r="2804" ht="50.1" customHeight="1" s="3">
      <c r="A2804" s="23" t="n"/>
      <c r="B2804" s="24" t="inlineStr">
        <is>
          <t>18448</t>
        </is>
      </c>
      <c r="C2804" s="23" t="inlineStr">
        <is>
          <t>НАШИ</t>
        </is>
      </c>
      <c r="D2804" s="23" t="inlineStr">
        <is>
          <t>Слонов И.</t>
        </is>
      </c>
      <c r="E2804" s="23" t="inlineStr">
        <is>
          <t>Наш человек за границей. Путешествия крупного коммерсанта с Никольской улицы по Европе, Азии и Америке, описанные им самим</t>
        </is>
      </c>
      <c r="F2804" s="23" t="inlineStr">
        <is>
          <t>        </t>
        </is>
      </c>
      <c r="G2804" s="23" t="n">
        <v>633</v>
      </c>
      <c r="H2804" s="23" t="n">
        <v>10</v>
      </c>
      <c r="I2804" s="23" t="n">
        <v>14</v>
      </c>
      <c r="J2804" s="23" t="inlineStr">
        <is>
          <t>978-5-227-07870-4</t>
        </is>
      </c>
      <c r="K2804" s="23" t="inlineStr">
        <is>
          <t>84x108 1/32</t>
        </is>
      </c>
      <c r="L2804" s="23" t="inlineStr">
        <is>
          <t>тв</t>
        </is>
      </c>
      <c r="M2804" s="23" t="n">
        <v>320</v>
      </c>
      <c r="N2804" s="23" t="n">
        <v>2019</v>
      </c>
      <c r="O2804" s="23" t="n">
        <v>280</v>
      </c>
      <c r="P2804" s="23" t="n"/>
      <c r="Q2804" s="23" t="n"/>
      <c r="R2804" s="25" t="n"/>
      <c r="S2804" s="26">
        <f>HYPERLINK("http://www.cnpol.ru/covers/18448.jpg","фото на сайте")</f>
        <v/>
      </c>
    </row>
    <row r="2805" ht="50.1" customHeight="1" s="3">
      <c r="A2805" s="23" t="inlineStr">
        <is>
          <t>Д</t>
        </is>
      </c>
      <c r="B2805" s="24" t="inlineStr">
        <is>
          <t>21227</t>
        </is>
      </c>
      <c r="C2805" s="23" t="inlineStr">
        <is>
          <t>НАШИ</t>
        </is>
      </c>
      <c r="D2805" s="23" t="inlineStr">
        <is>
          <t>Лейкин Н.А.</t>
        </is>
      </c>
      <c r="E2805" s="23" t="inlineStr">
        <is>
          <t>Наши за границей. Юмористическое описание поездки супругов Николая Ивановича и Глафиры Семеновны Ивановых в Париж и обратно</t>
        </is>
      </c>
      <c r="F2805" s="23" t="inlineStr">
        <is>
          <t>        </t>
        </is>
      </c>
      <c r="G2805" s="27" t="n">
        <v>1117</v>
      </c>
      <c r="H2805" s="23" t="n">
        <v>10</v>
      </c>
      <c r="I2805" s="23" t="n">
        <v>10</v>
      </c>
      <c r="J2805" s="23" t="inlineStr">
        <is>
          <t>978-5-227-10735-0</t>
        </is>
      </c>
      <c r="K2805" s="23" t="inlineStr">
        <is>
          <t>84x108 1/32</t>
        </is>
      </c>
      <c r="L2805" s="23" t="inlineStr">
        <is>
          <t>тв</t>
        </is>
      </c>
      <c r="M2805" s="23" t="n">
        <v>382</v>
      </c>
      <c r="N2805" s="23" t="n">
        <v>2024</v>
      </c>
      <c r="O2805" s="23" t="n">
        <v>421</v>
      </c>
      <c r="P2805" s="23" t="n"/>
      <c r="Q2805" s="23" t="n"/>
      <c r="R2805" s="25" t="inlineStr">
        <is>
          <t>Н.А. Лейкин — русский писатель, издатель петербургского юмористического еженедельника «Осколки», в котором под псевдонимом А.Чехонте печатался А.П. Чехов._x000D_
Его книга «Наши за границей» — юмористическое описание поездки купеческой четы Николая Ивановича и Глафиры Семеновны Ивановых в Париж и обратно — выдержала до революции 27 изданий и была в свое время очень любима читателями. С течением времени эта история, полная забавных приключений и веселых недоразумений, стала еще смешнее и актуальнее.</t>
        </is>
      </c>
      <c r="S2805" s="26">
        <f>HYPERLINK("http://www.cnpol.ru/covers/21227.jpg","фото на сайте")</f>
        <v/>
      </c>
    </row>
    <row r="2806" ht="50.1" customHeight="1" s="3">
      <c r="A2806" s="23" t="n"/>
      <c r="B2806" s="24" t="inlineStr">
        <is>
          <t>20727</t>
        </is>
      </c>
      <c r="C2806" s="23" t="inlineStr">
        <is>
          <t>НАШИ</t>
        </is>
      </c>
      <c r="D2806" s="23" t="inlineStr">
        <is>
          <t>Лейкин Н.А.</t>
        </is>
      </c>
      <c r="E2806" s="23" t="inlineStr">
        <is>
          <t>Наши забавники. Юмористические рассказы</t>
        </is>
      </c>
      <c r="F2806" s="23" t="inlineStr">
        <is>
          <t>        </t>
        </is>
      </c>
      <c r="G2806" s="23" t="n">
        <v>633</v>
      </c>
      <c r="H2806" s="23" t="n">
        <v>10</v>
      </c>
      <c r="I2806" s="23" t="n">
        <v>12</v>
      </c>
      <c r="J2806" s="23" t="inlineStr">
        <is>
          <t>978-5-227-10385-7</t>
        </is>
      </c>
      <c r="K2806" s="23" t="inlineStr">
        <is>
          <t>84x108 1/32</t>
        </is>
      </c>
      <c r="L2806" s="23" t="inlineStr">
        <is>
          <t>тв</t>
        </is>
      </c>
      <c r="M2806" s="23" t="n">
        <v>351</v>
      </c>
      <c r="N2806" s="23" t="n">
        <v>2023</v>
      </c>
      <c r="O2806" s="23" t="n">
        <v>300</v>
      </c>
      <c r="P2806" s="23" t="n"/>
      <c r="Q2806" s="23" t="n"/>
      <c r="R2806" s="25" t="inlineStr">
        <is>
          <t>Отмечаемые сатириком-классиком конца XIX — начала XX века Николаем Александровичем Лейкиным людские пороки, добродетели и причуды ничуть не изменились со временем, хотя с тех пор и минуло уже более ста лет. Многие типажи, поднимаемые в его творчестве, все так же актуальны сейчас, как и тогда: раздражающая публика в местах культурного досуга, специфическая публика, откликающаяся на объявления, любители давать непрошеные советы, оказывающие назойливое внимание посторонние, ревнивцы, хвастуны и пьяницы. Тут же и животрепещущая тема эпидемий и способов людей справляться не только с заболеваниями, но и с массовой паникой. Кроме созвучных с современными отражаются в текстах и другие темы, за счет интересных бытовых деталей дающие яркое, живое представление об ушедшей эпохе.</t>
        </is>
      </c>
      <c r="S2806" s="26">
        <f>HYPERLINK("http://www.cnpol.ru/covers/20727.jpg","фото на сайте")</f>
        <v/>
      </c>
    </row>
    <row r="2807" ht="50.1" customHeight="1" s="3">
      <c r="A2807" s="23" t="n"/>
      <c r="B2807" s="24" t="inlineStr">
        <is>
          <t>20520</t>
        </is>
      </c>
      <c r="C2807" s="23" t="inlineStr">
        <is>
          <t>НАШИ</t>
        </is>
      </c>
      <c r="D2807" s="23" t="inlineStr">
        <is>
          <t>Лейкин Н.А.</t>
        </is>
      </c>
      <c r="E2807" s="23" t="inlineStr">
        <is>
          <t>Не в масть. Зарисовки из жизни людей и собак</t>
        </is>
      </c>
      <c r="F2807" s="23" t="inlineStr">
        <is>
          <t>        </t>
        </is>
      </c>
      <c r="G2807" s="23" t="n">
        <v>633</v>
      </c>
      <c r="H2807" s="23" t="n">
        <v>10</v>
      </c>
      <c r="I2807" s="23" t="n">
        <v>12</v>
      </c>
      <c r="J2807" s="23" t="inlineStr">
        <is>
          <t>978-5-227-10233-1</t>
        </is>
      </c>
      <c r="K2807" s="23" t="inlineStr">
        <is>
          <t>84x108 1/32</t>
        </is>
      </c>
      <c r="L2807" s="23" t="inlineStr">
        <is>
          <t>тв</t>
        </is>
      </c>
      <c r="M2807" s="23" t="n">
        <v>351</v>
      </c>
      <c r="N2807" s="23" t="n">
        <v>2023</v>
      </c>
      <c r="O2807" s="23" t="n">
        <v>310</v>
      </c>
      <c r="P2807" s="23" t="n"/>
      <c r="Q2807" s="23" t="n"/>
      <c r="R2807" s="25" t="inlineStr">
        <is>
          <t>Порой людям достается собачья доля, а собакам приходится не легче, чем людям. Главная героиня романа «Не в масть», Катерина Петровна, купеческая дочь, выдана замуж на сосватанного ей чиновника и с первого же дня совместной жизни понимает, что он женился на деньгах. В отчаянии она пытается найти себе лучшей доли, только вот куда ей бежать?_x000D_
Главный герой повести «Записки Полкана», пес Полкан, отлично смог бы понять девушку: он сам сбегает из дома, потому что скупые хозяева не хотят платить за него собачий налог, и впутывается в отношения, от которых страдает, но сделать ничего с этим не может._x000D_
Как и всегда, книга мастера сатиры Н.А. Лейкина наполнена тончайшими наблюдениями за жизнью современного ему общества, смешные строки сменяются грустными и наоборот, он смело обличает окружающие его пороки, высмеивая их.</t>
        </is>
      </c>
      <c r="S2807" s="26">
        <f>HYPERLINK("http://www.cnpol.ru/covers/20520.jpg","фото на сайте")</f>
        <v/>
      </c>
    </row>
    <row r="2808" ht="50.1" customHeight="1" s="3">
      <c r="A2808" s="23" t="n"/>
      <c r="B2808" s="24" t="inlineStr">
        <is>
          <t>20302</t>
        </is>
      </c>
      <c r="C2808" s="23" t="inlineStr">
        <is>
          <t>НАШИ</t>
        </is>
      </c>
      <c r="D2808" s="23" t="inlineStr">
        <is>
          <t>Лейкин Н.А.</t>
        </is>
      </c>
      <c r="E2808" s="23" t="inlineStr">
        <is>
          <t>Неунывающие россияне. Рассказы и картинки с натуры</t>
        </is>
      </c>
      <c r="F2808" s="23" t="inlineStr">
        <is>
          <t>        </t>
        </is>
      </c>
      <c r="G2808" s="23" t="n">
        <v>633</v>
      </c>
      <c r="H2808" s="23" t="n">
        <v>10</v>
      </c>
      <c r="I2808" s="23" t="n">
        <v>10</v>
      </c>
      <c r="J2808" s="23" t="inlineStr">
        <is>
          <t>978-5-227-09981-5</t>
        </is>
      </c>
      <c r="K2808" s="23" t="inlineStr">
        <is>
          <t>84x108 1/32</t>
        </is>
      </c>
      <c r="L2808" s="23" t="inlineStr">
        <is>
          <t>тв</t>
        </is>
      </c>
      <c r="M2808" s="23" t="n">
        <v>416</v>
      </c>
      <c r="N2808" s="23" t="n">
        <v>2022</v>
      </c>
      <c r="O2808" s="23" t="n">
        <v>360</v>
      </c>
      <c r="P2808" s="23" t="n"/>
      <c r="Q2808" s="23" t="n"/>
      <c r="R2808" s="25" t="n"/>
      <c r="S2808" s="26">
        <f>HYPERLINK("http://www.cnpol.ru/covers/20302.jpg","фото на сайте")</f>
        <v/>
      </c>
    </row>
    <row r="2809" ht="50.1" customHeight="1" s="3">
      <c r="A2809" s="23" t="n"/>
      <c r="B2809" s="24" t="inlineStr">
        <is>
          <t>20505</t>
        </is>
      </c>
      <c r="C2809" s="23" t="inlineStr">
        <is>
          <t>НАШИ</t>
        </is>
      </c>
      <c r="D2809" s="23" t="inlineStr">
        <is>
          <t>Лейкин Н.А.</t>
        </is>
      </c>
      <c r="E2809" s="23" t="inlineStr">
        <is>
          <t>От него к ней и от нее к нему. Веселые рассказы</t>
        </is>
      </c>
      <c r="F2809" s="23" t="inlineStr">
        <is>
          <t>        </t>
        </is>
      </c>
      <c r="G2809" s="23" t="n">
        <v>633</v>
      </c>
      <c r="H2809" s="23" t="n">
        <v>10</v>
      </c>
      <c r="I2809" s="23" t="n">
        <v>12</v>
      </c>
      <c r="J2809" s="23" t="inlineStr">
        <is>
          <t>978-5-227-09973-0</t>
        </is>
      </c>
      <c r="K2809" s="23" t="inlineStr">
        <is>
          <t>84x100 1/32</t>
        </is>
      </c>
      <c r="L2809" s="23" t="inlineStr">
        <is>
          <t>тв</t>
        </is>
      </c>
      <c r="M2809" s="23" t="n">
        <v>351</v>
      </c>
      <c r="N2809" s="23" t="n">
        <v>2023</v>
      </c>
      <c r="O2809" s="23" t="n">
        <v>350</v>
      </c>
      <c r="P2809" s="23" t="n"/>
      <c r="Q2809" s="23" t="n"/>
      <c r="R2809" s="25" t="inlineStr">
        <is>
          <t>В этом сборнике Николая Александровича Лейкина, сатирика-классика конца XIX века, как и всегда, представлено обилие бытовых подробностей и примет времени, а темы у рассказов актуальны во все времена. Произвол богачей, эмоциональный шантаж для вымогания денег (как детьми родителей, так и «кавалерами» наивных дам), легкомысленность юных девушек, чрезмерная болтливость. Не обходит автор стороной и такие по сей день животрепещущие темы, как странные попутчики в поезде, поведение в очередях, страстное желание кутить и вездесущее пьянство. Сами затронутые явления смешными назвать сложно, но в том и сила талантливого юмориста, чтобы не только изобличать пороки общества, но и делать это весело. Завершает сборник объемный рассказ с вкраплениями уморительных пародий на современников Н.А. Лейкина.</t>
        </is>
      </c>
      <c r="S2809" s="26">
        <f>HYPERLINK("http://www.cnpol.ru/covers/20505.jpg","фото на сайте")</f>
        <v/>
      </c>
    </row>
    <row r="2810" ht="50.1" customHeight="1" s="3">
      <c r="A2810" s="23" t="inlineStr">
        <is>
          <t>Д</t>
        </is>
      </c>
      <c r="B2810" s="24" t="inlineStr">
        <is>
          <t>21658</t>
        </is>
      </c>
      <c r="C2810" s="23" t="inlineStr">
        <is>
          <t>НАШИ</t>
        </is>
      </c>
      <c r="D2810" s="23" t="inlineStr">
        <is>
          <t>Лейкин Н.А.</t>
        </is>
      </c>
      <c r="E2810" s="23" t="inlineStr">
        <is>
          <t>Под южными небесами. Юмористическое описание поездки супругов Николая Ивановича и Глафиры Семеновны</t>
        </is>
      </c>
      <c r="F2810" s="23" t="inlineStr">
        <is>
          <t>        </t>
        </is>
      </c>
      <c r="G2810" s="27" t="n">
        <v>1184</v>
      </c>
      <c r="H2810" s="23" t="n">
        <v>10</v>
      </c>
      <c r="I2810" s="23" t="n">
        <v>5</v>
      </c>
      <c r="J2810" s="23" t="inlineStr">
        <is>
          <t>978-5-227-11076-3</t>
        </is>
      </c>
      <c r="K2810" s="23" t="inlineStr">
        <is>
          <t>84x108 1/32</t>
        </is>
      </c>
      <c r="L2810" s="23" t="inlineStr">
        <is>
          <t>тв</t>
        </is>
      </c>
      <c r="M2810" s="23" t="n">
        <v>414</v>
      </c>
      <c r="N2810" s="23" t="n">
        <v>2025</v>
      </c>
      <c r="O2810" s="23" t="n">
        <v>445</v>
      </c>
      <c r="P2810" s="23" t="n"/>
      <c r="Q2810" s="23" t="n"/>
      <c r="R2810" s="25" t="inlineStr">
        <is>
          <t>Книга русского писателя, журналиста и редактора-издателя юмористического журнала «Осколки» Николая Александровича Лейкина «Под южными небесами» из серии «Наши едут по Е¬вропам» — это юмористическое описание путешествия супругов Николая Ивановича и Глафиры Семеновны Ивановых в Биарриц и Мадрид, где они постоянно попадают в уморительно смешные ситуации.</t>
        </is>
      </c>
      <c r="S2810" s="26">
        <f>HYPERLINK("http://www.cnpol.ru/covers/21658.jpg","фото на сайте")</f>
        <v/>
      </c>
    </row>
    <row r="2811" ht="50.1" customHeight="1" s="3">
      <c r="A2811" s="23" t="n"/>
      <c r="B2811" s="24" t="inlineStr">
        <is>
          <t>20653</t>
        </is>
      </c>
      <c r="C2811" s="23" t="inlineStr">
        <is>
          <t>НАШИ</t>
        </is>
      </c>
      <c r="D2811" s="23" t="inlineStr">
        <is>
          <t>Лейкин Н.А.</t>
        </is>
      </c>
      <c r="E2811" s="23" t="inlineStr">
        <is>
          <t>Ради потехи. Юмористические шалости пера</t>
        </is>
      </c>
      <c r="F2811" s="23" t="inlineStr">
        <is>
          <t>        </t>
        </is>
      </c>
      <c r="G2811" s="23" t="n">
        <v>633</v>
      </c>
      <c r="H2811" s="23" t="n">
        <v>10</v>
      </c>
      <c r="I2811" s="23" t="n">
        <v>14</v>
      </c>
      <c r="J2811" s="23" t="inlineStr">
        <is>
          <t>978-5-227-10238-6</t>
        </is>
      </c>
      <c r="K2811" s="23" t="inlineStr">
        <is>
          <t>84x108 1/32</t>
        </is>
      </c>
      <c r="L2811" s="23" t="inlineStr">
        <is>
          <t>тв</t>
        </is>
      </c>
      <c r="M2811" s="23" t="n">
        <v>318</v>
      </c>
      <c r="N2811" s="23" t="n">
        <v>2023</v>
      </c>
      <c r="O2811" s="23" t="n">
        <v>270</v>
      </c>
      <c r="P2811" s="23" t="n"/>
      <c r="Q2811" s="23" t="n"/>
      <c r="R2811" s="25" t="inlineStr">
        <is>
          <t>В очередном сборнике юмористических рассказов Николай Александрович Лейкин удивляет необычными историями из жизни обыкновенных, привычных бытовых предметов: штопора, бутылки шампанского, мелкой купюры, еды и даже рояля. Каждый предмет преломляет происходящее вокруг через свою уникальную призму, пронизывая повествование как символичностью, так и интересными деталями. Не обошел автор вниманием свои излюбленные и хорошо изученные темы, в меньшей степени связанные с предметами: купечество и его образ жизни, странные попутчики в ­дороге, дачники и игроки, бедность и пьянство. Что бы ни происходило вокруг него, он внимательно подмечает и описывает все, на что падает его взор, будь то определение времени дня по занятиям дам или лунное затмение, и получается это весьма остроумно.</t>
        </is>
      </c>
      <c r="S2811" s="26">
        <f>HYPERLINK("http://www.cnpol.ru/covers/20653.jpg","фото на сайте")</f>
        <v/>
      </c>
    </row>
    <row r="2812" ht="50.1" customHeight="1" s="3">
      <c r="A2812" s="23" t="n"/>
      <c r="B2812" s="24" t="inlineStr">
        <is>
          <t>20845</t>
        </is>
      </c>
      <c r="C2812" s="23" t="inlineStr">
        <is>
          <t>НАШИ</t>
        </is>
      </c>
      <c r="D2812" s="23" t="inlineStr">
        <is>
          <t>Лейкин Н.А.</t>
        </is>
      </c>
      <c r="E2812" s="23" t="inlineStr">
        <is>
          <t>Сатир и нимфа, или Похождения Трифона Ивановича и Акулины Степановны</t>
        </is>
      </c>
      <c r="F2812" s="23" t="inlineStr">
        <is>
          <t>        </t>
        </is>
      </c>
      <c r="G2812" s="23" t="n">
        <v>633</v>
      </c>
      <c r="H2812" s="23" t="n">
        <v>10</v>
      </c>
      <c r="I2812" s="23" t="n">
        <v>10</v>
      </c>
      <c r="J2812" s="23" t="inlineStr">
        <is>
          <t>978-5-227-10397-0</t>
        </is>
      </c>
      <c r="K2812" s="23" t="inlineStr">
        <is>
          <t>84x108 1/32</t>
        </is>
      </c>
      <c r="L2812" s="23" t="inlineStr">
        <is>
          <t>тв</t>
        </is>
      </c>
      <c r="M2812" s="23" t="n">
        <v>479</v>
      </c>
      <c r="N2812" s="23" t="n">
        <v>2023</v>
      </c>
      <c r="O2812" s="23" t="n">
        <v>369</v>
      </c>
      <c r="P2812" s="23" t="n"/>
      <c r="Q2812" s="23" t="n"/>
      <c r="R2812" s="25" t="inlineStr">
        <is>
          <t>Бытописец России конца XIX — начала XX века, сатирик Николай Александрович Лейкин как всегда точно ухватывает подсмотренные им в жизни образы соотечественников самых разных сословий и характеров. В этом, в чем-то смешном, а в чем-то грустном романе остроумно обыграны самые разные типы персонажей. Одинокий пожилой купец Трифон Иванович Заколов проникается теплыми чувствами к своей кухарке Акулине. Скромная и тихая женщина по-настоящему преображается под влиянием своего нового статуса в доме, и динамика между «сатиром» и «нимфой» кардинально меняется. Подруга-горничная дает Акулине полезные, с ее точки зрения, советы, а родственник из деревни просится на хлебное место, и далеко не сразу ясно, к чему приведет цепь событий, начавшаяся с простой симпатии.</t>
        </is>
      </c>
      <c r="S2812" s="26">
        <f>HYPERLINK("http://www.cnpol.ru/covers/20845.jpg","фото на сайте")</f>
        <v/>
      </c>
    </row>
    <row r="2813" ht="50.1" customHeight="1" s="3">
      <c r="A2813" s="23" t="n"/>
      <c r="B2813" s="24" t="inlineStr">
        <is>
          <t>20598</t>
        </is>
      </c>
      <c r="C2813" s="23" t="inlineStr">
        <is>
          <t>НАШИ</t>
        </is>
      </c>
      <c r="D2813" s="23" t="inlineStr">
        <is>
          <t>Лейкин Н.А.</t>
        </is>
      </c>
      <c r="E2813" s="23" t="inlineStr">
        <is>
          <t>Странствующая труппа. Роман в двух частях</t>
        </is>
      </c>
      <c r="F2813" s="23" t="inlineStr">
        <is>
          <t>        </t>
        </is>
      </c>
      <c r="G2813" s="23" t="n">
        <v>633</v>
      </c>
      <c r="H2813" s="23" t="n">
        <v>10</v>
      </c>
      <c r="I2813" s="23" t="n">
        <v>14</v>
      </c>
      <c r="J2813" s="23" t="inlineStr">
        <is>
          <t>978-5-227-10235-5</t>
        </is>
      </c>
      <c r="K2813" s="23" t="inlineStr">
        <is>
          <t>84x108 1/32</t>
        </is>
      </c>
      <c r="L2813" s="23" t="inlineStr">
        <is>
          <t>тв</t>
        </is>
      </c>
      <c r="M2813" s="23" t="n">
        <v>319</v>
      </c>
      <c r="N2813" s="23" t="n">
        <v>2023</v>
      </c>
      <c r="O2813" s="23" t="n">
        <v>315</v>
      </c>
      <c r="P2813" s="23" t="n"/>
      <c r="Q2813" s="23" t="n"/>
      <c r="R2813" s="25" t="inlineStr">
        <is>
          <t>Тяжело пришлось не получившим ангажемента на зимний сезон актерам небольшой труппы Котомцева, приходится им скитаться по маленьким уездным городам и пытаться привлекать публику там, а не в столице. Публика эта, однако же, с куда большим удовольствием будет смотреть не пьесы Островского (а ведь купцы еще и обидятся, что над ними смеются), а фокусников, клоунов и дрессированных собак. Так и оказываются актеры в долгах как в шелках, но все равно пытаются ставить спектакли с надеждой получить достаточный сбор. И как будто мало было им своих проблем, за ними увязывается молодой купеческий сын, плененный красотой одной из актрис. Как и всегда у Н.А. Лейкина, читателя ждут отточенный стиль мастера-сатирика, смех сквозь слезы и множество интереснейших бытовых подробностей и примет времени.</t>
        </is>
      </c>
      <c r="S2813" s="26">
        <f>HYPERLINK("http://www.cnpol.ru/covers/20598.jpg","фото на сайте")</f>
        <v/>
      </c>
    </row>
    <row r="2814" ht="50.1" customHeight="1" s="3">
      <c r="A2814" s="23" t="n"/>
      <c r="B2814" s="24" t="inlineStr">
        <is>
          <t>20906</t>
        </is>
      </c>
      <c r="C2814" s="23" t="inlineStr">
        <is>
          <t>НАШИ</t>
        </is>
      </c>
      <c r="D2814" s="23" t="inlineStr">
        <is>
          <t>Лейкин Н.А.</t>
        </is>
      </c>
      <c r="E2814" s="23" t="inlineStr">
        <is>
          <t>Стукин и Хрустальников: банковая эпопея</t>
        </is>
      </c>
      <c r="F2814" s="23" t="inlineStr">
        <is>
          <t>        </t>
        </is>
      </c>
      <c r="G2814" s="23" t="n">
        <v>633</v>
      </c>
      <c r="H2814" s="23" t="n">
        <v>10</v>
      </c>
      <c r="I2814" s="23" t="n">
        <v>12</v>
      </c>
      <c r="J2814" s="23" t="inlineStr">
        <is>
          <t>978-5-227-10398-7</t>
        </is>
      </c>
      <c r="K2814" s="23" t="inlineStr">
        <is>
          <t>84x108 1/32</t>
        </is>
      </c>
      <c r="L2814" s="23" t="inlineStr">
        <is>
          <t>тв</t>
        </is>
      </c>
      <c r="M2814" s="23" t="n">
        <v>351</v>
      </c>
      <c r="N2814" s="23" t="n">
        <v>2023</v>
      </c>
      <c r="O2814" s="23" t="n">
        <v>295</v>
      </c>
      <c r="P2814" s="23" t="n"/>
      <c r="Q2814" s="23" t="n"/>
      <c r="R2814" s="25" t="inlineStr">
        <is>
          <t>Антон Павлович Чехов, прочитав новую книгу Николая Александровича Лейкина, писал ему в личной переписке: «„Стукин“ имеет значение серьезное и стоит многого (по моему мнению) и будет служить чуть ли не единственным памятником банковских безобразий нашего времени; к тому же фигурируют в нем… птицы более высшего порядка. Если в „Сатире“ [имеется в виду роман «Сатир и нимфа», уже выходивший в нашем издательстве] хороши частности, то „Стукин“ хорош в общем». Сложно не разделить мнение отечественного классика и не увлечься как многочисленными интригами, так и многочисленными яркими бытовыми деталями, делающими повествование таким интересным и достоверным. Мелкий банковский служащий Стукин получает возможность продвинуться по карьерной лестнице благодаря тому, что директор банка Хрустальников выбирает его, чтобы выдать за него свою беременную любовницу. Однако это не единственная возможность, которой пользуется Стукин…</t>
        </is>
      </c>
      <c r="S2814" s="26">
        <f>HYPERLINK("http://www.cnpol.ru/covers/20906.jpg","фото на сайте")</f>
        <v/>
      </c>
    </row>
    <row r="2815" ht="50.1" customHeight="1" s="3">
      <c r="A2815" s="23" t="inlineStr">
        <is>
          <t>Н</t>
        </is>
      </c>
      <c r="B2815" s="24" t="inlineStr">
        <is>
          <t>20995</t>
        </is>
      </c>
      <c r="C2815" s="23" t="inlineStr">
        <is>
          <t>НАШИ</t>
        </is>
      </c>
      <c r="D2815" s="23" t="inlineStr">
        <is>
          <t>Лейкин Н.А.</t>
        </is>
      </c>
      <c r="E2815" s="23" t="inlineStr">
        <is>
          <t>Тщеславие и жадность. Две повести</t>
        </is>
      </c>
      <c r="F2815" s="23" t="inlineStr">
        <is>
          <t>        </t>
        </is>
      </c>
      <c r="G2815" s="23" t="n">
        <v>633</v>
      </c>
      <c r="H2815" s="23" t="n">
        <v>10</v>
      </c>
      <c r="I2815" s="23" t="n">
        <v>14</v>
      </c>
      <c r="J2815" s="23" t="inlineStr">
        <is>
          <t>978-5-227-10399-4</t>
        </is>
      </c>
      <c r="K2815" s="23" t="inlineStr">
        <is>
          <t>84x108 1/32</t>
        </is>
      </c>
      <c r="L2815" s="23" t="inlineStr">
        <is>
          <t>тв</t>
        </is>
      </c>
      <c r="M2815" s="23" t="n">
        <v>287</v>
      </c>
      <c r="N2815" s="23" t="n">
        <v>2024</v>
      </c>
      <c r="O2815" s="23" t="n">
        <v>250</v>
      </c>
      <c r="P2815" s="23" t="n"/>
      <c r="Q2815" s="23" t="n"/>
      <c r="R2815" s="25" t="inlineStr">
        <is>
          <t>Николай Александрович Лейкин как всегда выпукло и ярко изображает пороки, именем которых и названы две повести этого сборника. В первой повести считающий себя выше своих «серых» собратьев купец изо всех сил старается впечатлить высшее общество, а во второй отставной чиновник, напоминающий скупого рыцаря, экономит каждую копейку даже на самом необходимом, чтобы делать вклады. Однако этим автор не ограничивается: хоть краски и намеренно сгущаются для вящего комизма, его персонажи многогранные и очень человеческие во всех своих проявлениях. Написанные больше ста лет назад, эти тексты по-настоящему актуальны в любые времена, потому что ни тщеславие, ни жадность людская не меняются. Меняются только детали, кстати, очень тонко подмеченные автором и делающие произведение интересным еще и с точки зрения отечественной бытовой истории.</t>
        </is>
      </c>
      <c r="S2815" s="26">
        <f>HYPERLINK("http://www.cnpol.ru/covers/20995.jpg","фото на сайте")</f>
        <v/>
      </c>
    </row>
    <row r="2816" ht="50.1" customHeight="1" s="3">
      <c r="A2816" s="23" t="n"/>
      <c r="B2816" s="24" t="inlineStr">
        <is>
          <t>20675</t>
        </is>
      </c>
      <c r="C2816" s="23" t="inlineStr">
        <is>
          <t>НАШИ</t>
        </is>
      </c>
      <c r="D2816" s="23" t="inlineStr">
        <is>
          <t>Лейкин Н.А.</t>
        </is>
      </c>
      <c r="E2816" s="23" t="inlineStr">
        <is>
          <t>Хлебный вопрос. Юмористические рассказы</t>
        </is>
      </c>
      <c r="F2816" s="23" t="inlineStr">
        <is>
          <t>        </t>
        </is>
      </c>
      <c r="G2816" s="23" t="n">
        <v>633</v>
      </c>
      <c r="H2816" s="23" t="n">
        <v>10</v>
      </c>
      <c r="I2816" s="23" t="n">
        <v>14</v>
      </c>
      <c r="J2816" s="23" t="inlineStr">
        <is>
          <t>978-5-227-10240-9</t>
        </is>
      </c>
      <c r="K2816" s="23" t="inlineStr">
        <is>
          <t>84x108 1/32</t>
        </is>
      </c>
      <c r="L2816" s="23" t="inlineStr">
        <is>
          <t>тв</t>
        </is>
      </c>
      <c r="M2816" s="23" t="n">
        <v>286</v>
      </c>
      <c r="N2816" s="23" t="n">
        <v>2023</v>
      </c>
      <c r="O2816" s="23" t="n">
        <v>258</v>
      </c>
      <c r="P2816" s="23" t="n"/>
      <c r="Q2816" s="23" t="n"/>
      <c r="R2816" s="25" t="inlineStr">
        <is>
          <t>В этом сборнике юмористических рассказов Николай Александрович Лейкин касается как тем актуальных во все времена, так и характерных для конца XIX — начала XX века. Это финансовые трудности, постигшие героев по тем или иным причинам, и их старания справиться с тяжелыми жизненными обстоятельствами или просто обогатиться. Это проблемы с коммунальными услугами, работой прислуги и прочих наемных тружеников, интересно раскрывающие приметы времени. Цель персонажей большей части рассказов, в том числе и заглавного «Хлебного вопроса», — удачно жениться или выйти замуж, и к каким только ухищрениям люди не прибегают, чтобы достичь желаемого. Погрузиться в быт прошедшей эпохи и подивиться человеческой изобретательности и приглашает писатель-острослов.</t>
        </is>
      </c>
      <c r="S2816" s="26">
        <f>HYPERLINK("http://www.cnpol.ru/covers/20675.jpg","фото на сайте")</f>
        <v/>
      </c>
    </row>
    <row r="2817" ht="50.1" customHeight="1" s="3">
      <c r="A2817" s="23" t="n"/>
      <c r="B2817" s="24" t="inlineStr">
        <is>
          <t>20802</t>
        </is>
      </c>
      <c r="C2817" s="23" t="inlineStr">
        <is>
          <t>НАШИ</t>
        </is>
      </c>
      <c r="D2817" s="23" t="inlineStr">
        <is>
          <t>Лейкин Н.А.</t>
        </is>
      </c>
      <c r="E2817" s="23" t="inlineStr">
        <is>
          <t>Цветы лазоревые. Юмористические рассказы</t>
        </is>
      </c>
      <c r="F2817" s="23" t="inlineStr">
        <is>
          <t>        </t>
        </is>
      </c>
      <c r="G2817" s="23" t="n">
        <v>633</v>
      </c>
      <c r="H2817" s="23" t="n">
        <v>10</v>
      </c>
      <c r="I2817" s="23" t="n">
        <v>12</v>
      </c>
      <c r="J2817" s="23" t="inlineStr">
        <is>
          <t>978-5-227-10419-9</t>
        </is>
      </c>
      <c r="K2817" s="23" t="inlineStr">
        <is>
          <t>84x108 1/32</t>
        </is>
      </c>
      <c r="L2817" s="23" t="inlineStr">
        <is>
          <t>тв</t>
        </is>
      </c>
      <c r="M2817" s="23" t="n">
        <v>383</v>
      </c>
      <c r="N2817" s="23" t="n">
        <v>2023</v>
      </c>
      <c r="O2817" s="23" t="n">
        <v>327</v>
      </c>
      <c r="P2817" s="23" t="n"/>
      <c r="Q2817" s="23" t="n"/>
      <c r="R2817" s="25" t="inlineStr">
        <is>
          <t>Известный писатель конца XIX — начала XX века Николай Александрович Лейкин внимательно подмечает и ярко описывает в своих рассказах характерные приметы времени, что делает его произведения не только водоворотом образов и ситуаций, но и своеобразной энциклопедией российской жизни на рубеже столетий. В этом сборнике охвачена жизнь во всем ее многообразии, и многие иронично обыгранные темы, такие как суеверия, сплетни, семейные дрязги, бедность и нищета, бюрократия, показуха в благотворительности и повсеместное пьянство, отзываются в читателях и сейчас. Разыгрываются и сценки, характерные именно для того периода: отношения обнищавшего дворянства и новых хозяев жизни — купцов. Высмеивается, хотя, скорее, и по-доброму, ограниченность последних и желание решить любую проблему с помощью денег — например, купить главную роль в пьесе.</t>
        </is>
      </c>
      <c r="S2817" s="26">
        <f>HYPERLINK("http://www.cnpol.ru/covers/20802.jpg","фото на сайте")</f>
        <v/>
      </c>
    </row>
    <row r="2818" ht="50.1" customHeight="1" s="3">
      <c r="A2818" s="23" t="n"/>
      <c r="B2818" s="24" t="inlineStr">
        <is>
          <t>20379</t>
        </is>
      </c>
      <c r="C2818" s="23" t="inlineStr">
        <is>
          <t>НАШИ</t>
        </is>
      </c>
      <c r="D2818" s="23" t="inlineStr">
        <is>
          <t>Лейкин Н.А.</t>
        </is>
      </c>
      <c r="E2818" s="23" t="inlineStr">
        <is>
          <t>Шуты гороховые. Картинки с натуры</t>
        </is>
      </c>
      <c r="F2818" s="23" t="inlineStr">
        <is>
          <t>        </t>
        </is>
      </c>
      <c r="G2818" s="23" t="n">
        <v>633</v>
      </c>
      <c r="H2818" s="23" t="n">
        <v>10</v>
      </c>
      <c r="I2818" s="23" t="n">
        <v>12</v>
      </c>
      <c r="J2818" s="23" t="inlineStr">
        <is>
          <t>978-5-227-09740-8</t>
        </is>
      </c>
      <c r="K2818" s="23" t="inlineStr">
        <is>
          <t>84x108 1/32</t>
        </is>
      </c>
      <c r="L2818" s="23" t="inlineStr">
        <is>
          <t>тв</t>
        </is>
      </c>
      <c r="M2818" s="23" t="n">
        <v>351</v>
      </c>
      <c r="N2818" s="23" t="n">
        <v>2022</v>
      </c>
      <c r="O2818" s="23" t="n">
        <v>296</v>
      </c>
      <c r="P2818" s="23" t="n"/>
      <c r="Q2818" s="23" t="n"/>
      <c r="R2818" s="25" t="inlineStr">
        <is>
          <t>В этом сборнике рассказов перед читателем предстает парад мест, событий, действующих лиц и ситуаций, характерных для конца XIX века и изображенных в свойственном известному сатирику-классику Н.А. Лейкину ироническом ключе. Во всем можно найти смешную сторону, и все люди, можно сказать, шуты гороховые, если взглянуть с определенного угла, а герои зарисовок-наблюдений автора-юмориста — так уж точно. Однако рассказы отнюдь не однобоки, они не демонстрируют только веселые и до смешного неприглядные стороны человеческой натуры, но и показывают грустные, лирические сцены. Как в прошлом, так и  теперь жизнь на удивление многогранна, и творчество Н.А. Лейкина в полной мере раскрывает ее разносторонность.</t>
        </is>
      </c>
      <c r="S2818" s="26">
        <f>HYPERLINK("http://www.cnpol.ru/covers/20379.jpg","фото на сайте")</f>
        <v/>
      </c>
    </row>
    <row r="2819" ht="50.1" customHeight="1" s="3">
      <c r="A2819" s="23" t="n"/>
      <c r="B2819" s="24" t="inlineStr">
        <is>
          <t>11840</t>
        </is>
      </c>
      <c r="C2819" s="23" t="inlineStr">
        <is>
          <t>НИ СРП</t>
        </is>
      </c>
      <c r="D2819" s="23" t="inlineStr">
        <is>
          <t>Мартиди Е.</t>
        </is>
      </c>
      <c r="E2819" s="23" t="inlineStr">
        <is>
          <t>Дневники Танго</t>
        </is>
      </c>
      <c r="F2819" s="23" t="inlineStr">
        <is>
          <t>        </t>
        </is>
      </c>
      <c r="G2819" s="23" t="n">
        <v>338</v>
      </c>
      <c r="H2819" s="23" t="n">
        <v>10</v>
      </c>
      <c r="I2819" s="23" t="n">
        <v>24</v>
      </c>
      <c r="J2819" s="23" t="inlineStr">
        <is>
          <t>978-5-227-01953-0</t>
        </is>
      </c>
      <c r="K2819" s="23" t="inlineStr">
        <is>
          <t>84x108 1/32</t>
        </is>
      </c>
      <c r="L2819" s="23" t="inlineStr">
        <is>
          <t>тв</t>
        </is>
      </c>
      <c r="M2819" s="23" t="n">
        <v>191</v>
      </c>
      <c r="N2819" s="23" t="n">
        <v>2010</v>
      </c>
      <c r="O2819" s="23" t="n">
        <v>242</v>
      </c>
      <c r="P2819" s="23" t="n"/>
      <c r="Q2819" s="23" t="n"/>
      <c r="R2819" s="25" t="inlineStr">
        <is>
          <t>Аргентинское танго.Танец страсти и любви? Нет, танец похоти и одиночества. Вирус, который стремительно распространяется по всему миру. Что заставляет людей, забыв все на свете, с головой окунуться в танго? Ни один преподаватель танцевальной школы не предупредит вас об этом. Ни один тангоман вам в этом не признается. Но после "опыта танго" ваша жизнь изменится раз и навсегда. А испытав однажды "эффект танго", вам захочется переживать его снова и снова. Череда восторгов и разочарований, побед и поражений, конфузов и триумфа, весь спектр острых ощущений-в романе "Дневники Танго".</t>
        </is>
      </c>
      <c r="S2819" s="26">
        <f>HYPERLINK("http://www.cnpol.ru/covers/11840.jpg","фото на сайте")</f>
        <v/>
      </c>
    </row>
    <row r="2820" ht="50.1" customHeight="1" s="3">
      <c r="A2820" s="23" t="n"/>
      <c r="B2820" s="24" t="inlineStr">
        <is>
          <t>18623</t>
        </is>
      </c>
      <c r="C2820" s="23" t="inlineStr">
        <is>
          <t>НИКТО КРОМЕ НАС</t>
        </is>
      </c>
      <c r="D2820" s="23" t="inlineStr">
        <is>
          <t>Группа</t>
        </is>
      </c>
      <c r="E2820" s="23" t="inlineStr">
        <is>
          <t>350 гвардейский парашютно-десантный Краснознаменный ордена Суворова полк</t>
        </is>
      </c>
      <c r="F2820" s="23" t="inlineStr">
        <is>
          <t>        </t>
        </is>
      </c>
      <c r="G2820" s="27" t="n">
        <v>6318</v>
      </c>
      <c r="H2820" s="23" t="n">
        <v>10</v>
      </c>
      <c r="I2820" s="23" t="n">
        <v>3</v>
      </c>
      <c r="J2820" s="23" t="inlineStr">
        <is>
          <t>978-5-227-08310-4</t>
        </is>
      </c>
      <c r="K2820" s="23" t="inlineStr">
        <is>
          <t>84x108 1/12</t>
        </is>
      </c>
      <c r="L2820" s="23" t="inlineStr">
        <is>
          <t>тв</t>
        </is>
      </c>
      <c r="M2820" s="23" t="n">
        <v>480</v>
      </c>
      <c r="N2820" s="23" t="n">
        <v>2019</v>
      </c>
      <c r="O2820" s="23" t="n">
        <v>2202</v>
      </c>
      <c r="P2820" s="23" t="n"/>
      <c r="Q2820" s="23" t="n"/>
      <c r="R2820" s="25" t="n"/>
      <c r="S2820" s="26">
        <f>HYPERLINK("http://www.cnpol.ru/covers/18623.jpg","фото на сайте")</f>
        <v/>
      </c>
    </row>
    <row r="2821" ht="50.1" customHeight="1" s="3">
      <c r="A2821" s="23" t="n"/>
      <c r="B2821" s="24" t="inlineStr">
        <is>
          <t>20428</t>
        </is>
      </c>
      <c r="C2821" s="23" t="inlineStr">
        <is>
          <t>НЛФ</t>
        </is>
      </c>
      <c r="D2821" s="23" t="inlineStr">
        <is>
          <t>Киселев И.В.</t>
        </is>
      </c>
      <c r="E2821" s="23" t="inlineStr">
        <is>
          <t>Армия и флот в битве за Кавказ. Совместные операции на Черноморском побережье 1942–1943 гг.</t>
        </is>
      </c>
      <c r="F2821" s="23" t="inlineStr">
        <is>
          <t>        </t>
        </is>
      </c>
      <c r="G2821" s="23" t="n">
        <v>508</v>
      </c>
      <c r="H2821" s="23" t="n">
        <v>10</v>
      </c>
      <c r="I2821" s="23" t="n">
        <v>22</v>
      </c>
      <c r="J2821" s="23" t="inlineStr">
        <is>
          <t>978-5-227-09923-5</t>
        </is>
      </c>
      <c r="K2821" s="23" t="inlineStr">
        <is>
          <t>84x108 1/32</t>
        </is>
      </c>
      <c r="L2821" s="23" t="inlineStr">
        <is>
          <t>тв</t>
        </is>
      </c>
      <c r="M2821" s="23" t="n">
        <v>191</v>
      </c>
      <c r="N2821" s="23" t="n">
        <v>2022</v>
      </c>
      <c r="O2821" s="23" t="n">
        <v>218</v>
      </c>
      <c r="P2821" s="23" t="n"/>
      <c r="Q2821" s="23" t="n"/>
      <c r="R2821" s="25" t="inlineStr">
        <is>
          <t>Битва за Кавказ 1942—1943 гг. стала одной из самых значимых и продолжительных в истории Великой Отечественной войны. В монографии кандидата исторических наук И.В. Киселева рассматриваются совместные действия советских войск и военно-морского флота в ходе этого сражения. Основное внимание уделено сражениям на берегах Черного и Азовского морей: борьбе за Новороссийск и Таманский полуостров, боям под Ейском, Темрюком и Туапсе. Книга написана на основе многочисленных советских и немецких документов, дневников и воспоминаний участников боев, исследований отечественных и зарубежных историков. Она посвящается защитникам Родины, советским солдатам и морякам, отстоявшим Кавказ и завоевавшим Победу в Великой Отечественной войне 1941—1945 гг.</t>
        </is>
      </c>
      <c r="S2821" s="26">
        <f>HYPERLINK("http://www.cnpol.ru/covers/20428.jpg","фото на сайте")</f>
        <v/>
      </c>
    </row>
    <row r="2822" ht="50.1" customHeight="1" s="3">
      <c r="A2822" s="23" t="n"/>
      <c r="B2822" s="24" t="inlineStr">
        <is>
          <t>16580</t>
        </is>
      </c>
      <c r="C2822" s="23" t="inlineStr">
        <is>
          <t>НЛФ</t>
        </is>
      </c>
      <c r="D2822" s="23" t="inlineStr">
        <is>
          <t>Дегтев Д., Зубов Д.</t>
        </is>
      </c>
      <c r="E2822" s="23" t="inlineStr">
        <is>
          <t>Будни советского тыла</t>
        </is>
      </c>
      <c r="F2822" s="23" t="inlineStr">
        <is>
          <t>        </t>
        </is>
      </c>
      <c r="G2822" s="23" t="n">
        <v>554</v>
      </c>
      <c r="H2822" s="23" t="n">
        <v>10</v>
      </c>
      <c r="I2822" s="23" t="n">
        <v>14</v>
      </c>
      <c r="J2822" s="23" t="inlineStr">
        <is>
          <t>978-5-227-06519-3</t>
        </is>
      </c>
      <c r="K2822" s="23" t="inlineStr">
        <is>
          <t>84x108 1/32</t>
        </is>
      </c>
      <c r="L2822" s="23" t="inlineStr">
        <is>
          <t>тв</t>
        </is>
      </c>
      <c r="M2822" s="23" t="n">
        <v>288</v>
      </c>
      <c r="N2822" s="23" t="n">
        <v>2016</v>
      </c>
      <c r="O2822" s="23" t="n">
        <v>276</v>
      </c>
      <c r="P2822" s="23" t="n"/>
      <c r="Q2822" s="23" t="n"/>
      <c r="R2822" s="25" t="inlineStr">
        <is>
          <t>Тема «коренного перелома», произошедшего в судьбах миллионов людей в трагическом июне 1941 года, очень популярна в современных фильмах. Сюже­ты всех картин жестко делятся на «до» и «после» 22 июня, когда вся жизнь героев в одно мгновение перевернулась. О том факте, что сообщения о начале тех или иных войн к тому времени стали уже привычными и повседневными, никогда не упоминается. Между тем именно этой «привыч­ностью» во многом объясняются шапкозакидательские настроения начала войны. ­Извилистая «линия партии» и изменчивая сталинская пропаганда, в одночасье превращавшие вчерашних врагов в друзей и наоборот, настолько исказили реальность, что в сознании людей порой возникала полная каша. И даже сейчас, спустя 70 лет, трудно отделить пропагандистские штампы от реальности._x000D_
В этой книге на основе многочисленных архивных документов, газетных публикаций и воспоминаний очевидцев впервые проанализирована работа советской пропагандистской машины, ее влияние на сознание людей и изменения в восприятии событий населением СССР с 1939 по 1945 год. Кроме того, впервые правдиво, без прикрас рассказано о том, как простые люди в разных уголках страны выживали в годы войны, об условиях их труда на воен­ных заводах, в сельском хозяйстве и учреждениях, о трудностях быта, о том, как работали торговля, сфера обслуживания, медицина, жилищно-коммунальное хозяйство и транспорт. Также в книге развенчивается расхожий миф о том, что «при Сталине не было коррупции» и «воровать боялись», а преступность подняла голову лишь в послевоенные годы.</t>
        </is>
      </c>
      <c r="S2822" s="26">
        <f>HYPERLINK("http://www.cnpol.ru/covers/16580.jpg","фото на сайте")</f>
        <v/>
      </c>
    </row>
    <row r="2823" ht="50.1" customHeight="1" s="3">
      <c r="A2823" s="23" t="n"/>
      <c r="B2823" s="24" t="inlineStr">
        <is>
          <t>19400</t>
        </is>
      </c>
      <c r="C2823" s="23" t="inlineStr">
        <is>
          <t>НЛФ</t>
        </is>
      </c>
      <c r="D2823" s="23" t="inlineStr">
        <is>
          <t>Грачев М.К</t>
        </is>
      </c>
      <c r="E2823" s="23" t="inlineStr">
        <is>
          <t>В батальоне правительственной связи. Воспоминания семнадцатилетнего солдата. 1943—1945</t>
        </is>
      </c>
      <c r="F2823" s="23" t="inlineStr">
        <is>
          <t>        </t>
        </is>
      </c>
      <c r="G2823" s="23" t="n">
        <v>508</v>
      </c>
      <c r="H2823" s="23" t="n">
        <v>10</v>
      </c>
      <c r="I2823" s="23" t="n">
        <v>18</v>
      </c>
      <c r="J2823" s="23" t="inlineStr">
        <is>
          <t>978-5-227-09222-9</t>
        </is>
      </c>
      <c r="K2823" s="23" t="inlineStr">
        <is>
          <t>84x108 1/32</t>
        </is>
      </c>
      <c r="L2823" s="23" t="inlineStr">
        <is>
          <t>тв</t>
        </is>
      </c>
      <c r="M2823" s="23" t="n">
        <v>192</v>
      </c>
      <c r="N2823" s="23" t="n">
        <v>2020</v>
      </c>
      <c r="O2823" s="23" t="n">
        <v>206</v>
      </c>
      <c r="P2823" s="23" t="n"/>
      <c r="Q2823" s="23" t="n"/>
      <c r="R2823" s="25" t="inlineStr">
        <is>
          <t>В книге Михаила Карповича Грачева (1926–2018) рассказано о судьбе совсем еще юного парня, в 17 лет призванного в Красную армию и дошедшего до самого берлинского Рейхстага. Несмотря на то что М.К. Грачев был распределен в батальон НКВД правительственной связи, ему неоднократно приходилось вступать в пехотный бой с упорно оборонявшимся врагом. Таковы были реалии стремительного и почти безостановочного наступления Красной армии в последний период войны. В то же время прямые служебные обязанности автора несколько раз сталкивали его с самыми прославленными полководцами. Книга записана со слов М.К. Грачева его сыном Н.М. Грачевым.</t>
        </is>
      </c>
      <c r="S2823" s="26">
        <f>HYPERLINK("http://www.cnpol.ru/covers/19400.jpg","фото на сайте")</f>
        <v/>
      </c>
    </row>
    <row r="2824" ht="50.1" customHeight="1" s="3">
      <c r="A2824" s="23" t="n"/>
      <c r="B2824" s="24" t="inlineStr">
        <is>
          <t>16632</t>
        </is>
      </c>
      <c r="C2824" s="23" t="inlineStr">
        <is>
          <t>НЛФ</t>
        </is>
      </c>
      <c r="D2824" s="23" t="inlineStr">
        <is>
          <t>Мальцев В.В.</t>
        </is>
      </c>
      <c r="E2824" s="23" t="inlineStr">
        <is>
          <t>Война глазами участника парада Победы</t>
        </is>
      </c>
      <c r="F2824" s="23" t="inlineStr">
        <is>
          <t>        </t>
        </is>
      </c>
      <c r="G2824" s="23" t="n">
        <v>574</v>
      </c>
      <c r="H2824" s="23" t="n">
        <v>10</v>
      </c>
      <c r="I2824" s="23" t="n">
        <v>14</v>
      </c>
      <c r="J2824" s="23" t="inlineStr">
        <is>
          <t>978-5-227-06554-4</t>
        </is>
      </c>
      <c r="K2824" s="23" t="inlineStr">
        <is>
          <t>84x108 1/32</t>
        </is>
      </c>
      <c r="L2824" s="23" t="inlineStr">
        <is>
          <t>тв</t>
        </is>
      </c>
      <c r="M2824" s="23" t="n">
        <v>288</v>
      </c>
      <c r="N2824" s="23" t="n">
        <v>2016</v>
      </c>
      <c r="O2824" s="23" t="n">
        <v>270</v>
      </c>
      <c r="P2824" s="23" t="n"/>
      <c r="Q2824" s="23" t="n"/>
      <c r="R2824" s="25" t="n"/>
      <c r="S2824" s="26">
        <f>HYPERLINK("http://www.cnpol.ru/covers/16632.jpg","фото на сайте")</f>
        <v/>
      </c>
    </row>
    <row r="2825" ht="50.1" customHeight="1" s="3">
      <c r="A2825" s="23" t="inlineStr">
        <is>
          <t>Н</t>
        </is>
      </c>
      <c r="B2825" s="24" t="inlineStr">
        <is>
          <t>21251</t>
        </is>
      </c>
      <c r="C2825" s="23" t="inlineStr">
        <is>
          <t>НЛФ</t>
        </is>
      </c>
      <c r="D2825" s="23" t="inlineStr">
        <is>
          <t>Данилов В.Н.</t>
        </is>
      </c>
      <c r="E2825" s="23" t="inlineStr">
        <is>
          <t>Городские комитеты обороны. Чрезвычайные органы власти в годы Великой Отечественной войны. 1941—1945</t>
        </is>
      </c>
      <c r="F2825" s="23" t="inlineStr">
        <is>
          <t>        </t>
        </is>
      </c>
      <c r="G2825" s="23" t="n">
        <v>619</v>
      </c>
      <c r="H2825" s="23" t="n">
        <v>10</v>
      </c>
      <c r="I2825" s="23" t="n">
        <v>18</v>
      </c>
      <c r="J2825" s="23" t="inlineStr">
        <is>
          <t>978-5-227-10745-9</t>
        </is>
      </c>
      <c r="K2825" s="23" t="inlineStr">
        <is>
          <t>84x108 1/32</t>
        </is>
      </c>
      <c r="L2825" s="23" t="inlineStr">
        <is>
          <t>тв</t>
        </is>
      </c>
      <c r="M2825" s="23" t="n">
        <v>287</v>
      </c>
      <c r="N2825" s="23" t="n">
        <v>2024</v>
      </c>
      <c r="O2825" s="23" t="n">
        <v>360</v>
      </c>
      <c r="P2825" s="23" t="n"/>
      <c r="Q2825" s="23" t="n"/>
      <c r="R2825" s="25" t="inlineStr">
        <is>
          <t>В книге доктора исторических наук В.Н. Данилова рассматривается история местных чрезвычайных органов власти периода Великой Отечественной войны — городских комитетов обороны, в задачу которых входило объединение усилий гражданских и военных структур в регионах, близких к фронту, в целях максимальной помощи действующей армии и установления строжайшего порядка. Показан процесс создания комитетов обороны, их место в системе управления, формы и методы работы, деятельность по мобилизации ресурсов тыла, роль в обеспечении жизнедеятельности населения, участие городских комитетов обороны в организации военной защиты территорий городов и их окрестностей силами самообороны.</t>
        </is>
      </c>
      <c r="S2825" s="26">
        <f>HYPERLINK("http://www.cnpol.ru/covers/21251.jpg","фото на сайте")</f>
        <v/>
      </c>
    </row>
    <row r="2826" ht="50.1" customHeight="1" s="3">
      <c r="A2826" s="23" t="n"/>
      <c r="B2826" s="24" t="inlineStr">
        <is>
          <t>16540</t>
        </is>
      </c>
      <c r="C2826" s="23" t="inlineStr">
        <is>
          <t>НЛФ</t>
        </is>
      </c>
      <c r="D2826" s="23" t="inlineStr">
        <is>
          <t>Халилов Н</t>
        </is>
      </c>
      <c r="E2826" s="23" t="inlineStr">
        <is>
          <t>Долгая дорога домой</t>
        </is>
      </c>
      <c r="F2826" s="23" t="inlineStr">
        <is>
          <t>        </t>
        </is>
      </c>
      <c r="G2826" s="23" t="n">
        <v>574</v>
      </c>
      <c r="H2826" s="23" t="n">
        <v>10</v>
      </c>
      <c r="I2826" s="23" t="n">
        <v>14</v>
      </c>
      <c r="J2826" s="23" t="inlineStr">
        <is>
          <t>978-5-227-06418-9</t>
        </is>
      </c>
      <c r="K2826" s="23" t="inlineStr">
        <is>
          <t>84x108 1/32</t>
        </is>
      </c>
      <c r="L2826" s="23" t="inlineStr">
        <is>
          <t>тв</t>
        </is>
      </c>
      <c r="M2826" s="23" t="n">
        <v>256</v>
      </c>
      <c r="N2826" s="23" t="n">
        <v>2016</v>
      </c>
      <c r="O2826" s="23" t="n">
        <v>300</v>
      </c>
      <c r="P2826" s="23" t="n"/>
      <c r="Q2826" s="23" t="n"/>
      <c r="R2826" s="25" t="inlineStr">
        <is>
          <t>Воспоминания Нури Халилова — уникальное свидетельство о Великой Отечественной войне представителя крымско-татарского народа, подвергшегося несправедливым репрессиям по обвинению в массовом предательстве во время войны. Автор, начавший войну с первого ее дня в кадровой части Красной армии, в полной мере разделил общую долю поражений, скитаний в окружении, плена. С 1943 г. он принимал активное участие в партизанской борьбе на территории Крымского полуострова и оставил интересные воспоминания об этой весьма спорной странице истории войны</t>
        </is>
      </c>
      <c r="S2826" s="26">
        <f>HYPERLINK("http://www.cnpol.ru/covers/16540.jpg","фото на сайте")</f>
        <v/>
      </c>
    </row>
    <row r="2827" ht="50.1" customHeight="1" s="3">
      <c r="A2827" s="23" t="inlineStr">
        <is>
          <t>Н</t>
        </is>
      </c>
      <c r="B2827" s="24" t="inlineStr">
        <is>
          <t>21503</t>
        </is>
      </c>
      <c r="C2827" s="23" t="inlineStr">
        <is>
          <t>НЛФ</t>
        </is>
      </c>
      <c r="D2827" s="23" t="inlineStr">
        <is>
          <t>Медведев Т.Д.</t>
        </is>
      </c>
      <c r="E2827" s="23" t="inlineStr">
        <is>
          <t>Истребительные батальоны НКВД в период Великой Отечественной войны. Организация, управление, применение. 1941—1945</t>
        </is>
      </c>
      <c r="F2827" s="23" t="inlineStr">
        <is>
          <t>        </t>
        </is>
      </c>
      <c r="G2827" s="23" t="n">
        <v>511</v>
      </c>
      <c r="H2827" s="23" t="n">
        <v>10</v>
      </c>
      <c r="I2827" s="23" t="n">
        <v>20</v>
      </c>
      <c r="J2827" s="23" t="inlineStr">
        <is>
          <t>978-5-227-10946-0</t>
        </is>
      </c>
      <c r="K2827" s="23" t="inlineStr">
        <is>
          <t>84x108 1/32</t>
        </is>
      </c>
      <c r="L2827" s="23" t="inlineStr">
        <is>
          <t>тв</t>
        </is>
      </c>
      <c r="M2827" s="23" t="n">
        <v>255</v>
      </c>
      <c r="N2827" s="23" t="n">
        <v>2025</v>
      </c>
      <c r="O2827" s="23" t="n">
        <v>235</v>
      </c>
      <c r="P2827" s="23" t="n"/>
      <c r="Q2827" s="23" t="n"/>
      <c r="R2827" s="25" t="inlineStr">
        <is>
          <t>В книге научного сотрудника Санкт-Петербургского института истории РАН, кандидата исторических наук Т.Д. Медведева рассматривается один из малоизученных аспектов истории Великой Отечественной войны: формирование, комплектование, служебно-боевая деятельность истребительных батальонов НКВД. Явившись примером эффективной советской мобилизационной модели военного времени, в отличие от ополчения, они «пережили» всю войну. Автор анализирует организацию, социальный состав, способы боевого применения истребительных батальонов в различных регионах СССР, уделяя особое внимание ключевым этапам их истории: созданию в первые дни войны; служебно-боевой деятельности в тыловой зоне и использованию в боевых порядках Красной армии в 1941—1942 гг.; несению службы на освобождаемой от врага территории, в том числе, на заключительном этапе войны — в западных регионах СССР.</t>
        </is>
      </c>
      <c r="S2827" s="26">
        <f>HYPERLINK("http://www.cnpol.ru/covers/21503.jpg","фото на сайте")</f>
        <v/>
      </c>
    </row>
    <row r="2828" ht="50.1" customHeight="1" s="3">
      <c r="A2828" s="23" t="n"/>
      <c r="B2828" s="24" t="inlineStr">
        <is>
          <t>14070</t>
        </is>
      </c>
      <c r="C2828" s="23" t="inlineStr">
        <is>
          <t>НЛФ</t>
        </is>
      </c>
      <c r="D2828" s="23" t="inlineStr">
        <is>
          <t>Пшеняник Г.</t>
        </is>
      </c>
      <c r="E2828" s="23" t="inlineStr">
        <is>
          <t>Крах плана "Эдельвейс". Советская авиация в битве за Кавказ.1942-1943</t>
        </is>
      </c>
      <c r="F2828" s="23" t="inlineStr">
        <is>
          <t>        </t>
        </is>
      </c>
      <c r="G2828" s="23" t="n">
        <v>593</v>
      </c>
      <c r="H2828" s="23" t="n">
        <v>10</v>
      </c>
      <c r="I2828" s="23" t="n">
        <v>14</v>
      </c>
      <c r="J2828" s="23" t="inlineStr">
        <is>
          <t>978-5-227-04073-2</t>
        </is>
      </c>
      <c r="K2828" s="23" t="inlineStr">
        <is>
          <t>84x108 1/32</t>
        </is>
      </c>
      <c r="L2828" s="23" t="inlineStr">
        <is>
          <t>тв</t>
        </is>
      </c>
      <c r="M2828" s="23" t="n">
        <v>384</v>
      </c>
      <c r="N2828" s="23" t="n">
        <v>2012</v>
      </c>
      <c r="O2828" s="23" t="n">
        <v>330</v>
      </c>
      <c r="P2828" s="23" t="n"/>
      <c r="Q2828" s="23" t="n"/>
      <c r="R2828" s="25" t="inlineStr">
        <is>
          <t>Автор этой книги Георгий Андреевич Пшеняник — непосредственный участник битвы за Кавказ, в 1942—1943 гг. занимавший должности начальника штаба 88-го истребительного авиационного полка, а затем — старшего офицера и начальника отделения по использованию опыта войны штаба 4-й воздушной армии. Используя собственный командно-штабной опыт, а также многочисленные примеры боевой работы советских летчиков, автор анализирует вопросы организации боевых действий авиации в оборонительных и наступательных операциях Красной армии, проведенных на Северном Кавказе в период с июля 1942 по октябрь 1943 г. В книге рассказывается о деятельности командования авиационных объединений, соединений и частей, принимавших участие в сражениях за Кавказ. Это первое в отечественной военно-исторической науке обобщающее исследование, посвященное участию советской авиации в битве за Кавказ.</t>
        </is>
      </c>
      <c r="S2828" s="26">
        <f>HYPERLINK("http://www.cnpol.ru/covers/14070.jpg","фото на сайте")</f>
        <v/>
      </c>
    </row>
    <row r="2829" ht="50.1" customHeight="1" s="3">
      <c r="A2829" s="23" t="n"/>
      <c r="B2829" s="24" t="inlineStr">
        <is>
          <t>16873</t>
        </is>
      </c>
      <c r="C2829" s="23" t="inlineStr">
        <is>
          <t>НЛФ</t>
        </is>
      </c>
      <c r="D2829" s="23" t="inlineStr">
        <is>
          <t>Матиев Т.Х</t>
        </is>
      </c>
      <c r="E2829" s="23" t="inlineStr">
        <is>
          <t>Малгобекский бастион</t>
        </is>
      </c>
      <c r="F2829" s="23" t="inlineStr">
        <is>
          <t>        </t>
        </is>
      </c>
      <c r="G2829" s="23" t="n">
        <v>574</v>
      </c>
      <c r="H2829" s="23" t="n">
        <v>10</v>
      </c>
      <c r="I2829" s="23" t="n">
        <v>14</v>
      </c>
      <c r="J2829" s="23" t="inlineStr">
        <is>
          <t>978-5-227-06776-0</t>
        </is>
      </c>
      <c r="K2829" s="23" t="inlineStr">
        <is>
          <t>84x108 1/32</t>
        </is>
      </c>
      <c r="L2829" s="23" t="inlineStr">
        <is>
          <t>тв</t>
        </is>
      </c>
      <c r="M2829" s="23" t="n">
        <v>416</v>
      </c>
      <c r="N2829" s="23" t="n">
        <v>2016</v>
      </c>
      <c r="O2829" s="23" t="n">
        <v>346</v>
      </c>
      <c r="P2829" s="23" t="n"/>
      <c r="Q2829" s="23" t="n"/>
      <c r="R2829" s="25" t="inlineStr">
        <is>
          <t>Настоящая монография является первым в отечественной истории опытом комплексного анализа одной из важнейших страниц битвы за Кавказ 1942—1943 гг. – Малгобекской оборонительной операции, проведенной войсками Северной группы войск Закавказского фронта в сентябре—октябре 1942 г. с целью отражения наступления немецких войск и срыва попытки их прорыва в нефтяные районы Кавказа. В книге представлен анализ хода боевых действий в районе Малгобека осенью 1942 г., подробно рассмотрены особенности военного искусства и применения отдельных родов и видов вооруженных сил СССР и Германии, показана жизнь населения прифронтовых районов. Исследование опирается на широкий круг архивных источников — как российских, так и германских.</t>
        </is>
      </c>
      <c r="S2829" s="26">
        <f>HYPERLINK("http://www.cnpol.ru/covers/16873.jpg","фото на сайте")</f>
        <v/>
      </c>
    </row>
    <row r="2830" ht="50.1" customHeight="1" s="3">
      <c r="A2830" s="23" t="n"/>
      <c r="B2830" s="24" t="inlineStr">
        <is>
          <t>20521</t>
        </is>
      </c>
      <c r="C2830" s="23" t="inlineStr">
        <is>
          <t>НЛФ</t>
        </is>
      </c>
      <c r="D2830" s="23" t="inlineStr">
        <is>
          <t>Разин С.А.</t>
        </is>
      </c>
      <c r="E2830" s="23" t="inlineStr">
        <is>
          <t>Мобилизация и московское народное ополчение. 13 дней Ростокинской дивизии. 1941 г.</t>
        </is>
      </c>
      <c r="F2830" s="23" t="inlineStr">
        <is>
          <t>        </t>
        </is>
      </c>
      <c r="G2830" s="23" t="n">
        <v>554</v>
      </c>
      <c r="H2830" s="23" t="n">
        <v>10</v>
      </c>
      <c r="I2830" s="23" t="n">
        <v>20</v>
      </c>
      <c r="J2830" s="23" t="inlineStr">
        <is>
          <t>978-5-227-10260-7</t>
        </is>
      </c>
      <c r="K2830" s="23" t="inlineStr">
        <is>
          <t>84x108 1/32</t>
        </is>
      </c>
      <c r="L2830" s="23" t="inlineStr">
        <is>
          <t>тв</t>
        </is>
      </c>
      <c r="M2830" s="23" t="n">
        <v>223</v>
      </c>
      <c r="N2830" s="23" t="n">
        <v>2023</v>
      </c>
      <c r="O2830" s="23" t="n">
        <v>136</v>
      </c>
      <c r="P2830" s="23" t="n"/>
      <c r="Q2830" s="23" t="n"/>
      <c r="R2830" s="25" t="inlineStr">
        <is>
          <t>С первых дней Великой Отечественной войны в Москве начался призыв горожан по мобилизации в Красную армию, а уже 2 июля 1941 года — по вступлению в народное ополчение. Десятки тысяч москвичей разных возрастов и профессий добровольно приходили на призывные пункты с единственным желанием — уйти на фронт и сразиться с врагом. Всего в Москве летом и осенью 1941 года было сформировано 16 дивизий народного ополчения. Большинство из них погибло в октябрьских боях 1941 г. под Вязьмой, до конца выполнив свой долг — задержать любой ценой продвижение врага к Москве. Одной из них стала 13­я дивизия народного ополчения Ростокинского района (после переформирования — 140­я стрелковая дивизия). Так случилось, что число 13 не только стало ее порядковым номером, но и словно наложило роковой отпечаток на ее фронтовой путь: 13 октября 1941 г. после 13 дней упорных сражений дивизия практически в полном составе погибла в Вяземском котле._x000D_
О мобилизации, добровольческом движении и формировании народного ополчения в Москве в 1941 году — эта книга.</t>
        </is>
      </c>
      <c r="S2830" s="26">
        <f>HYPERLINK("http://www.cnpol.ru/covers/20521.jpg","фото на сайте")</f>
        <v/>
      </c>
    </row>
    <row r="2831" ht="50.1" customHeight="1" s="3">
      <c r="A2831" s="23" t="n"/>
      <c r="B2831" s="24" t="inlineStr">
        <is>
          <t>20888</t>
        </is>
      </c>
      <c r="C2831" s="23" t="inlineStr">
        <is>
          <t>НЛФ</t>
        </is>
      </c>
      <c r="D2831" s="23" t="inlineStr">
        <is>
          <t>Николаев А.В.</t>
        </is>
      </c>
      <c r="E2831" s="23" t="inlineStr">
        <is>
          <t>На Волховском и Карельском фронтах. Дневники лейтенанта. 1941—1944 гг.</t>
        </is>
      </c>
      <c r="F2831" s="23" t="inlineStr">
        <is>
          <t>        </t>
        </is>
      </c>
      <c r="G2831" s="23" t="n">
        <v>647</v>
      </c>
      <c r="H2831" s="23" t="n">
        <v>10</v>
      </c>
      <c r="I2831" s="23" t="n">
        <v>10</v>
      </c>
      <c r="J2831" s="23" t="inlineStr">
        <is>
          <t>978-5-227-10501-1</t>
        </is>
      </c>
      <c r="K2831" s="23" t="inlineStr">
        <is>
          <t>84x108 1/32</t>
        </is>
      </c>
      <c r="L2831" s="23" t="inlineStr">
        <is>
          <t>тв</t>
        </is>
      </c>
      <c r="M2831" s="23" t="n">
        <v>511</v>
      </c>
      <c r="N2831" s="23" t="n">
        <v>2023</v>
      </c>
      <c r="O2831" s="23" t="n">
        <v>405</v>
      </c>
      <c r="P2831" s="23" t="n"/>
      <c r="Q2831" s="23" t="n"/>
      <c r="R2831" s="25" t="inlineStr">
        <is>
          <t>Автор этих увлекательных воспоминаний, написанных на основе кратких дневниковых записей и писем матери с фронта, — Андрей Владимирович Николаев (1922—2013) — выдающийся советский и российский художник-иллюстратор. За долгую творческую жизнь создал серии иллюстраций примерно к двумстам книгам из отечественной и зарубежной классики, современным авторам. Широкому кругу читателей известен как автор иллюстраций к «Войне и миру» Л.Н. Толстого, «Пиковой даме» А.С. Пушкина, «Белой гвардии» и «Мастеру и Маргарите» М.А. Булгакова._x000D__x000D_
А начинал А.В. Николаев свой жизненный путь, как многие парни его поколения: выпускной бал по окончании десятилетки, а утром 22 июня 1941 г. — объявление о начале войны. Минометное отделение Великоустюгского пехотного училища, служба в минометном полку на Волховском и Карельском фронтах, в конце войны — освобождение Венгрии и Австрии. Книга проиллюстрирована рисунками и схемами, выполненными автором.</t>
        </is>
      </c>
      <c r="S2831" s="26">
        <f>HYPERLINK("http://www.cnpol.ru/covers/20888.jpg","фото на сайте")</f>
        <v/>
      </c>
    </row>
    <row r="2832" ht="50.1" customHeight="1" s="3">
      <c r="A2832" s="23" t="n"/>
      <c r="B2832" s="24" t="inlineStr">
        <is>
          <t>20380</t>
        </is>
      </c>
      <c r="C2832" s="23" t="inlineStr">
        <is>
          <t>НЛФ</t>
        </is>
      </c>
      <c r="D2832" s="23" t="inlineStr">
        <is>
          <t>Медведев М.В.</t>
        </is>
      </c>
      <c r="E2832" s="23" t="inlineStr">
        <is>
          <t>На ростовском направлении. Южный фронт в боях на Миусе. Январь—август 1943 г.</t>
        </is>
      </c>
      <c r="F2832" s="23" t="inlineStr">
        <is>
          <t>        </t>
        </is>
      </c>
      <c r="G2832" s="23" t="n">
        <v>508</v>
      </c>
      <c r="H2832" s="23" t="n">
        <v>10</v>
      </c>
      <c r="I2832" s="23" t="n">
        <v>20</v>
      </c>
      <c r="J2832" s="23" t="inlineStr">
        <is>
          <t>978-5-227-09826-9</t>
        </is>
      </c>
      <c r="K2832" s="23" t="inlineStr">
        <is>
          <t>84x108 1/32</t>
        </is>
      </c>
      <c r="L2832" s="23" t="inlineStr">
        <is>
          <t>тв</t>
        </is>
      </c>
      <c r="M2832" s="23" t="n">
        <v>191</v>
      </c>
      <c r="N2832" s="23" t="n">
        <v>2022</v>
      </c>
      <c r="O2832" s="23" t="n">
        <v>232</v>
      </c>
      <c r="P2832" s="23" t="n"/>
      <c r="Q2832" s="23" t="n"/>
      <c r="R2832" s="25" t="n"/>
      <c r="S2832" s="26">
        <f>HYPERLINK("http://www.cnpol.ru/covers/20380.jpg","фото на сайте")</f>
        <v/>
      </c>
    </row>
    <row r="2833" ht="50.1" customHeight="1" s="3">
      <c r="A2833" s="23" t="inlineStr">
        <is>
          <t>Н</t>
        </is>
      </c>
      <c r="B2833" s="24" t="inlineStr">
        <is>
          <t>21043</t>
        </is>
      </c>
      <c r="C2833" s="23" t="inlineStr">
        <is>
          <t>НЛФ</t>
        </is>
      </c>
      <c r="D2833" s="23" t="inlineStr">
        <is>
          <t>Воробьев Ф.Д.</t>
        </is>
      </c>
      <c r="E2833" s="23" t="inlineStr">
        <is>
          <t>На службе в Генеральном штабе. Воспоминания военного историка. 1941—1945 гг.</t>
        </is>
      </c>
      <c r="F2833" s="23" t="inlineStr">
        <is>
          <t>        </t>
        </is>
      </c>
      <c r="G2833" s="23" t="n">
        <v>511</v>
      </c>
      <c r="H2833" s="23" t="n">
        <v>10</v>
      </c>
      <c r="I2833" s="23" t="n">
        <v>20</v>
      </c>
      <c r="J2833" s="23" t="inlineStr">
        <is>
          <t>978-5-227-09937-2</t>
        </is>
      </c>
      <c r="K2833" s="23" t="inlineStr">
        <is>
          <t>84x108 1/32</t>
        </is>
      </c>
      <c r="L2833" s="23" t="inlineStr">
        <is>
          <t>тв</t>
        </is>
      </c>
      <c r="M2833" s="23" t="n">
        <v>223</v>
      </c>
      <c r="N2833" s="23" t="n">
        <v>2024</v>
      </c>
      <c r="O2833" s="23" t="n">
        <v>248</v>
      </c>
      <c r="P2833" s="23" t="n"/>
      <c r="Q2833" s="23" t="n"/>
      <c r="R2833" s="25" t="inlineStr">
        <is>
          <t>Федор Данилович Воробьев (1904—1992) — полковник, с 1939 г. — офицер Военно-исторического отдела Генерального штаба Красной армии, один из первых исследователей истории Великой Отечественной войны 1941—1945 годов. В силу должностных обязанностей стал свидетелем многих ключевых событий Великой Отечественной войны. В должности офицера Генерального штаба он работал на Волховском фронте в 1941 — начале 1942 гг., а затем уже как военный историк непосредственно в войсках изучал  события Сталинградской битвы, сражения на Курской дуге, освобождения Украины, Берлинского сражения и других. Собранный оперативный материал, данные разведки, трофейные документы немедленно анализировались, обобщались и публиковались в виде военно-стратегических очерков, целевой аудиторией которых был высший и старший командный состав Красной армии. Ф.Д. Воробьев является автором ряда очерков, приведенных в этой книге, а также соавтором  фундаментальных трудов: «Оборона Севастополя» (М., 1943), «Битва под Сталинградом» (М., 1944), «Десять сокрушительных ударов» (М.,1945), «Битва под Курском» в двух книгах (М., 1946—1947), «Берлинская операция 1945 года» (М.,1950) и др.</t>
        </is>
      </c>
      <c r="S2833" s="26">
        <f>HYPERLINK("http://www.cnpol.ru/covers/21043.jpg","фото на сайте")</f>
        <v/>
      </c>
    </row>
    <row r="2834" ht="50.1" customHeight="1" s="3">
      <c r="A2834" s="23" t="n"/>
      <c r="B2834" s="24" t="inlineStr">
        <is>
          <t>20726</t>
        </is>
      </c>
      <c r="C2834" s="23" t="inlineStr">
        <is>
          <t>НЛФ</t>
        </is>
      </c>
      <c r="D2834" s="23" t="inlineStr">
        <is>
          <t>Неменко А.В.</t>
        </is>
      </c>
      <c r="E2834" s="23" t="inlineStr">
        <is>
          <t>Последние дни обороны Севастополя. Неизвестные страницы знаменитой битвы. Июнь—июль 1942 г.</t>
        </is>
      </c>
      <c r="F2834" s="23" t="inlineStr">
        <is>
          <t>        </t>
        </is>
      </c>
      <c r="G2834" s="23" t="n">
        <v>574</v>
      </c>
      <c r="H2834" s="23" t="n">
        <v>10</v>
      </c>
      <c r="I2834" s="23" t="n">
        <v>16</v>
      </c>
      <c r="J2834" s="23" t="inlineStr">
        <is>
          <t>978-5-227-10354-3</t>
        </is>
      </c>
      <c r="K2834" s="23" t="inlineStr">
        <is>
          <t>84x108 1/32</t>
        </is>
      </c>
      <c r="L2834" s="23" t="inlineStr">
        <is>
          <t>тв</t>
        </is>
      </c>
      <c r="M2834" s="23" t="n">
        <v>319</v>
      </c>
      <c r="N2834" s="23" t="n">
        <v>2023</v>
      </c>
      <c r="O2834" s="23" t="n">
        <v>306</v>
      </c>
      <c r="P2834" s="23" t="n"/>
      <c r="Q2834" s="23" t="n"/>
      <c r="R2834" s="25" t="inlineStr">
        <is>
          <t>Датой окончания обороны Севастополя традиционно принято считать 3 июля 1942 года, когда в сводке Совинформбюро прозвучала информация о том, что советские войска оставили город. Однако работа с документами привела автора этой книги к однозначному выводу: Севастополь сражался еще около двух недель после означенной даты — по крайней мере, до второй декады июля, когда врагом были подавлены последние очаги организованной обороны. Советские войска не оставили город, они остались в Севастополе. В донесении командующего Севастопольским оборонительным районом Ф.С. Октябрьского содержатся слова: «Оставшиеся войска сильно устали, дрогнули». Но, как выяснилось это не совсем так…_x000D_
Эта книга о тех, кто не «дрогнул». В книге рассматривается период с 28 июня по 16 июля 1942 года, когда произошел последний бой севастопольской обороны. В результате работы с немецкими архивными документами удалось выяснить, где он произошел. Поисковые работы на местности позволили выявить его следы и привязать их к современным ориентирам.</t>
        </is>
      </c>
      <c r="S2834" s="26">
        <f>HYPERLINK("http://www.cnpol.ru/covers/20726.jpg","фото на сайте")</f>
        <v/>
      </c>
    </row>
    <row r="2835" ht="50.1" customHeight="1" s="3">
      <c r="A2835" s="23" t="inlineStr">
        <is>
          <t>Н</t>
        </is>
      </c>
      <c r="B2835" s="24" t="inlineStr">
        <is>
          <t>21639</t>
        </is>
      </c>
      <c r="C2835" s="23" t="inlineStr">
        <is>
          <t>НЛФ</t>
        </is>
      </c>
      <c r="D2835" s="23" t="inlineStr">
        <is>
          <t>Усик Б.Г.</t>
        </is>
      </c>
      <c r="E2835" s="23" t="inlineStr">
        <is>
          <t>Сталинградский корпус народного ополчения. Формирование, подготовка и участие в боевых действиях. 1941—1943</t>
        </is>
      </c>
      <c r="F2835" s="23" t="inlineStr">
        <is>
          <t>        </t>
        </is>
      </c>
      <c r="G2835" s="23" t="n">
        <v>574</v>
      </c>
      <c r="H2835" s="23" t="n">
        <v>10</v>
      </c>
      <c r="I2835" s="23" t="n">
        <v>16</v>
      </c>
      <c r="J2835" s="23" t="inlineStr">
        <is>
          <t>978-5-227-10964-4</t>
        </is>
      </c>
      <c r="K2835" s="23" t="inlineStr">
        <is>
          <t>84x108 1/32</t>
        </is>
      </c>
      <c r="L2835" s="23" t="inlineStr">
        <is>
          <t>тв</t>
        </is>
      </c>
      <c r="M2835" s="23" t="n">
        <v>319</v>
      </c>
      <c r="N2835" s="23" t="n">
        <v>2025</v>
      </c>
      <c r="O2835" s="23" t="n">
        <v>222</v>
      </c>
      <c r="P2835" s="23" t="n"/>
      <c r="Q2835" s="23" t="n"/>
      <c r="R2835" s="25" t="inlineStr">
        <is>
          <t>Автором книги, известным волгоградским историком, руководителем Центра по изучению Сталинградской битвы Б.Г. Усиком, на основе изучения широкого комплекса источников был определен вклад народного ополчения Сталинградской области и рабочих батальонов в Великую победу. В работе объективно показана история Сталинградского корпуса народного ополчения: определены три этапа его формирования, уточнены командный состав корпуса и численность. Особое внимание уделено участию ополченцев в боевых действиях по защите родного города летом и осенью 1942 г. Определены особенности народного ополчения Сталинграда в сравнении с ополчениями других регионов СССР, связанные с социально-экономической спецификой Сталинградской области и города Сталинграда, а также ходом боевых действий на южном участке советско-германского фронта. В приложении приводятся архивные документы и фотографии военного периода._x000D_
Книга адресована ученым, краеведам и всем интересующимся историей Великой Отечественной войны и Сталинградской битвы.</t>
        </is>
      </c>
      <c r="S2835" s="26">
        <f>HYPERLINK("http://www.cnpol.ru/covers/21639.jpg","фото на сайте")</f>
        <v/>
      </c>
    </row>
    <row r="2836" ht="50.1" customHeight="1" s="3">
      <c r="A2836" s="23" t="n"/>
      <c r="B2836" s="24" t="inlineStr">
        <is>
          <t>13733</t>
        </is>
      </c>
      <c r="C2836" s="23" t="inlineStr">
        <is>
          <t>НЛФ</t>
        </is>
      </c>
      <c r="D2836" s="23" t="inlineStr">
        <is>
          <t>Скрицкий Н.В.</t>
        </is>
      </c>
      <c r="E2836" s="23" t="inlineStr">
        <is>
          <t>Флагманы Победы</t>
        </is>
      </c>
      <c r="F2836" s="23" t="inlineStr">
        <is>
          <t>        </t>
        </is>
      </c>
      <c r="G2836" s="23" t="n">
        <v>653</v>
      </c>
      <c r="H2836" s="23" t="n">
        <v>10</v>
      </c>
      <c r="I2836" s="23" t="n">
        <v>10</v>
      </c>
      <c r="J2836" s="23" t="inlineStr">
        <is>
          <t>978-5-227-03745-9</t>
        </is>
      </c>
      <c r="K2836" s="23" t="inlineStr">
        <is>
          <t>84x108 1/32</t>
        </is>
      </c>
      <c r="L2836" s="23" t="inlineStr">
        <is>
          <t>тв</t>
        </is>
      </c>
      <c r="M2836" s="23" t="n">
        <v>575</v>
      </c>
      <c r="N2836" s="23" t="n">
        <v>2012</v>
      </c>
      <c r="O2836" s="23" t="n">
        <v>442</v>
      </c>
      <c r="P2836" s="23" t="n"/>
      <c r="Q2836" s="23" t="n"/>
      <c r="R2836" s="25" t="n"/>
      <c r="S2836" s="26">
        <f>HYPERLINK("http://www.cnpol.ru/covers/13733.jpg","фото на сайте")</f>
        <v/>
      </c>
    </row>
    <row r="2837" ht="50.1" customHeight="1" s="3">
      <c r="A2837" s="23" t="n"/>
      <c r="B2837" s="24" t="inlineStr">
        <is>
          <t>15977</t>
        </is>
      </c>
      <c r="C2837" s="23" t="inlineStr">
        <is>
          <t>НЛФ</t>
        </is>
      </c>
      <c r="D2837" s="23" t="inlineStr">
        <is>
          <t>Стопалов С.Г</t>
        </is>
      </c>
      <c r="E2837" s="23" t="inlineStr">
        <is>
          <t>Фронтовые будни артиллериста. С гаубицей от Сожа до Эльбы. 1941-1945</t>
        </is>
      </c>
      <c r="F2837" s="23" t="inlineStr">
        <is>
          <t>        </t>
        </is>
      </c>
      <c r="G2837" s="23" t="n">
        <v>534</v>
      </c>
      <c r="H2837" s="23" t="n">
        <v>10</v>
      </c>
      <c r="I2837" s="23" t="n">
        <v>16</v>
      </c>
      <c r="J2837" s="23" t="inlineStr">
        <is>
          <t>978-5-227-05936-9</t>
        </is>
      </c>
      <c r="K2837" s="23" t="inlineStr">
        <is>
          <t>84x108 1/32</t>
        </is>
      </c>
      <c r="L2837" s="23" t="inlineStr">
        <is>
          <t>тв</t>
        </is>
      </c>
      <c r="M2837" s="23" t="n">
        <v>222</v>
      </c>
      <c r="N2837" s="23" t="n">
        <v>2015</v>
      </c>
      <c r="O2837" s="23" t="n">
        <v>228</v>
      </c>
      <c r="P2837" s="23" t="n"/>
      <c r="Q2837" s="23" t="n"/>
      <c r="R2837" s="25" t="n"/>
      <c r="S2837" s="26">
        <f>HYPERLINK("http://www.cnpol.ru/covers/15977.jpg","фото на сайте")</f>
        <v/>
      </c>
    </row>
    <row r="2838" ht="50.1" customHeight="1" s="3">
      <c r="A2838" s="23" t="inlineStr">
        <is>
          <t>Н</t>
        </is>
      </c>
      <c r="B2838" s="24" t="inlineStr">
        <is>
          <t>21062</t>
        </is>
      </c>
      <c r="C2838" s="23" t="inlineStr">
        <is>
          <t>НЛФ</t>
        </is>
      </c>
      <c r="D2838" s="23" t="inlineStr">
        <is>
          <t>Благов С.</t>
        </is>
      </c>
      <c r="E2838" s="23" t="inlineStr">
        <is>
          <t>Чужие среди своих. Польское население в советском партизанском движении на территории Белорусской ССР. 1941—1944</t>
        </is>
      </c>
      <c r="F2838" s="23" t="inlineStr">
        <is>
          <t>        </t>
        </is>
      </c>
      <c r="G2838" s="23" t="n">
        <v>511</v>
      </c>
      <c r="H2838" s="23" t="n">
        <v>10</v>
      </c>
      <c r="I2838" s="23" t="n">
        <v>20</v>
      </c>
      <c r="J2838" s="23" t="inlineStr">
        <is>
          <t>978-5-227-10576-9</t>
        </is>
      </c>
      <c r="K2838" s="23" t="inlineStr">
        <is>
          <t>84x108 1/32</t>
        </is>
      </c>
      <c r="L2838" s="23" t="inlineStr">
        <is>
          <t>тв</t>
        </is>
      </c>
      <c r="M2838" s="23" t="n">
        <v>223</v>
      </c>
      <c r="N2838" s="23" t="n">
        <v>2024</v>
      </c>
      <c r="O2838" s="23" t="n">
        <v>225</v>
      </c>
      <c r="P2838" s="23" t="n"/>
      <c r="Q2838" s="23" t="n"/>
      <c r="R2838" s="25" t="inlineStr">
        <is>
          <t>Словосочетание «польские партизаны» периода Второй мировой войны традиционно ассоциируется с бойцами подразделений Армии крайовой, подчинявшейся польскому правительству в эмиграции. В 1944 г. под эгидой левых сил возникла еще одна партизанская сила — Армия людова. Но в этой книге речь пойдет о еще об одной, наименее известной категории польских партизан — советских. В 1943—1944 гг. политическим и партизанским руководством БССР предпринимались активные попытки вовлечь многочисленное польское население Белоруссии в советское партизанское движение. Отчасти на территории Пинской, Барановичской и Вилейской областей БССР эти усилия увенчались успехом. Работа кандидата исторических наук С.В. Благова основана на документальном материале российских, белорусских и польских архивов, а также опубликованных документах и электронных базах данных белорусских партизан.</t>
        </is>
      </c>
      <c r="S2838" s="26">
        <f>HYPERLINK("http://www.cnpol.ru/covers/21062.jpg","фото на сайте")</f>
        <v/>
      </c>
    </row>
    <row r="2839" ht="50.1" customHeight="1" s="3">
      <c r="A2839" s="23" t="n"/>
      <c r="B2839" s="24" t="inlineStr">
        <is>
          <t>20507</t>
        </is>
      </c>
      <c r="C2839" s="23" t="inlineStr">
        <is>
          <t>НЛФ СВ</t>
        </is>
      </c>
      <c r="D2839" s="23" t="inlineStr">
        <is>
          <t>Безуглов С.А.</t>
        </is>
      </c>
      <c r="E2839" s="23" t="inlineStr">
        <is>
          <t>Авиация РККА в Зимней войне. Опыт боевых действий советских ВВС накануне Великой Отечественной войны</t>
        </is>
      </c>
      <c r="F2839" s="23" t="inlineStr">
        <is>
          <t>        </t>
        </is>
      </c>
      <c r="G2839" s="23" t="n">
        <v>554</v>
      </c>
      <c r="H2839" s="23" t="n">
        <v>10</v>
      </c>
      <c r="I2839" s="23" t="n">
        <v>18</v>
      </c>
      <c r="J2839" s="23" t="inlineStr">
        <is>
          <t>978-5-227-09840-5</t>
        </is>
      </c>
      <c r="K2839" s="23" t="inlineStr">
        <is>
          <t>84x108 1/32</t>
        </is>
      </c>
      <c r="L2839" s="23" t="inlineStr">
        <is>
          <t>тв</t>
        </is>
      </c>
      <c r="M2839" s="23" t="n">
        <v>286</v>
      </c>
      <c r="N2839" s="23" t="n">
        <v>2023</v>
      </c>
      <c r="O2839" s="23" t="n">
        <v>250</v>
      </c>
      <c r="P2839" s="23" t="n"/>
      <c r="Q2839" s="23" t="n"/>
      <c r="R2839" s="25" t="inlineStr">
        <is>
          <t>Книга посвящена анализу боевого применения советской авиации в войне с Финляндией 1939—1940 гг.  Рассмотрены физико-географические и климатические условия театра военных действий, состояние и группировка советских и финских войск, как факторы, влиявшие на создание и наращивание авиационной группировки советских ВВС, планирование боевых действий, управление группировкой, взаимодействие с другими родами войск. Рассмотрены особенности базирования и всестороннего снабжения советской авиации в районе боевых действий. В работе показаны сложности  выполнения задач в условиях безориентирной местности и противодействия авиации и зенитных средств противника.</t>
        </is>
      </c>
      <c r="S2839" s="26">
        <f>HYPERLINK("http://www.cnpol.ru/covers/20507.jpg","фото на сайте")</f>
        <v/>
      </c>
    </row>
    <row r="2840" ht="50.1" customHeight="1" s="3">
      <c r="A2840" s="23" t="n"/>
      <c r="B2840" s="24" t="inlineStr">
        <is>
          <t>17285</t>
        </is>
      </c>
      <c r="C2840" s="23" t="inlineStr">
        <is>
          <t>НЛФ СВ</t>
        </is>
      </c>
      <c r="D2840" s="23" t="inlineStr">
        <is>
          <t>Дегтев Д.М., Зефиров М.В., Зубов Д.В.</t>
        </is>
      </c>
      <c r="E2840" s="23" t="inlineStr">
        <is>
          <t>Воздушная битва за Берлин. Последнее сражение люфтваффе. 1945</t>
        </is>
      </c>
      <c r="F2840" s="23" t="inlineStr">
        <is>
          <t>        </t>
        </is>
      </c>
      <c r="G2840" s="23" t="n">
        <v>554</v>
      </c>
      <c r="H2840" s="23" t="n">
        <v>10</v>
      </c>
      <c r="I2840" s="23" t="n">
        <v>16</v>
      </c>
      <c r="J2840" s="23" t="inlineStr">
        <is>
          <t>978-5-227-07338-9</t>
        </is>
      </c>
      <c r="K2840" s="23" t="inlineStr">
        <is>
          <t>84x108 1/32</t>
        </is>
      </c>
      <c r="L2840" s="23" t="inlineStr">
        <is>
          <t>тв</t>
        </is>
      </c>
      <c r="M2840" s="23" t="n">
        <v>256</v>
      </c>
      <c r="N2840" s="23" t="n">
        <v>2017</v>
      </c>
      <c r="O2840" s="23" t="n">
        <v>254</v>
      </c>
      <c r="P2840" s="23" t="n"/>
      <c r="Q2840" s="23" t="n"/>
      <c r="R2840" s="25" t="inlineStr">
        <is>
          <t>«16 апреля 1945 г. Мы по радио распределяем, кому какой самолет сопровождать. Я приближаюсь к своему «протеже» и занимаю позицию в нескольких метрах от его правого крыла. Я вижу, что это молодой лейтенант в повседневном мундире. На нем вместо летного шлема одето офицерское кепи. Так как у него нет рации, мы можем общаться только жестами. Его лицо не выражает ни фанатизма, ни волнения, ни даже грусти. Яркие вспышки указывают на близость одерского фронта. Он круто пикирует по спирали и исчезает. Я, не отрываясь, смотрю в том направлении. Яркая кроваво-красная вспышка освещает небо. Я убежден, что он достиг своей цели» — так немецкий летчик Эвальд Краас описывал типичный вылет гитлеровских «камикадзе» — пилотов-смертников, жертвовавших собой ради погибающего Третьего рейха. Данная книга является логическим продолжением рассказа авторов об операциях люфтваффе в последние месяцы войны, начатого в книге «Чудо-оружие люфтваффе. Битва из будущего». Здесь рассказано о послед­них сражениях люфтваффе: битвах за Бреслау, на Одере и в берлинском небе, операциях по снабжению «крепостей» во Франции, эвакуации войск из Курляндии, финальных боях реактивной авиации, действиях ночных противотанковых эскадрилий и др. Авторы отвечают на вопросы: почему немецкие летчики, понимавшие, что война проиграна, продолжали идти в бой, зачастую на верную смерть? Каким образом люфтваффе, невзирая на нехватку топлива и техники, потерю аэродромов, удавалось сохранять боеспособность вплоть до 9 мая?</t>
        </is>
      </c>
      <c r="S2840" s="26">
        <f>HYPERLINK("http://www.cnpol.ru/covers/17285.jpg","фото на сайте")</f>
        <v/>
      </c>
    </row>
    <row r="2841" ht="50.1" customHeight="1" s="3">
      <c r="A2841" s="23" t="n"/>
      <c r="B2841" s="24" t="inlineStr">
        <is>
          <t>20157</t>
        </is>
      </c>
      <c r="C2841" s="23" t="inlineStr">
        <is>
          <t>НЛФ СВ</t>
        </is>
      </c>
      <c r="D2841" s="23" t="inlineStr">
        <is>
          <t>Дегтев Д., Зефиров М</t>
        </is>
      </c>
      <c r="E2841" s="23" t="inlineStr">
        <is>
          <t>Воздушная битва за Крым. Крах нацистского «Готенланда». 1943—1944</t>
        </is>
      </c>
      <c r="F2841" s="23" t="inlineStr">
        <is>
          <t>        </t>
        </is>
      </c>
      <c r="G2841" s="23" t="n">
        <v>633</v>
      </c>
      <c r="H2841" s="23" t="n">
        <v>10</v>
      </c>
      <c r="I2841" s="23" t="n">
        <v>12</v>
      </c>
      <c r="J2841" s="23" t="inlineStr">
        <is>
          <t>978-5-227-09674-6</t>
        </is>
      </c>
      <c r="K2841" s="23" t="inlineStr">
        <is>
          <t>84x108 1/32</t>
        </is>
      </c>
      <c r="L2841" s="23" t="inlineStr">
        <is>
          <t>тв</t>
        </is>
      </c>
      <c r="M2841" s="23" t="n">
        <v>543</v>
      </c>
      <c r="N2841" s="23" t="n">
        <v>2022</v>
      </c>
      <c r="O2841" s="23" t="n">
        <v>585</v>
      </c>
      <c r="P2841" s="23" t="n"/>
      <c r="Q2841" s="23" t="n"/>
      <c r="R2841" s="25" t="inlineStr">
        <is>
          <t>Битва за Крым, продолжавшаяся с перерывами в течение двух с половиной лет, стоит особняком в истории Второй мировой войны. Обе воюющие стороны, точнее их лидеры — Адольф Гитлер и Иосиф Сталин — придавали исключительно важное значение обладанию этим полуостровом. Первый  фанатично пытался удержать его, даже когда Восточный фронт буквально трещал по швам, а его южный фланг откатился далеко на запад, второй придавал освобождению Крыма самое приоритетное значение. В результате освобождение «всесоюзной здравницы» растянулось на полгода и превратилось в затяжную изнурительную битву, в которую были втянуты крупные силы сухопутных войск и флотов обеих сторон. А в небе разыгралось одно из самых продолжительных и ожесточенных воздушных сражений, которое не прерывалось ни днем, ни ночью, ни в плохую погоду. Крымская эпопея завершилась невероятным по драматизму и накалу событий финалом: стремительным броском Красной армии к Севастополю и отчаянной попыткой противника вывезти свои войска в Румынию._x000D_
В данной книге на основе отечественных и германских архивных документов и других источников впервые рассказано о воздушной битве за Крым, продолжавшейся с 1 ноября 1943 г. до 12 мая 1944 г., в которой участвовали многие известные советские и немецкие асы.</t>
        </is>
      </c>
      <c r="S2841" s="26">
        <f>HYPERLINK("http://www.cnpol.ru/covers/20157.jpg","фото на сайте")</f>
        <v/>
      </c>
    </row>
    <row r="2842" ht="50.1" customHeight="1" s="3">
      <c r="A2842" s="23" t="n"/>
      <c r="B2842" s="24" t="inlineStr">
        <is>
          <t>20685</t>
        </is>
      </c>
      <c r="C2842" s="23" t="inlineStr">
        <is>
          <t>НЛФ СВ</t>
        </is>
      </c>
      <c r="D2842" s="23" t="inlineStr">
        <is>
          <t>Дегтев Д.М</t>
        </is>
      </c>
      <c r="E2842" s="23" t="inlineStr">
        <is>
          <t>Воздушная битва за Ленинград. От Балтики до Валдая. 1941–1944</t>
        </is>
      </c>
      <c r="F2842" s="23" t="inlineStr">
        <is>
          <t>        </t>
        </is>
      </c>
      <c r="G2842" s="23" t="n">
        <v>554</v>
      </c>
      <c r="H2842" s="23" t="n">
        <v>10</v>
      </c>
      <c r="I2842" s="23" t="n">
        <v>16</v>
      </c>
      <c r="J2842" s="23" t="inlineStr">
        <is>
          <t>978-5-227-10358-1</t>
        </is>
      </c>
      <c r="K2842" s="23" t="inlineStr">
        <is>
          <t>84x108 1/32</t>
        </is>
      </c>
      <c r="L2842" s="23" t="inlineStr">
        <is>
          <t>тв</t>
        </is>
      </c>
      <c r="M2842" s="23" t="n">
        <v>351</v>
      </c>
      <c r="N2842" s="23" t="n">
        <v>2023</v>
      </c>
      <c r="O2842" s="23" t="n">
        <v>312</v>
      </c>
      <c r="P2842" s="23" t="n"/>
      <c r="Q2842" s="23" t="n"/>
      <c r="R2842" s="25" t="inlineStr">
        <is>
          <t>Блокада Ленинграда является одним из самых драматичных и трагических эпизодов Второй мировой войны. Невзирая на нехватку сил и ресурсов, проблемы на других участках фронта и погодные условия, Красная армия в течение двух с половиной лет не оставляла попыток отбросить немцев от «колыбели революции». В книге на основе многочисленных отечественных и немецких документов, воспоминаний участников событий и других источников подробно рассказано обо всех воздушных операциях и схватках, происходивших в течение нескольких лет на северном театре боевых действий. Не только о налетах люфтваффе на Ленинград и Кронштадт, попытках немцев перерезать коммуникацию через Ладожское озеро («Дорогу жизни»), но и о битвах за Синявино, Любань, Демянск, Старую Руссу, Холм, Великие Луки и др. Собранные и систематизированные автором уникальные факты и подробности позволяют по-новому взглянуть на ход известных и не очень сражений Великой Отечественной войны, глубже понять причины успехов и неудач Красной армии.</t>
        </is>
      </c>
      <c r="S2842" s="26">
        <f>HYPERLINK("http://www.cnpol.ru/covers/20685.jpg","фото на сайте")</f>
        <v/>
      </c>
    </row>
    <row r="2843" ht="50.1" customHeight="1" s="3">
      <c r="A2843" s="23" t="n"/>
      <c r="B2843" s="24" t="inlineStr">
        <is>
          <t>18475</t>
        </is>
      </c>
      <c r="C2843" s="23" t="inlineStr">
        <is>
          <t>НЛФ СВ</t>
        </is>
      </c>
      <c r="D2843" s="23" t="inlineStr">
        <is>
          <t>Дегтев Д., Зубов Д.</t>
        </is>
      </c>
      <c r="E2843" s="23" t="inlineStr">
        <is>
          <t>Воздушная битва за Москву. Сталинские соколы на защите столичного неба.1941–1944</t>
        </is>
      </c>
      <c r="F2843" s="23" t="inlineStr">
        <is>
          <t>        </t>
        </is>
      </c>
      <c r="G2843" s="23" t="n">
        <v>554</v>
      </c>
      <c r="H2843" s="23" t="n">
        <v>10</v>
      </c>
      <c r="I2843" s="23" t="n">
        <v>8</v>
      </c>
      <c r="J2843" s="23" t="inlineStr">
        <is>
          <t>978-5-227-08451-4</t>
        </is>
      </c>
      <c r="K2843" s="23" t="inlineStr">
        <is>
          <t>84x108 1/32</t>
        </is>
      </c>
      <c r="L2843" s="23" t="inlineStr">
        <is>
          <t>тв</t>
        </is>
      </c>
      <c r="M2843" s="23" t="n">
        <v>416</v>
      </c>
      <c r="N2843" s="23" t="n">
        <v>2019</v>
      </c>
      <c r="O2843" s="23" t="n">
        <v>342</v>
      </c>
      <c r="P2843" s="23" t="n"/>
      <c r="Q2843" s="23" t="n"/>
      <c r="R2843" s="25" t="n"/>
      <c r="S2843" s="26">
        <f>HYPERLINK("http://www.cnpol.ru/covers/18475.jpg","фото на сайте")</f>
        <v/>
      </c>
    </row>
    <row r="2844" ht="50.1" customHeight="1" s="3">
      <c r="A2844" s="23" t="n"/>
      <c r="B2844" s="24" t="inlineStr">
        <is>
          <t>18389</t>
        </is>
      </c>
      <c r="C2844" s="23" t="inlineStr">
        <is>
          <t>НЛФ СВ</t>
        </is>
      </c>
      <c r="D2844" s="23" t="inlineStr">
        <is>
          <t>Дегтев Д., Богатырев С., Зубов Д.</t>
        </is>
      </c>
      <c r="E2844" s="23" t="inlineStr">
        <is>
          <t>Воздушная битва за Одессу. Советские асы против люфтваффе и королевских ВВС Румынии. 1941</t>
        </is>
      </c>
      <c r="F2844" s="23" t="inlineStr">
        <is>
          <t>        </t>
        </is>
      </c>
      <c r="G2844" s="23" t="n">
        <v>554</v>
      </c>
      <c r="H2844" s="23" t="n">
        <v>10</v>
      </c>
      <c r="I2844" s="23" t="n">
        <v>18</v>
      </c>
      <c r="J2844" s="23" t="inlineStr">
        <is>
          <t>978-5-227-08138-4</t>
        </is>
      </c>
      <c r="K2844" s="23" t="inlineStr">
        <is>
          <t>84x108 1/32</t>
        </is>
      </c>
      <c r="L2844" s="23" t="inlineStr">
        <is>
          <t>тв</t>
        </is>
      </c>
      <c r="M2844" s="23" t="n">
        <v>256</v>
      </c>
      <c r="N2844" s="23" t="n">
        <v>2018</v>
      </c>
      <c r="O2844" s="23" t="n">
        <v>256</v>
      </c>
      <c r="P2844" s="23" t="n"/>
      <c r="Q2844" s="23" t="n"/>
      <c r="R2844" s="25" t="inlineStr">
        <is>
          <t>В данной книге на основе многочисленных отечественных, румынских, немецких и иных зарубежных источников впервые приведена полная хроника воздушных сражений на самом южном участке Восточного фронта, начиная с 22 июня 1941 г. и до эвакуации советских войск из Одессы. Рассмотрены различные аспекты и особенности применения истребительной авиации, бомбардировщиков, штурмовиков, самолетов­разведчиков, летающих лодок, торпедоносцев и даже связных и спасательных самолетов всех противоборствующих сторон – Красной армии, румынских FARR и люфтваффе. Это фактически первая в отечественной историографии попытка всестороннего и глубокого анализа воздушного сражения на отдельно взятом участке фронта и его влияния на ход боевых действий._x000D_
В книге развенчиваются расхожие мифы о «всесокрушающих ударах врага по аэродромам», «полном господстве люфтваффе в воздухе» с первых дней войны, «огромных потерях» советской авиации и ее исключительно плохой подготовке, «кровавой мясорубке», в которую якобы посылали «неопытных» и «необстрелянных» юнцов. Кроме того, авторами изучены особенности советской предвоенной доктрины применения ВВС и ее вынужденная эволюция в первые месяцы войны, описаны многочисленные биографии советских летчиков — как будущих известных асов, так и забытых героев, — проанализирована система награждений отличившихся авиаторов.</t>
        </is>
      </c>
      <c r="S2844" s="26">
        <f>HYPERLINK("http://www.cnpol.ru/covers/18389.jpg","фото на сайте")</f>
        <v/>
      </c>
    </row>
    <row r="2845" ht="50.1" customHeight="1" s="3">
      <c r="A2845" s="23" t="n"/>
      <c r="B2845" s="24" t="inlineStr">
        <is>
          <t>20595</t>
        </is>
      </c>
      <c r="C2845" s="23" t="inlineStr">
        <is>
          <t>НЛФ СВ</t>
        </is>
      </c>
      <c r="D2845" s="23" t="inlineStr">
        <is>
          <t>Дегтев Д.М</t>
        </is>
      </c>
      <c r="E2845" s="23" t="inlineStr">
        <is>
          <t>Воздушная битва за Сталинград. Операции люфтваффе по поддержке армии Паулюса. 1942–1943</t>
        </is>
      </c>
      <c r="F2845" s="23" t="inlineStr">
        <is>
          <t>        </t>
        </is>
      </c>
      <c r="G2845" s="23" t="n">
        <v>633</v>
      </c>
      <c r="H2845" s="23" t="n">
        <v>10</v>
      </c>
      <c r="I2845" s="23" t="n">
        <v>12</v>
      </c>
      <c r="J2845" s="23" t="inlineStr">
        <is>
          <t>978-5-227-09845-0</t>
        </is>
      </c>
      <c r="K2845" s="23" t="inlineStr">
        <is>
          <t>84x108 1/32</t>
        </is>
      </c>
      <c r="L2845" s="23" t="inlineStr">
        <is>
          <t>тв</t>
        </is>
      </c>
      <c r="M2845" s="23" t="n">
        <v>448</v>
      </c>
      <c r="N2845" s="23" t="n">
        <v>2023</v>
      </c>
      <c r="O2845" s="23" t="n">
        <v>366</v>
      </c>
      <c r="P2845" s="23" t="n"/>
      <c r="Q2845" s="23" t="n"/>
      <c r="R2845" s="25" t="inlineStr">
        <is>
          <t>О роли авиации в Сталинградской битве до сих пор не написано ни одного серьезного труда. Складывается впечатление, что все сводилось к уличным боям, танковым атакам и артиллерийским дуэлям. В данной книге сражение показано как бы с высоты птичьего полета, глазами германских асов и советских летчиков, летавших на грани физического и нервного истощения. Особое внимание уделено знаменитому воздушному мосту в Сталинград, организованному люфтваффе, аналогов которому не было в истории. Сотни перегруженных самолетов сквозь снег и туман, днем и ночью летали в «котел», невзирая на зенитный огонь и атаки «сталинских соколов», которые противостояли им, не щадя сил и не считаясь с огромными потерями. Автор собрал невероятные и порой шокирующие подробности воздушных боев в небе Сталинграда, а также в радиусе двухсот километров вокруг него, систематизировав огромный массив информации из германских и отечественных архивов. Объективный взгляд на события позволит читателю ощутить всю жестокость и драматизм этого беспрецедентного сражения.</t>
        </is>
      </c>
      <c r="S2845" s="26">
        <f>HYPERLINK("http://www.cnpol.ru/covers/20595.jpg","фото на сайте")</f>
        <v/>
      </c>
    </row>
    <row r="2846" ht="50.1" customHeight="1" s="3">
      <c r="A2846" s="23" t="n"/>
      <c r="B2846" s="24" t="inlineStr">
        <is>
          <t>15950</t>
        </is>
      </c>
      <c r="C2846" s="23" t="inlineStr">
        <is>
          <t>НЛФ СВ</t>
        </is>
      </c>
      <c r="D2846" s="23" t="inlineStr">
        <is>
          <t>Дегтев Д., Борисов Ю., Зубов Д.</t>
        </is>
      </c>
      <c r="E2846" s="23" t="inlineStr">
        <is>
          <t>Морская авиация Третьего рейха. История развития и боевого применения. 1933-1945</t>
        </is>
      </c>
      <c r="F2846" s="23" t="inlineStr">
        <is>
          <t>        </t>
        </is>
      </c>
      <c r="G2846" s="23" t="n">
        <v>554</v>
      </c>
      <c r="H2846" s="23" t="n">
        <v>10</v>
      </c>
      <c r="I2846" s="23" t="n">
        <v>20</v>
      </c>
      <c r="J2846" s="23" t="inlineStr">
        <is>
          <t>978-5-227-05851-5</t>
        </is>
      </c>
      <c r="K2846" s="23" t="inlineStr">
        <is>
          <t>84x108 1/32</t>
        </is>
      </c>
      <c r="L2846" s="23" t="inlineStr">
        <is>
          <t>тв</t>
        </is>
      </c>
      <c r="M2846" s="23" t="n">
        <v>221</v>
      </c>
      <c r="N2846" s="23" t="n">
        <v>2015</v>
      </c>
      <c r="O2846" s="23" t="n">
        <v>236</v>
      </c>
      <c r="P2846" s="23" t="n"/>
      <c r="Q2846" s="23" t="n"/>
      <c r="R2846" s="25" t="n"/>
      <c r="S2846" s="26">
        <f>HYPERLINK("http://www.cnpol.ru/covers/15950.jpg","фото на сайте")</f>
        <v/>
      </c>
    </row>
    <row r="2847" ht="50.1" customHeight="1" s="3">
      <c r="A2847" s="23" t="n"/>
      <c r="B2847" s="24" t="inlineStr">
        <is>
          <t>16333</t>
        </is>
      </c>
      <c r="C2847" s="23" t="inlineStr">
        <is>
          <t>НЛФ СВ</t>
        </is>
      </c>
      <c r="D2847" s="23" t="inlineStr">
        <is>
          <t>Ткаченко С.Н</t>
        </is>
      </c>
      <c r="E2847" s="23" t="inlineStr">
        <is>
          <t>Морские десанты в Крым</t>
        </is>
      </c>
      <c r="F2847" s="23" t="inlineStr">
        <is>
          <t>        </t>
        </is>
      </c>
      <c r="G2847" s="23" t="n">
        <v>743</v>
      </c>
      <c r="H2847" s="23" t="n">
        <v>10</v>
      </c>
      <c r="I2847" s="23" t="n">
        <v>10</v>
      </c>
      <c r="J2847" s="23" t="inlineStr">
        <is>
          <t>978-5-227-06183-6</t>
        </is>
      </c>
      <c r="K2847" s="23" t="inlineStr">
        <is>
          <t>84x108 1/32</t>
        </is>
      </c>
      <c r="L2847" s="23" t="inlineStr">
        <is>
          <t>тв</t>
        </is>
      </c>
      <c r="M2847" s="23" t="n">
        <v>416</v>
      </c>
      <c r="N2847" s="23" t="n">
        <v>2015</v>
      </c>
      <c r="O2847" s="23" t="n">
        <v>344</v>
      </c>
      <c r="P2847" s="23" t="n"/>
      <c r="Q2847" s="23" t="n"/>
      <c r="R2847" s="25" t="n"/>
      <c r="S2847" s="26">
        <f>HYPERLINK("http://www.cnpol.ru/covers/16333.jpg","фото на сайте")</f>
        <v/>
      </c>
    </row>
    <row r="2848" ht="50.1" customHeight="1" s="3">
      <c r="A2848" s="23" t="n"/>
      <c r="B2848" s="24" t="inlineStr">
        <is>
          <t>16827</t>
        </is>
      </c>
      <c r="C2848" s="23" t="inlineStr">
        <is>
          <t>НЛФ СВ</t>
        </is>
      </c>
      <c r="D2848" s="23" t="inlineStr">
        <is>
          <t>Урвачев В.Г.</t>
        </is>
      </c>
      <c r="E2848" s="23" t="inlineStr">
        <is>
          <t>На защите московского неба. Боевой путь летчика­истребителя. 1941—1945.</t>
        </is>
      </c>
      <c r="F2848" s="23" t="inlineStr">
        <is>
          <t>        </t>
        </is>
      </c>
      <c r="G2848" s="23" t="n">
        <v>554</v>
      </c>
      <c r="H2848" s="23" t="n">
        <v>10</v>
      </c>
      <c r="I2848" s="23" t="n">
        <v>12</v>
      </c>
      <c r="J2848" s="23" t="inlineStr">
        <is>
          <t>978-5-227-06817-0</t>
        </is>
      </c>
      <c r="K2848" s="23" t="inlineStr">
        <is>
          <t>84x108 1/32</t>
        </is>
      </c>
      <c r="L2848" s="23" t="inlineStr">
        <is>
          <t>тв</t>
        </is>
      </c>
      <c r="M2848" s="23" t="n">
        <v>320</v>
      </c>
      <c r="N2848" s="23" t="n">
        <v>2016</v>
      </c>
      <c r="O2848" s="23" t="n">
        <v>288</v>
      </c>
      <c r="P2848" s="23" t="n"/>
      <c r="Q2848" s="23" t="n"/>
      <c r="R2848" s="25" t="n"/>
      <c r="S2848" s="26">
        <f>HYPERLINK("http://www.cnpol.ru/covers/16827.jpg","фото на сайте")</f>
        <v/>
      </c>
    </row>
    <row r="2849" ht="50.1" customHeight="1" s="3">
      <c r="A2849" s="23" t="n"/>
      <c r="B2849" s="24" t="inlineStr">
        <is>
          <t>16533</t>
        </is>
      </c>
      <c r="C2849" s="23" t="inlineStr">
        <is>
          <t>НЛФ СВ</t>
        </is>
      </c>
      <c r="D2849" s="23" t="inlineStr">
        <is>
          <t>Табаченко А.И.</t>
        </is>
      </c>
      <c r="E2849" s="23" t="inlineStr">
        <is>
          <t>Советский ас Григорий Речкалов</t>
        </is>
      </c>
      <c r="F2849" s="23" t="inlineStr">
        <is>
          <t>        </t>
        </is>
      </c>
      <c r="G2849" s="23" t="n">
        <v>633</v>
      </c>
      <c r="H2849" s="23" t="n">
        <v>10</v>
      </c>
      <c r="I2849" s="23" t="n">
        <v>10</v>
      </c>
      <c r="J2849" s="23" t="inlineStr">
        <is>
          <t>978-5-227-05783-9</t>
        </is>
      </c>
      <c r="K2849" s="23" t="inlineStr">
        <is>
          <t>84x108 1/32</t>
        </is>
      </c>
      <c r="L2849" s="23" t="inlineStr">
        <is>
          <t>тв</t>
        </is>
      </c>
      <c r="M2849" s="23" t="n">
        <v>352</v>
      </c>
      <c r="N2849" s="23" t="n">
        <v>2016</v>
      </c>
      <c r="O2849" s="23" t="n">
        <v>300</v>
      </c>
      <c r="P2849" s="23" t="n"/>
      <c r="Q2849" s="23" t="n"/>
      <c r="R2849" s="25" t="n"/>
      <c r="S2849" s="26">
        <f>HYPERLINK("http://www.cnpol.ru/covers/16533.jpg","фото на сайте")</f>
        <v/>
      </c>
    </row>
    <row r="2850" ht="50.1" customHeight="1" s="3">
      <c r="A2850" s="23" t="n"/>
      <c r="B2850" s="24" t="inlineStr">
        <is>
          <t>18007</t>
        </is>
      </c>
      <c r="C2850" s="23" t="inlineStr">
        <is>
          <t>НЛФ СВ</t>
        </is>
      </c>
      <c r="D2850" s="23" t="inlineStr">
        <is>
          <t>Дегтев Д., Зубов Д.</t>
        </is>
      </c>
      <c r="E2850" s="23" t="inlineStr">
        <is>
          <t>Хроники ближнего бомбардировщика</t>
        </is>
      </c>
      <c r="F2850" s="23" t="inlineStr">
        <is>
          <t>        </t>
        </is>
      </c>
      <c r="G2850" s="23" t="n">
        <v>554</v>
      </c>
      <c r="H2850" s="23" t="n">
        <v>10</v>
      </c>
      <c r="I2850" s="23" t="n">
        <v>16</v>
      </c>
      <c r="J2850" s="23" t="inlineStr">
        <is>
          <t>978-5-227-07776-9</t>
        </is>
      </c>
      <c r="K2850" s="23" t="inlineStr">
        <is>
          <t>84x108 1/32</t>
        </is>
      </c>
      <c r="L2850" s="23" t="inlineStr">
        <is>
          <t>тв</t>
        </is>
      </c>
      <c r="M2850" s="23" t="n">
        <v>256</v>
      </c>
      <c r="N2850" s="23" t="n">
        <v>2018</v>
      </c>
      <c r="O2850" s="23" t="n">
        <v>246</v>
      </c>
      <c r="P2850" s="23" t="n"/>
      <c r="Q2850" s="23" t="n"/>
      <c r="R2850" s="25" t="n"/>
      <c r="S2850" s="26">
        <f>HYPERLINK("http://www.cnpol.ru/covers/18007.jpg","фото на сайте")</f>
        <v/>
      </c>
    </row>
    <row r="2851" ht="50.1" customHeight="1" s="3">
      <c r="A2851" s="23" t="n"/>
      <c r="B2851" s="24" t="inlineStr">
        <is>
          <t>16898</t>
        </is>
      </c>
      <c r="C2851" s="23" t="inlineStr">
        <is>
          <t>НЛФ СВ</t>
        </is>
      </c>
      <c r="D2851" s="23" t="inlineStr">
        <is>
          <t>Дегтев Д.М., Зефиров М.В., Зубов Д.В.</t>
        </is>
      </c>
      <c r="E2851" s="23" t="inlineStr">
        <is>
          <t>Чудо-оружие люфтваффе</t>
        </is>
      </c>
      <c r="F2851" s="23" t="inlineStr">
        <is>
          <t>        </t>
        </is>
      </c>
      <c r="G2851" s="23" t="n">
        <v>554</v>
      </c>
      <c r="H2851" s="23" t="n">
        <v>10</v>
      </c>
      <c r="I2851" s="23" t="n">
        <v>16</v>
      </c>
      <c r="J2851" s="23" t="inlineStr">
        <is>
          <t>978-5-227-06852-1</t>
        </is>
      </c>
      <c r="K2851" s="23" t="inlineStr">
        <is>
          <t>84x108 1/32</t>
        </is>
      </c>
      <c r="L2851" s="23" t="inlineStr">
        <is>
          <t>тв</t>
        </is>
      </c>
      <c r="M2851" s="23" t="n">
        <v>288</v>
      </c>
      <c r="N2851" s="23" t="n">
        <v>2016</v>
      </c>
      <c r="O2851" s="23" t="n">
        <v>270</v>
      </c>
      <c r="P2851" s="23" t="n"/>
      <c r="Q2851" s="23" t="n"/>
      <c r="R2851" s="25" t="n"/>
      <c r="S2851" s="26">
        <f>HYPERLINK("http://www.cnpol.ru/covers/16898.jpg","фото на сайте")</f>
        <v/>
      </c>
    </row>
    <row r="2852" ht="50.1" customHeight="1" s="3">
      <c r="A2852" s="23" t="n"/>
      <c r="B2852" s="24" t="inlineStr">
        <is>
          <t>5597</t>
        </is>
      </c>
      <c r="C2852" s="23" t="inlineStr">
        <is>
          <t>НМ</t>
        </is>
      </c>
      <c r="D2852" s="23" t="inlineStr">
        <is>
          <t>Вилсон Ф. Пол</t>
        </is>
      </c>
      <c r="E2852" s="23" t="inlineStr">
        <is>
          <t>Апостол зла</t>
        </is>
      </c>
      <c r="F2852" s="23" t="inlineStr">
        <is>
          <t>        </t>
        </is>
      </c>
      <c r="G2852" s="23" t="n">
        <v>358</v>
      </c>
      <c r="H2852" s="23" t="n">
        <v>10</v>
      </c>
      <c r="I2852" s="23" t="n">
        <v>10</v>
      </c>
      <c r="J2852" s="23" t="inlineStr">
        <is>
          <t>5-9524-1501-6</t>
        </is>
      </c>
      <c r="K2852" s="23" t="inlineStr">
        <is>
          <t>82x100 1/32</t>
        </is>
      </c>
      <c r="L2852" s="23" t="inlineStr">
        <is>
          <t>тв</t>
        </is>
      </c>
      <c r="M2852" s="23" t="n">
        <v>460</v>
      </c>
      <c r="N2852" s="23" t="n">
        <v>2005</v>
      </c>
      <c r="O2852" s="23" t="n">
        <v>360</v>
      </c>
      <c r="P2852" s="23" t="n"/>
      <c r="Q2852" s="23" t="n"/>
      <c r="R2852" s="25" t="inlineStr">
        <is>
          <t>Прокатившаяся по городу волна ужасных преступлений ставит в тупик полицию и местные власти. Апокалиптические видения посещают католического священника. А виновником всех этих необъяснимых с точки зрения здравого смысла событий оказывается талантливый студент, обладающий феноменальными способностями...</t>
        </is>
      </c>
      <c r="S2852" s="26">
        <f>HYPERLINK("http://www.cnpol.ru/covers/5597.jpg","фото на сайте")</f>
        <v/>
      </c>
    </row>
    <row r="2853" ht="50.1" customHeight="1" s="3">
      <c r="A2853" s="23" t="n"/>
      <c r="B2853" s="24" t="inlineStr">
        <is>
          <t>6404</t>
        </is>
      </c>
      <c r="C2853" s="23" t="inlineStr">
        <is>
          <t>НМ</t>
        </is>
      </c>
      <c r="D2853" s="23" t="inlineStr">
        <is>
          <t>Вилсон Ф. Пол</t>
        </is>
      </c>
      <c r="E2853" s="23" t="inlineStr">
        <is>
          <t>Колесо в колесе</t>
        </is>
      </c>
      <c r="F2853" s="23" t="inlineStr">
        <is>
          <t>        </t>
        </is>
      </c>
      <c r="G2853" s="23" t="n">
        <v>358</v>
      </c>
      <c r="H2853" s="23" t="n">
        <v>10</v>
      </c>
      <c r="I2853" s="23" t="n">
        <v>16</v>
      </c>
      <c r="J2853" s="23" t="inlineStr">
        <is>
          <t>5-9524-2128-8</t>
        </is>
      </c>
      <c r="K2853" s="23" t="inlineStr">
        <is>
          <t>82x100 1/32</t>
        </is>
      </c>
      <c r="L2853" s="23" t="inlineStr">
        <is>
          <t>тв</t>
        </is>
      </c>
      <c r="M2853" s="23" t="n">
        <v>270</v>
      </c>
      <c r="N2853" s="23" t="n">
        <v>2007</v>
      </c>
      <c r="O2853" s="23" t="n">
        <v>242</v>
      </c>
      <c r="P2853" s="23" t="n"/>
      <c r="Q2853" s="23" t="n"/>
      <c r="R2853" s="25" t="inlineStr">
        <is>
          <t>Секторальный представитель Межпланетной Федерации Элсон де Блуаз хочет использовать открытие врат, искривляющих пространство, для укрепления своей власти. У него на пути встает Джозефина Финч, которая обнаруживает заговор против Федерации. Де Блуаз отправляет пси-киллера уничтожить своих противников...</t>
        </is>
      </c>
      <c r="S2853" s="26">
        <f>HYPERLINK("http://www.cnpol.ru/covers/6404.jpg","фото на сайте")</f>
        <v/>
      </c>
    </row>
    <row r="2854" ht="50.1" customHeight="1" s="3">
      <c r="A2854" s="23" t="n"/>
      <c r="B2854" s="24" t="inlineStr">
        <is>
          <t>7230</t>
        </is>
      </c>
      <c r="C2854" s="23" t="inlineStr">
        <is>
          <t>НМ</t>
        </is>
      </c>
      <c r="D2854" s="23" t="inlineStr">
        <is>
          <t>Вилсон Ф. Пол</t>
        </is>
      </c>
      <c r="E2854" s="23" t="inlineStr">
        <is>
          <t>Перекрестья</t>
        </is>
      </c>
      <c r="F2854" s="23" t="inlineStr">
        <is>
          <t>        </t>
        </is>
      </c>
      <c r="G2854" s="23" t="n">
        <v>358</v>
      </c>
      <c r="H2854" s="23" t="n">
        <v>10</v>
      </c>
      <c r="I2854" s="23" t="n">
        <v>10</v>
      </c>
      <c r="J2854" s="23" t="inlineStr">
        <is>
          <t>5-9524-2241-1</t>
        </is>
      </c>
      <c r="K2854" s="23" t="inlineStr">
        <is>
          <t>84x108 1/32</t>
        </is>
      </c>
      <c r="L2854" s="23" t="inlineStr">
        <is>
          <t>тв</t>
        </is>
      </c>
      <c r="M2854" s="23" t="n">
        <v>488</v>
      </c>
      <c r="N2854" s="23" t="n">
        <v>2007</v>
      </c>
      <c r="O2854" s="23" t="n">
        <v>400</v>
      </c>
      <c r="P2854" s="23" t="n"/>
      <c r="Q2854" s="23" t="n"/>
      <c r="R2854" s="25" t="n"/>
      <c r="S2854" s="26">
        <f>HYPERLINK("http://www.cnpol.ru/covers/7230.jpg","фото на сайте")</f>
        <v/>
      </c>
    </row>
    <row r="2855" ht="50.1" customHeight="1" s="3">
      <c r="A2855" s="23" t="n"/>
      <c r="B2855" s="24" t="inlineStr">
        <is>
          <t>5609</t>
        </is>
      </c>
      <c r="C2855" s="23" t="inlineStr">
        <is>
          <t>НМ</t>
        </is>
      </c>
      <c r="D2855" s="23" t="inlineStr">
        <is>
          <t>Вилсон Ф. Пол</t>
        </is>
      </c>
      <c r="E2855" s="23" t="inlineStr">
        <is>
          <t>Рожденный дважды</t>
        </is>
      </c>
      <c r="F2855" s="23" t="inlineStr">
        <is>
          <t>        </t>
        </is>
      </c>
      <c r="G2855" s="23" t="n">
        <v>358</v>
      </c>
      <c r="H2855" s="23" t="n">
        <v>10</v>
      </c>
      <c r="I2855" s="23" t="n">
        <v>10</v>
      </c>
      <c r="J2855" s="23" t="inlineStr">
        <is>
          <t>5-9524-1502-4</t>
        </is>
      </c>
      <c r="K2855" s="23" t="inlineStr">
        <is>
          <t>82x100 1/32</t>
        </is>
      </c>
      <c r="L2855" s="23" t="inlineStr">
        <is>
          <t>тв</t>
        </is>
      </c>
      <c r="M2855" s="23" t="n">
        <v>430</v>
      </c>
      <c r="N2855" s="23" t="n">
        <v>2005</v>
      </c>
      <c r="O2855" s="23" t="n">
        <v>364</v>
      </c>
      <c r="P2855" s="23" t="n"/>
      <c r="Q2855" s="23" t="n"/>
      <c r="R2855" s="25" t="n"/>
      <c r="S2855" s="26">
        <f>HYPERLINK("http://www.cnpol.ru/covers/5609.jpg","фото на сайте")</f>
        <v/>
      </c>
    </row>
    <row r="2856" ht="50.1" customHeight="1" s="3">
      <c r="A2856" s="23" t="n"/>
      <c r="B2856" s="24" t="inlineStr">
        <is>
          <t>6341</t>
        </is>
      </c>
      <c r="C2856" s="23" t="inlineStr">
        <is>
          <t>НМ</t>
        </is>
      </c>
      <c r="D2856" s="23" t="inlineStr">
        <is>
          <t>Вилсон Ф. Пол</t>
        </is>
      </c>
      <c r="E2856" s="23" t="inlineStr">
        <is>
          <t>Целитель</t>
        </is>
      </c>
      <c r="F2856" s="23" t="inlineStr">
        <is>
          <t>        </t>
        </is>
      </c>
      <c r="G2856" s="23" t="n">
        <v>358</v>
      </c>
      <c r="H2856" s="23" t="n">
        <v>10</v>
      </c>
      <c r="I2856" s="23" t="n">
        <v>16</v>
      </c>
      <c r="J2856" s="23" t="inlineStr">
        <is>
          <t>5-9524-2099-0</t>
        </is>
      </c>
      <c r="K2856" s="23" t="inlineStr">
        <is>
          <t>82x100 1/32</t>
        </is>
      </c>
      <c r="L2856" s="23" t="inlineStr">
        <is>
          <t>тв</t>
        </is>
      </c>
      <c r="M2856" s="23" t="n">
        <v>254</v>
      </c>
      <c r="N2856" s="23" t="n">
        <v>2007</v>
      </c>
      <c r="O2856" s="23" t="n">
        <v>242</v>
      </c>
      <c r="P2856" s="23" t="n"/>
      <c r="Q2856" s="23" t="n"/>
      <c r="R2856" s="25" t="n"/>
      <c r="S2856" s="26">
        <f>HYPERLINK("http://www.cnpol.ru/covers/6341.jpg","фото на сайте")</f>
        <v/>
      </c>
    </row>
    <row r="2857" ht="50.1" customHeight="1" s="3">
      <c r="A2857" s="23" t="n"/>
      <c r="B2857" s="24" t="inlineStr">
        <is>
          <t>19810</t>
        </is>
      </c>
      <c r="C2857" s="23" t="inlineStr">
        <is>
          <t>Новая редакция</t>
        </is>
      </c>
      <c r="D2857" s="23" t="inlineStr">
        <is>
          <t>Синельников В.В.</t>
        </is>
      </c>
      <c r="E2857" s="23" t="inlineStr">
        <is>
          <t>Возлюби болезнь свою (подарочная)</t>
        </is>
      </c>
      <c r="F2857" s="23" t="inlineStr">
        <is>
          <t>        </t>
        </is>
      </c>
      <c r="G2857" s="27" t="n">
        <v>1031</v>
      </c>
      <c r="H2857" s="23" t="n">
        <v>10</v>
      </c>
      <c r="I2857" s="23" t="n">
        <v>8</v>
      </c>
      <c r="J2857" s="23" t="inlineStr">
        <is>
          <t>978-5-227-09587-9</t>
        </is>
      </c>
      <c r="K2857" s="23" t="inlineStr">
        <is>
          <t>70х100 1/16</t>
        </is>
      </c>
      <c r="L2857" s="23" t="inlineStr">
        <is>
          <t>тв</t>
        </is>
      </c>
      <c r="M2857" s="23" t="n">
        <v>414</v>
      </c>
      <c r="N2857" s="23" t="n">
        <v>2021</v>
      </c>
      <c r="O2857" s="23" t="n">
        <v>654</v>
      </c>
      <c r="P2857" s="23" t="n"/>
      <c r="Q2857" s="23" t="n"/>
      <c r="R2857" s="25" t="inlineStr">
        <is>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is>
      </c>
      <c r="S2857" s="26">
        <f>HYPERLINK("http://www.cnpol.ru/covers/19810.jpg","фото на сайте")</f>
        <v/>
      </c>
    </row>
    <row r="2858" ht="50.1" customHeight="1" s="3">
      <c r="A2858" s="23" t="n"/>
      <c r="B2858" s="24" t="inlineStr">
        <is>
          <t>19770</t>
        </is>
      </c>
      <c r="C2858" s="23" t="inlineStr">
        <is>
          <t>Новая редакция</t>
        </is>
      </c>
      <c r="D2858" s="23" t="inlineStr">
        <is>
          <t>Синельников В.В.</t>
        </is>
      </c>
      <c r="E2858" s="23" t="inlineStr">
        <is>
          <t>Возлюби болезнь свою (с клапанами)</t>
        </is>
      </c>
      <c r="F2858" s="23" t="inlineStr">
        <is>
          <t>        </t>
        </is>
      </c>
      <c r="G2858" s="23" t="n">
        <v>886</v>
      </c>
      <c r="H2858" s="23" t="n">
        <v>10</v>
      </c>
      <c r="I2858" s="23" t="n">
        <v>6</v>
      </c>
      <c r="J2858" s="23" t="inlineStr">
        <is>
          <t>978-5-227-09584-8</t>
        </is>
      </c>
      <c r="K2858" s="23" t="inlineStr">
        <is>
          <t>70х90 1/16</t>
        </is>
      </c>
      <c r="L2858" s="23" t="inlineStr">
        <is>
          <t>Интегр</t>
        </is>
      </c>
      <c r="M2858" s="23" t="n">
        <v>414</v>
      </c>
      <c r="N2858" s="23" t="n">
        <v>2021</v>
      </c>
      <c r="O2858" s="23" t="n">
        <v>220</v>
      </c>
      <c r="P2858" s="23" t="n"/>
      <c r="Q2858" s="23" t="n"/>
      <c r="R2858" s="25" t="inlineStr">
        <is>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удачливым._x000D_
Книга — своеобразный "пусковой механизм" для сознания, которое начинает работать. А это самый важный эффект, поскольку всякое изменение начинается с энергии мысли. С момента первого выхода книги произошло много изменений, как в стране, так и в мире. И автор, будучи человеком творческим, также менялся и совершенствовался вместе с эпохой, подтверждая свою методику плодотворной практикой. Сегодня мы представляем вам новую, доработанную и дополненную версию легендарной книги. Читайте и будьте здоровы!</t>
        </is>
      </c>
      <c r="S2858" s="26">
        <f>HYPERLINK("http://www.cnpol.ru/covers/19770.jpg","фото на сайте")</f>
        <v/>
      </c>
    </row>
    <row r="2859" ht="50.1" customHeight="1" s="3">
      <c r="A2859" s="23" t="n"/>
      <c r="B2859" s="24" t="inlineStr">
        <is>
          <t>19612</t>
        </is>
      </c>
      <c r="C2859" s="23" t="inlineStr">
        <is>
          <t>НОВАЯ Я</t>
        </is>
      </c>
      <c r="D2859" s="23" t="inlineStr">
        <is>
          <t>Силуянова Л.</t>
        </is>
      </c>
      <c r="E2859" s="23" t="inlineStr">
        <is>
          <t>Карнавал. V.Plans. Женский планировщик. Новая Я. (Вид 8)</t>
        </is>
      </c>
      <c r="F2859" s="23" t="n">
        <v>8</v>
      </c>
      <c r="G2859" s="23" t="n">
        <v>534</v>
      </c>
      <c r="H2859" s="23" t="n">
        <v>10</v>
      </c>
      <c r="I2859" s="23" t="n">
        <v>20</v>
      </c>
      <c r="J2859" s="23" t="inlineStr">
        <is>
          <t>978-5-227-09380-6</t>
        </is>
      </c>
      <c r="K2859" s="23" t="inlineStr">
        <is>
          <t>60x90 1/16</t>
        </is>
      </c>
      <c r="L2859" s="23" t="inlineStr">
        <is>
          <t>тв</t>
        </is>
      </c>
      <c r="M2859" s="23" t="n">
        <v>143</v>
      </c>
      <c r="N2859" s="23" t="n">
        <v>2021</v>
      </c>
      <c r="O2859" s="23" t="n">
        <v>180</v>
      </c>
      <c r="P2859" s="23" t="n"/>
      <c r="Q2859" s="23" t="n"/>
      <c r="R2859" s="25" t="inlineStr">
        <is>
          <t>Мечты не сбываются? Забываете об обещаниях и потом мучаетесь совестью? Всё в жизни летит кувырком? Не хватает времени? Эти проблемы, к сожалению, знакомы практически каждой женщине... Грустно, но не стоит отчаиваться и опускать руки. Всё в жизни наладится и пойдёт как по маслу, просто надо научиться рационально планировать свои дела и заботы и  разложить их полочкам в спокойном разуме, без нервов и суеты. А поможет Вам в этом простой и удобный планировщик, который автор разработала на своём жизненном опыте. Не надо изобретать велосипед, всё уже придумано и проверено на опыте Лилии Силуяновой, которая сумела наладить свою жизнь благодаря грамотному планированию дел и событий. Поверьте, получилось у неё, получится и у Вас!_x000D_
V.Plans — это женский планер, который поможет достичь поставленных целей и за счет специальных техник сделает вас счастливее. Работая с этим блокнотом в течение года, вы сможете привлечь изменения, благодаря которым ваша жизнь станет более счастливой и наполненной. Вы сумеете выработать полезные привычки, избавитесь от ненужных и вредных, станете добрее и осознаннее. Достигнете поставленных задач, лучше поймете себя и быстрее найдете свое место в этом мире.</t>
        </is>
      </c>
      <c r="S2859" s="26">
        <f>HYPERLINK("http://www.cnpol.ru/covers/19612.jpg","фото на сайте")</f>
        <v/>
      </c>
    </row>
    <row r="2860" ht="50.1" customHeight="1" s="3">
      <c r="A2860" s="23" t="n"/>
      <c r="B2860" s="24" t="inlineStr">
        <is>
          <t>19609</t>
        </is>
      </c>
      <c r="C2860" s="23" t="inlineStr">
        <is>
          <t>НОВАЯ Я</t>
        </is>
      </c>
      <c r="D2860" s="23" t="inlineStr">
        <is>
          <t>Силуянова Л.</t>
        </is>
      </c>
      <c r="E2860" s="23" t="inlineStr">
        <is>
          <t>Леди PINK. V.Plans. Женский планировщик. Новая Я. (Вид 5)</t>
        </is>
      </c>
      <c r="F2860" s="23" t="n">
        <v>5</v>
      </c>
      <c r="G2860" s="23" t="n">
        <v>534</v>
      </c>
      <c r="H2860" s="23" t="n">
        <v>10</v>
      </c>
      <c r="I2860" s="23" t="n">
        <v>20</v>
      </c>
      <c r="J2860" s="23" t="inlineStr">
        <is>
          <t>978-5-227-09377-6</t>
        </is>
      </c>
      <c r="K2860" s="23" t="inlineStr">
        <is>
          <t>60x90 1/16</t>
        </is>
      </c>
      <c r="L2860" s="23" t="inlineStr">
        <is>
          <t>тв</t>
        </is>
      </c>
      <c r="M2860" s="23" t="n">
        <v>143</v>
      </c>
      <c r="N2860" s="23" t="n">
        <v>2021</v>
      </c>
      <c r="O2860" s="23" t="n">
        <v>180</v>
      </c>
      <c r="P2860" s="23" t="n"/>
      <c r="Q2860" s="23" t="n"/>
      <c r="R2860" s="25" t="inlineStr">
        <is>
          <t>Мечты не сбываются? Забываете об обещаниях и потом мучаетесь совестью? Всё в жизни летит кувырком? Не хватает времени? Эти проблемы, к сожалению, знакомы практически каждой женщине... Грустно, но не стоит отчаиваться и опускать руки. Всё в жизни наладится и пойдёт как по маслу, просто надо научиться рационально планировать свои дела и заботы и  разложить их полочкам в спокойном разуме, без нервов и суеты. А поможет Вам в этом простой и удобный планировщик, который автор разработала на своём жизненном опыте. Не надо изобретать велосипед, всё уже придумано и проверено на опыте Лилии Силуяновой, которая сумела наладить свою жизнь благодаря грамотному планированию дел и событий. Поверьте, получилось у неё, получится и у Вас!_x000D_
V.Plans — это женский планер, который поможет достичь поставленных целей и за счет специальных техник сделает вас счастливее. Работая с этим блокнотом в течение года, вы сможете привлечь изменения, благодаря которым ваша жизнь станет более счастливой и наполненной. Вы сумеете выработать полезные привычки, избавитесь от ненужных и вредных, станете добрее и осознаннее. Достигнете поставленных задач, лучше поймете себя и быстрее найдете свое место в этом мире.</t>
        </is>
      </c>
      <c r="S2860" s="26">
        <f>HYPERLINK("http://www.cnpol.ru/covers/19609.jpg","фото на сайте")</f>
        <v/>
      </c>
    </row>
    <row r="2861" ht="50.1" customHeight="1" s="3">
      <c r="A2861" s="23" t="n"/>
      <c r="B2861" s="24" t="inlineStr">
        <is>
          <t>19605</t>
        </is>
      </c>
      <c r="C2861" s="23" t="inlineStr">
        <is>
          <t>НОВАЯ Я</t>
        </is>
      </c>
      <c r="D2861" s="23" t="inlineStr">
        <is>
          <t>Силуянова Л.</t>
        </is>
      </c>
      <c r="E2861" s="23" t="inlineStr">
        <is>
          <t>Морская пена. V.Plans. Женский планировщик. Новая Я. (Вид 1)</t>
        </is>
      </c>
      <c r="F2861" s="23" t="n">
        <v>1</v>
      </c>
      <c r="G2861" s="23" t="n">
        <v>534</v>
      </c>
      <c r="H2861" s="23" t="n">
        <v>10</v>
      </c>
      <c r="I2861" s="23" t="n">
        <v>20</v>
      </c>
      <c r="J2861" s="23" t="inlineStr">
        <is>
          <t>978-5-227-09370-7</t>
        </is>
      </c>
      <c r="K2861" s="23" t="inlineStr">
        <is>
          <t>60x90 1/16</t>
        </is>
      </c>
      <c r="L2861" s="23" t="inlineStr">
        <is>
          <t>тв</t>
        </is>
      </c>
      <c r="M2861" s="23" t="n">
        <v>143</v>
      </c>
      <c r="N2861" s="23" t="n">
        <v>2021</v>
      </c>
      <c r="O2861" s="23" t="n">
        <v>180</v>
      </c>
      <c r="P2861" s="23" t="n"/>
      <c r="Q2861" s="23" t="n"/>
      <c r="R2861" s="25" t="n"/>
      <c r="S2861" s="26">
        <f>HYPERLINK("http://www.cnpol.ru/covers/19605.jpg","фото на сайте")</f>
        <v/>
      </c>
    </row>
    <row r="2862" ht="50.1" customHeight="1" s="3">
      <c r="A2862" s="23" t="n"/>
      <c r="B2862" s="24" t="inlineStr">
        <is>
          <t>19607</t>
        </is>
      </c>
      <c r="C2862" s="23" t="inlineStr">
        <is>
          <t>НОВАЯ Я</t>
        </is>
      </c>
      <c r="D2862" s="23" t="inlineStr">
        <is>
          <t>Силуянова Л.</t>
        </is>
      </c>
      <c r="E2862" s="23" t="inlineStr">
        <is>
          <t>Мраморная сказка. V.Plans. Женский планировщик. Новая Я. (Вид 3)</t>
        </is>
      </c>
      <c r="F2862" s="23" t="n">
        <v>3</v>
      </c>
      <c r="G2862" s="23" t="n">
        <v>534</v>
      </c>
      <c r="H2862" s="23" t="n">
        <v>10</v>
      </c>
      <c r="I2862" s="23" t="n">
        <v>20</v>
      </c>
      <c r="J2862" s="23" t="inlineStr">
        <is>
          <t>978-5-227-09375-2</t>
        </is>
      </c>
      <c r="K2862" s="23" t="inlineStr">
        <is>
          <t>60x90 1/16</t>
        </is>
      </c>
      <c r="L2862" s="23" t="inlineStr">
        <is>
          <t>тв</t>
        </is>
      </c>
      <c r="M2862" s="23" t="n">
        <v>143</v>
      </c>
      <c r="N2862" s="23" t="n">
        <v>2021</v>
      </c>
      <c r="O2862" s="23" t="n">
        <v>180</v>
      </c>
      <c r="P2862" s="23" t="n"/>
      <c r="Q2862" s="23" t="n"/>
      <c r="R2862" s="25" t="n"/>
      <c r="S2862" s="26">
        <f>HYPERLINK("http://www.cnpol.ru/covers/19607.jpg","фото на сайте")</f>
        <v/>
      </c>
    </row>
    <row r="2863" ht="50.1" customHeight="1" s="3">
      <c r="A2863" s="23" t="n"/>
      <c r="B2863" s="24" t="inlineStr">
        <is>
          <t>19610</t>
        </is>
      </c>
      <c r="C2863" s="23" t="inlineStr">
        <is>
          <t>НОВАЯ Я</t>
        </is>
      </c>
      <c r="D2863" s="23" t="inlineStr">
        <is>
          <t>Силуянова Л.</t>
        </is>
      </c>
      <c r="E2863" s="23" t="inlineStr">
        <is>
          <t>Параллельная реальность. V.Plans. Женский планировщик. Новая Я. (Вид 6)</t>
        </is>
      </c>
      <c r="F2863" s="23" t="n">
        <v>6</v>
      </c>
      <c r="G2863" s="23" t="n">
        <v>534</v>
      </c>
      <c r="H2863" s="23" t="n">
        <v>10</v>
      </c>
      <c r="I2863" s="23" t="n">
        <v>20</v>
      </c>
      <c r="J2863" s="23" t="inlineStr">
        <is>
          <t>978-5-227-09378-3</t>
        </is>
      </c>
      <c r="K2863" s="23" t="inlineStr">
        <is>
          <t>60x90 1/16</t>
        </is>
      </c>
      <c r="L2863" s="23" t="inlineStr">
        <is>
          <t>тв</t>
        </is>
      </c>
      <c r="M2863" s="23" t="n">
        <v>143</v>
      </c>
      <c r="N2863" s="23" t="n">
        <v>2021</v>
      </c>
      <c r="O2863" s="23" t="n">
        <v>180</v>
      </c>
      <c r="P2863" s="23" t="n"/>
      <c r="Q2863" s="23" t="n"/>
      <c r="R2863" s="25" t="n"/>
      <c r="S2863" s="26">
        <f>HYPERLINK("http://www.cnpol.ru/covers/19610.jpg","фото на сайте")</f>
        <v/>
      </c>
    </row>
    <row r="2864" ht="50.1" customHeight="1" s="3">
      <c r="A2864" s="23" t="n"/>
      <c r="B2864" s="24" t="inlineStr">
        <is>
          <t>19611</t>
        </is>
      </c>
      <c r="C2864" s="23" t="inlineStr">
        <is>
          <t>НОВАЯ Я</t>
        </is>
      </c>
      <c r="D2864" s="23" t="inlineStr">
        <is>
          <t>Силуянова Л.</t>
        </is>
      </c>
      <c r="E2864" s="23" t="inlineStr">
        <is>
          <t>Полосы рассвета. V.Plans. Женский планировщик. Новая Я. (Вид 7)</t>
        </is>
      </c>
      <c r="F2864" s="23" t="n">
        <v>7</v>
      </c>
      <c r="G2864" s="23" t="n">
        <v>534</v>
      </c>
      <c r="H2864" s="23" t="n">
        <v>10</v>
      </c>
      <c r="I2864" s="23" t="n">
        <v>20</v>
      </c>
      <c r="J2864" s="23" t="inlineStr">
        <is>
          <t>978-5-227-09379-0</t>
        </is>
      </c>
      <c r="K2864" s="23" t="inlineStr">
        <is>
          <t>60x90 1/16</t>
        </is>
      </c>
      <c r="L2864" s="23" t="inlineStr">
        <is>
          <t>тв</t>
        </is>
      </c>
      <c r="M2864" s="23" t="n">
        <v>143</v>
      </c>
      <c r="N2864" s="23" t="n">
        <v>2021</v>
      </c>
      <c r="O2864" s="23" t="n">
        <v>180</v>
      </c>
      <c r="P2864" s="23" t="n"/>
      <c r="Q2864" s="23" t="n"/>
      <c r="R2864" s="25" t="n"/>
      <c r="S2864" s="26">
        <f>HYPERLINK("http://www.cnpol.ru/covers/19611.jpg","фото на сайте")</f>
        <v/>
      </c>
    </row>
    <row r="2865" ht="50.1" customHeight="1" s="3">
      <c r="A2865" s="23" t="n"/>
      <c r="B2865" s="24" t="inlineStr">
        <is>
          <t>19606</t>
        </is>
      </c>
      <c r="C2865" s="23" t="inlineStr">
        <is>
          <t>НОВАЯ Я</t>
        </is>
      </c>
      <c r="D2865" s="23" t="inlineStr">
        <is>
          <t>Силуянова Л.</t>
        </is>
      </c>
      <c r="E2865" s="23" t="inlineStr">
        <is>
          <t>Розовая нежность. V.Plans. Женский планировщик. Новая Я. (Вид 2)</t>
        </is>
      </c>
      <c r="F2865" s="23" t="n">
        <v>2</v>
      </c>
      <c r="G2865" s="23" t="n">
        <v>534</v>
      </c>
      <c r="H2865" s="23" t="n">
        <v>10</v>
      </c>
      <c r="I2865" s="23" t="n">
        <v>20</v>
      </c>
      <c r="J2865" s="23" t="inlineStr">
        <is>
          <t>978-5-227-09374-5</t>
        </is>
      </c>
      <c r="K2865" s="23" t="inlineStr">
        <is>
          <t>60x90 1/16</t>
        </is>
      </c>
      <c r="L2865" s="23" t="inlineStr">
        <is>
          <t>тв</t>
        </is>
      </c>
      <c r="M2865" s="23" t="n">
        <v>143</v>
      </c>
      <c r="N2865" s="23" t="n">
        <v>2021</v>
      </c>
      <c r="O2865" s="23" t="n">
        <v>180</v>
      </c>
      <c r="P2865" s="23" t="n"/>
      <c r="Q2865" s="23" t="n"/>
      <c r="R2865" s="25" t="n"/>
      <c r="S2865" s="26">
        <f>HYPERLINK("http://www.cnpol.ru/covers/19606.jpg","фото на сайте")</f>
        <v/>
      </c>
    </row>
    <row r="2866" ht="50.1" customHeight="1" s="3">
      <c r="A2866" s="23" t="n"/>
      <c r="B2866" s="24" t="inlineStr">
        <is>
          <t>17181</t>
        </is>
      </c>
      <c r="C2866" s="23" t="inlineStr">
        <is>
          <t>Новый FICTION</t>
        </is>
      </c>
      <c r="D2866" s="23" t="inlineStr">
        <is>
          <t>Спилман Л.Н.</t>
        </is>
      </c>
      <c r="E2866" s="23" t="inlineStr">
        <is>
          <t>Жизненный план</t>
        </is>
      </c>
      <c r="F2866" s="23" t="inlineStr">
        <is>
          <t>        </t>
        </is>
      </c>
      <c r="G2866" s="23" t="n">
        <v>319</v>
      </c>
      <c r="H2866" s="23" t="n">
        <v>10</v>
      </c>
      <c r="I2866" s="23" t="n">
        <v>14</v>
      </c>
      <c r="J2866" s="23" t="inlineStr">
        <is>
          <t>978-5-227-07149-1</t>
        </is>
      </c>
      <c r="K2866" s="23" t="inlineStr">
        <is>
          <t>75x100 1/32</t>
        </is>
      </c>
      <c r="L2866" s="23" t="inlineStr">
        <is>
          <t>мяг</t>
        </is>
      </c>
      <c r="M2866" s="23" t="n">
        <v>352</v>
      </c>
      <c r="N2866" s="23" t="n">
        <v>2016</v>
      </c>
      <c r="O2866" s="23" t="n">
        <v>174</v>
      </c>
      <c r="P2866" s="23" t="n"/>
      <c r="Q2866" s="23" t="n"/>
      <c r="R2866" s="25" t="inlineStr">
        <is>
          <t>После смерти матери Брет Боулингер с ужасом обнаруживает, что ей одной из трех детей в наследство достался лишь список ее же собственных жизненных целей, написанный в четырнадцать лет, с комментариями мамы. Условие получения остального наследства — выполнение всех пунктов списка, включая и замужество, и даже покупку лошади. Но реально ли осуществить детские мечты всего лишь в течение года? И как, например, помириться с ­отцом, если он уже умер… Нищая, униженная, и все это только ради нее? А тут еще странный мужчина в плаще «Бёрберри»…</t>
        </is>
      </c>
      <c r="S2866" s="26">
        <f>HYPERLINK("http://www.cnpol.ru/covers/17181.jpg","фото на сайте")</f>
        <v/>
      </c>
    </row>
    <row r="2867" ht="50.1" customHeight="1" s="3">
      <c r="A2867" s="23" t="n"/>
      <c r="B2867" s="24" t="inlineStr">
        <is>
          <t>17714</t>
        </is>
      </c>
      <c r="C2867" s="23" t="inlineStr">
        <is>
          <t>Новый FICTION</t>
        </is>
      </c>
      <c r="D2867" s="23" t="inlineStr">
        <is>
          <t>Донохью Э.</t>
        </is>
      </c>
      <c r="E2867" s="23" t="inlineStr">
        <is>
          <t>Запечатанное письмо</t>
        </is>
      </c>
      <c r="F2867" s="23" t="inlineStr">
        <is>
          <t>        </t>
        </is>
      </c>
      <c r="G2867" s="23" t="n">
        <v>319</v>
      </c>
      <c r="H2867" s="23" t="n">
        <v>10</v>
      </c>
      <c r="I2867" s="23" t="n">
        <v>14</v>
      </c>
      <c r="J2867" s="23" t="inlineStr">
        <is>
          <t>978-5-227-07595-6</t>
        </is>
      </c>
      <c r="K2867" s="23" t="inlineStr">
        <is>
          <t>75x100 1/32</t>
        </is>
      </c>
      <c r="L2867" s="23" t="inlineStr">
        <is>
          <t>мяг</t>
        </is>
      </c>
      <c r="M2867" s="23" t="n">
        <v>448</v>
      </c>
      <c r="N2867" s="23" t="n">
        <v>2017</v>
      </c>
      <c r="O2867" s="23" t="n">
        <v>222</v>
      </c>
      <c r="P2867" s="23" t="n"/>
      <c r="Q2867" s="23" t="n"/>
      <c r="R2867" s="25" t="inlineStr">
        <is>
          <t>Красавица Хелен, дерзкая искательница развлечений, не боится рисковать, и в какой-то момент о ее измене становится известно мужу — адмиралу Кодрингтону. Чтобы избежать огласки и развода, Хелен задумывает интригу, в которую вовлекает старую деву Эмили Фейтфул. Пожилой муж, ветреная жена и близкая подруга образуют роковой треугольник. Их сложные отношения дают толчок к стремительному и неожиданному развитию сюжета, за которым читатель напряженно следит до самой последней страницы, как в настоящем детективе.Роман основан на действительно происходившем в 1864 г. бракоразводном процессе «Кодрингтон против Кодрингтон и Андерсона», подробные отчеты о котором печатались во всех английских газетах.</t>
        </is>
      </c>
      <c r="S2867" s="26">
        <f>HYPERLINK("http://www.cnpol.ru/covers/17714.jpg","фото на сайте")</f>
        <v/>
      </c>
    </row>
    <row r="2868" ht="50.1" customHeight="1" s="3">
      <c r="A2868" s="23" t="n"/>
      <c r="B2868" s="24" t="inlineStr">
        <is>
          <t>19624</t>
        </is>
      </c>
      <c r="C2868" s="23" t="inlineStr">
        <is>
          <t>Новый FICTION</t>
        </is>
      </c>
      <c r="D2868" s="23" t="inlineStr">
        <is>
          <t>Маклей К.</t>
        </is>
      </c>
      <c r="E2868" s="23" t="inlineStr">
        <is>
          <t>Киноклуб</t>
        </is>
      </c>
      <c r="F2868" s="23" t="inlineStr">
        <is>
          <t>        </t>
        </is>
      </c>
      <c r="G2868" s="23" t="n">
        <v>319</v>
      </c>
      <c r="H2868" s="23" t="n">
        <v>10</v>
      </c>
      <c r="I2868" s="23" t="n">
        <v>8</v>
      </c>
      <c r="J2868" s="23" t="inlineStr">
        <is>
          <t>978-5-227-09439-1</t>
        </is>
      </c>
      <c r="K2868" s="23" t="inlineStr">
        <is>
          <t>75x100 1/32</t>
        </is>
      </c>
      <c r="L2868" s="23" t="inlineStr">
        <is>
          <t>мяг</t>
        </is>
      </c>
      <c r="M2868" s="23" t="n">
        <v>384</v>
      </c>
      <c r="N2868" s="23" t="n">
        <v>2021</v>
      </c>
      <c r="O2868" s="23" t="n">
        <v>192</v>
      </c>
      <c r="P2868" s="23" t="n"/>
      <c r="Q2868" s="23" t="n"/>
      <c r="R2868" s="25" t="inlineStr">
        <is>
          <t>Казалось бы, что может объединять начинающего писателя, музыканта-бунтаря, плейбоя-миллиардера, примерного семьянина, комика, работающего в жанре комедии  оскорблений, и любителя спорта, ведущего малоподвижный образ жизни? Конечно же общая любовь к кино! Они собираются раз в месяц, чтобы посмотреть какой-нибудь фильм. И этим встречам ничто не может помешать — даже самые фантастические жизненные ситуации, в которые они попадают и которые напоминают то комедию, то мелодраму, то детектив, а то и вовсе фильм ужасов…</t>
        </is>
      </c>
      <c r="S2868" s="26">
        <f>HYPERLINK("http://www.cnpol.ru/covers/19624.jpg","фото на сайте")</f>
        <v/>
      </c>
    </row>
    <row r="2869" ht="50.1" customHeight="1" s="3">
      <c r="A2869" s="23" t="n"/>
      <c r="B2869" s="24" t="inlineStr">
        <is>
          <t>20625</t>
        </is>
      </c>
      <c r="C2869" s="23" t="inlineStr">
        <is>
          <t>Новый FICTION</t>
        </is>
      </c>
      <c r="D2869" s="23" t="inlineStr">
        <is>
          <t>Юрас М.</t>
        </is>
      </c>
      <c r="E2869" s="23" t="inlineStr">
        <is>
          <t>Короткие слова — великие лекарства</t>
        </is>
      </c>
      <c r="F2869" s="23" t="inlineStr">
        <is>
          <t>        </t>
        </is>
      </c>
      <c r="G2869" s="23" t="n">
        <v>319</v>
      </c>
      <c r="H2869" s="23" t="n">
        <v>10</v>
      </c>
      <c r="I2869" s="23" t="n">
        <v>24</v>
      </c>
      <c r="J2869" s="23" t="inlineStr">
        <is>
          <t>978-5-227-10316-1</t>
        </is>
      </c>
      <c r="K2869" s="23" t="inlineStr">
        <is>
          <t>75x100 1/32</t>
        </is>
      </c>
      <c r="L2869" s="23" t="inlineStr">
        <is>
          <t>мяг</t>
        </is>
      </c>
      <c r="M2869" s="23" t="n">
        <v>255</v>
      </c>
      <c r="N2869" s="23" t="n">
        <v>2023</v>
      </c>
      <c r="O2869" s="23" t="n">
        <v>250</v>
      </c>
      <c r="P2869" s="23" t="n"/>
      <c r="Q2869" s="23" t="n"/>
      <c r="R2869" s="25" t="inlineStr">
        <is>
          <t>Молодой парижанин Алекс имеет новую для Франции и редкую специальность: он библиотерапевт, то есть психолог, который лечит с помощью художественной литературы. Алекс выписывает рецепты: прочитать такую-то книгу, и выбирает ту, которая поможет человеку привести душу в порядок, а иногда изменить жизнь. Но теперь лечение книгами понадобилось самому Алексу: его спутница жизни Мелани возмущенно заявила, что книги интересуют его больше, чем она, и ушла от него. Алексу приходится налаживать одновременно четыре жизни — трех пациентов и свою собственную. Алекс верит, что в любой области новое — это лучшее, и решает полечиться литературой от профессионального выгорания.</t>
        </is>
      </c>
      <c r="S2869" s="26">
        <f>HYPERLINK("http://www.cnpol.ru/covers/20625.jpg","фото на сайте")</f>
        <v/>
      </c>
    </row>
    <row r="2870" ht="50.1" customHeight="1" s="3">
      <c r="A2870" s="23" t="n"/>
      <c r="B2870" s="24" t="inlineStr">
        <is>
          <t>18101</t>
        </is>
      </c>
      <c r="C2870" s="23" t="inlineStr">
        <is>
          <t>Новый FICTION</t>
        </is>
      </c>
      <c r="D2870" s="23" t="inlineStr">
        <is>
          <t>Шрайвер Л.</t>
        </is>
      </c>
      <c r="E2870" s="23" t="inlineStr">
        <is>
          <t>Мир до и после дня рождения</t>
        </is>
      </c>
      <c r="F2870" s="23" t="inlineStr">
        <is>
          <t>        </t>
        </is>
      </c>
      <c r="G2870" s="23" t="n">
        <v>364</v>
      </c>
      <c r="H2870" s="23" t="n">
        <v>10</v>
      </c>
      <c r="I2870" s="23" t="n">
        <v>10</v>
      </c>
      <c r="J2870" s="23" t="inlineStr">
        <is>
          <t>978-5-227-07793-6</t>
        </is>
      </c>
      <c r="K2870" s="23" t="inlineStr">
        <is>
          <t>75x100 1/32</t>
        </is>
      </c>
      <c r="L2870" s="23" t="inlineStr">
        <is>
          <t>мяг</t>
        </is>
      </c>
      <c r="M2870" s="23" t="n">
        <v>640</v>
      </c>
      <c r="N2870" s="23" t="n">
        <v>2018</v>
      </c>
      <c r="O2870" s="23" t="n">
        <v>316</v>
      </c>
      <c r="P2870" s="23" t="n"/>
      <c r="Q2870" s="23" t="n"/>
      <c r="R2870" s="25" t="n"/>
      <c r="S2870" s="26">
        <f>HYPERLINK("http://www.cnpol.ru/covers/18101.jpg","фото на сайте")</f>
        <v/>
      </c>
    </row>
    <row r="2871" ht="50.1" customHeight="1" s="3">
      <c r="A2871" s="23" t="n"/>
      <c r="B2871" s="24" t="inlineStr">
        <is>
          <t>18727</t>
        </is>
      </c>
      <c r="C2871" s="23" t="inlineStr">
        <is>
          <t>Новый FICTION</t>
        </is>
      </c>
      <c r="D2871" s="23" t="inlineStr">
        <is>
          <t>Лахири Д.</t>
        </is>
      </c>
      <c r="E2871" s="23" t="inlineStr">
        <is>
          <t>Низина</t>
        </is>
      </c>
      <c r="F2871" s="23" t="inlineStr">
        <is>
          <t>        </t>
        </is>
      </c>
      <c r="G2871" s="23" t="n">
        <v>319</v>
      </c>
      <c r="H2871" s="23" t="n">
        <v>10</v>
      </c>
      <c r="I2871" s="23" t="n">
        <v>16</v>
      </c>
      <c r="J2871" s="23" t="inlineStr">
        <is>
          <t>978-5-227-08686-0</t>
        </is>
      </c>
      <c r="K2871" s="23" t="inlineStr">
        <is>
          <t>75x100 1/32</t>
        </is>
      </c>
      <c r="L2871" s="23" t="inlineStr">
        <is>
          <t>мяг</t>
        </is>
      </c>
      <c r="M2871" s="23" t="n">
        <v>416</v>
      </c>
      <c r="N2871" s="23" t="n">
        <v>2019</v>
      </c>
      <c r="O2871" s="23" t="n">
        <v>208</v>
      </c>
      <c r="P2871" s="23" t="n"/>
      <c r="Q2871" s="23" t="n"/>
      <c r="R2871" s="25" t="n"/>
      <c r="S2871" s="26">
        <f>HYPERLINK("http://www.cnpol.ru/covers/18727.jpg","фото на сайте")</f>
        <v/>
      </c>
    </row>
    <row r="2872" ht="50.1" customHeight="1" s="3">
      <c r="A2872" s="23" t="n"/>
      <c r="B2872" s="24" t="inlineStr">
        <is>
          <t>20592</t>
        </is>
      </c>
      <c r="C2872" s="23" t="inlineStr">
        <is>
          <t>Новый FICTION</t>
        </is>
      </c>
      <c r="D2872" s="23" t="inlineStr">
        <is>
          <t>Пен П.</t>
        </is>
      </c>
      <c r="E2872" s="23" t="inlineStr">
        <is>
          <t>Огоньки светлячков</t>
        </is>
      </c>
      <c r="F2872" s="23" t="inlineStr">
        <is>
          <t>        </t>
        </is>
      </c>
      <c r="G2872" s="23" t="n">
        <v>319</v>
      </c>
      <c r="H2872" s="23" t="n">
        <v>10</v>
      </c>
      <c r="I2872" s="23" t="n">
        <v>16</v>
      </c>
      <c r="J2872" s="23" t="inlineStr">
        <is>
          <t>978-5-227-10315-4</t>
        </is>
      </c>
      <c r="K2872" s="23" t="inlineStr">
        <is>
          <t>75x100 1/32</t>
        </is>
      </c>
      <c r="L2872" s="23" t="inlineStr">
        <is>
          <t>мяг</t>
        </is>
      </c>
      <c r="M2872" s="23" t="n">
        <v>287</v>
      </c>
      <c r="N2872" s="23" t="n">
        <v>2023</v>
      </c>
      <c r="O2872" s="23" t="n">
        <v>285</v>
      </c>
      <c r="P2872" s="23" t="n"/>
      <c r="Q2872" s="23" t="n"/>
      <c r="R2872" s="25" t="inlineStr">
        <is>
          <t>Удивительная завораживающая и драматическая история одной семьи: бабушки, матери, отца, взрослой дочери, старшего сына и маленького мальчика. Все эти люди живут в подвале, лица взрослых изуродованы огнем при пожаре. А дочь и вовсе носит маску, чтобы скрыть черты, способные вызывать ужас даже у родных. Запертая в подвале семья вроде бы по-своему счастлива, но жизнь их отравляет тайна, которую взрослые хранят уже много лет. Постепенно у мальчика пробуждается желание выбраться из подвала, увидеть жизнь снаружи, тот огромный мир, где живут светлячки, о которых он знает из книг. Ему даже удается приоткрыть завесу тайны. Но в жизни часто бывает, что кажущееся одним, на самом деле оказывается совсем другим...</t>
        </is>
      </c>
      <c r="S2872" s="26">
        <f>HYPERLINK("http://www.cnpol.ru/covers/20592.jpg","фото на сайте")</f>
        <v/>
      </c>
    </row>
    <row r="2873" ht="50.1" customHeight="1" s="3">
      <c r="A2873" s="23" t="n"/>
      <c r="B2873" s="24" t="inlineStr">
        <is>
          <t>16824</t>
        </is>
      </c>
      <c r="C2873" s="23" t="inlineStr">
        <is>
          <t>Новый FICTION</t>
        </is>
      </c>
      <c r="D2873" s="23" t="inlineStr">
        <is>
          <t>Эддисон К.</t>
        </is>
      </c>
      <c r="E2873" s="23" t="inlineStr">
        <is>
          <t>Путь к солнцу</t>
        </is>
      </c>
      <c r="F2873" s="23" t="inlineStr">
        <is>
          <t>        </t>
        </is>
      </c>
      <c r="G2873" s="23" t="n">
        <v>319</v>
      </c>
      <c r="H2873" s="23" t="n">
        <v>10</v>
      </c>
      <c r="I2873" s="23" t="n">
        <v>12</v>
      </c>
      <c r="J2873" s="23" t="inlineStr">
        <is>
          <t>978-5-227-06795-1</t>
        </is>
      </c>
      <c r="K2873" s="23" t="inlineStr">
        <is>
          <t>75x100 1/32</t>
        </is>
      </c>
      <c r="L2873" s="23" t="inlineStr">
        <is>
          <t>мяг</t>
        </is>
      </c>
      <c r="M2873" s="23" t="n">
        <v>448</v>
      </c>
      <c r="N2873" s="23" t="n">
        <v>2016</v>
      </c>
      <c r="O2873" s="23" t="n">
        <v>212</v>
      </c>
      <c r="P2873" s="23" t="n"/>
      <c r="Q2873" s="23" t="n"/>
      <c r="R2873" s="25" t="n"/>
      <c r="S2873" s="26">
        <f>HYPERLINK("http://www.cnpol.ru/covers/16824.jpg","фото на сайте")</f>
        <v/>
      </c>
    </row>
    <row r="2874" ht="50.1" customHeight="1" s="3">
      <c r="A2874" s="23" t="n"/>
      <c r="B2874" s="24" t="inlineStr">
        <is>
          <t>19246</t>
        </is>
      </c>
      <c r="C2874" s="23" t="inlineStr">
        <is>
          <t>Новый FICTION</t>
        </is>
      </c>
      <c r="D2874" s="23" t="inlineStr">
        <is>
          <t>Спилман Л.Н.</t>
        </is>
      </c>
      <c r="E2874" s="23" t="inlineStr">
        <is>
          <t>Слова, которые мы не сказали</t>
        </is>
      </c>
      <c r="F2874" s="23" t="inlineStr">
        <is>
          <t>        </t>
        </is>
      </c>
      <c r="G2874" s="23" t="n">
        <v>319</v>
      </c>
      <c r="H2874" s="23" t="n">
        <v>10</v>
      </c>
      <c r="I2874" s="23" t="n">
        <v>20</v>
      </c>
      <c r="J2874" s="23" t="inlineStr">
        <is>
          <t>978-5-227-09062-1</t>
        </is>
      </c>
      <c r="K2874" s="23" t="inlineStr">
        <is>
          <t>75x100 1/32</t>
        </is>
      </c>
      <c r="L2874" s="23" t="inlineStr">
        <is>
          <t>мяг</t>
        </is>
      </c>
      <c r="M2874" s="23" t="n">
        <v>352</v>
      </c>
      <c r="N2874" s="23" t="n">
        <v>2020</v>
      </c>
      <c r="O2874" s="23" t="n">
        <v>350</v>
      </c>
      <c r="P2874" s="23" t="n"/>
      <c r="Q2874" s="23" t="n"/>
      <c r="R2874" s="25" t="n"/>
      <c r="S2874" s="26">
        <f>HYPERLINK("http://www.cnpol.ru/covers/19246.jpg","фото на сайте")</f>
        <v/>
      </c>
    </row>
    <row r="2875" ht="50.1" customHeight="1" s="3">
      <c r="A2875" s="23" t="n"/>
      <c r="B2875" s="24" t="inlineStr">
        <is>
          <t>18466</t>
        </is>
      </c>
      <c r="C2875" s="23" t="inlineStr">
        <is>
          <t>Новый FICTION</t>
        </is>
      </c>
      <c r="D2875" s="23" t="inlineStr">
        <is>
          <t>Дэвис К</t>
        </is>
      </c>
      <c r="E2875" s="23" t="inlineStr">
        <is>
          <t>Только одна ночь</t>
        </is>
      </c>
      <c r="F2875" s="23" t="inlineStr">
        <is>
          <t>        </t>
        </is>
      </c>
      <c r="G2875" s="23" t="n">
        <v>319</v>
      </c>
      <c r="H2875" s="23" t="n">
        <v>10</v>
      </c>
      <c r="I2875" s="23" t="n">
        <v>14</v>
      </c>
      <c r="J2875" s="23" t="inlineStr">
        <is>
          <t>978-5-227-08450-7</t>
        </is>
      </c>
      <c r="K2875" s="23" t="inlineStr">
        <is>
          <t>75x100 1/32</t>
        </is>
      </c>
      <c r="L2875" s="23" t="inlineStr">
        <is>
          <t>мяг</t>
        </is>
      </c>
      <c r="M2875" s="23" t="n">
        <v>448</v>
      </c>
      <c r="N2875" s="23" t="n">
        <v>2019</v>
      </c>
      <c r="O2875" s="23" t="n">
        <v>222</v>
      </c>
      <c r="P2875" s="23" t="n"/>
      <c r="Q2875" s="23" t="n"/>
      <c r="R2875" s="25" t="n"/>
      <c r="S2875" s="26">
        <f>HYPERLINK("http://www.cnpol.ru/covers/18466.jpg","фото на сайте")</f>
        <v/>
      </c>
    </row>
    <row r="2876" ht="50.1" customHeight="1" s="3">
      <c r="A2876" s="23" t="n"/>
      <c r="B2876" s="24" t="inlineStr">
        <is>
          <t>19844</t>
        </is>
      </c>
      <c r="C2876" s="23" t="inlineStr">
        <is>
          <t>Новый FICTION</t>
        </is>
      </c>
      <c r="D2876" s="23" t="inlineStr">
        <is>
          <t>Кермель Э.д</t>
        </is>
      </c>
      <c r="E2876" s="23" t="inlineStr">
        <is>
          <t>Хозяйка книжной лавки на площади Трав</t>
        </is>
      </c>
      <c r="F2876" s="23" t="inlineStr">
        <is>
          <t>        </t>
        </is>
      </c>
      <c r="G2876" s="23" t="n">
        <v>319</v>
      </c>
      <c r="H2876" s="23" t="n">
        <v>10</v>
      </c>
      <c r="I2876" s="23" t="n">
        <v>24</v>
      </c>
      <c r="J2876" s="23" t="inlineStr">
        <is>
          <t>978-5-227-09661-6</t>
        </is>
      </c>
      <c r="K2876" s="23" t="inlineStr">
        <is>
          <t>75x100 1/32</t>
        </is>
      </c>
      <c r="L2876" s="23" t="inlineStr">
        <is>
          <t>мяг</t>
        </is>
      </c>
      <c r="M2876" s="23" t="n">
        <v>255</v>
      </c>
      <c r="N2876" s="23" t="n">
        <v>2021</v>
      </c>
      <c r="O2876" s="23" t="n">
        <v>312</v>
      </c>
      <c r="P2876" s="23" t="n"/>
      <c r="Q2876" s="23" t="n"/>
      <c r="R2876" s="25" t="n"/>
      <c r="S2876" s="26">
        <f>HYPERLINK("http://www.cnpol.ru/covers/19844.jpg","фото на сайте")</f>
        <v/>
      </c>
    </row>
    <row r="2877" ht="50.1" customHeight="1" s="3">
      <c r="A2877" s="23" t="inlineStr">
        <is>
          <t>Н</t>
        </is>
      </c>
      <c r="B2877" s="24" t="inlineStr">
        <is>
          <t>21881</t>
        </is>
      </c>
      <c r="C2877" s="23" t="inlineStr">
        <is>
          <t>НОпоВИ</t>
        </is>
      </c>
      <c r="D2877" s="23" t="inlineStr">
        <is>
          <t>Липовский И. П.</t>
        </is>
      </c>
      <c r="E2877" s="23" t="inlineStr">
        <is>
          <t>Древний Израиль и народы Ханаана. Этническая история Южного Леванта. III тыс. до н. э. — VII в.</t>
        </is>
      </c>
      <c r="F2877" s="23" t="inlineStr">
        <is>
          <t>        </t>
        </is>
      </c>
      <c r="G2877" s="27" t="n">
        <v>1184</v>
      </c>
      <c r="H2877" s="23" t="n">
        <v>10</v>
      </c>
      <c r="I2877" s="23" t="n">
        <v>8</v>
      </c>
      <c r="J2877" s="23" t="inlineStr">
        <is>
          <t>978-5-227-11184-5</t>
        </is>
      </c>
      <c r="K2877" s="23" t="inlineStr">
        <is>
          <t>84x108 1/32</t>
        </is>
      </c>
      <c r="L2877" s="23" t="inlineStr">
        <is>
          <t>тв</t>
        </is>
      </c>
      <c r="M2877" s="23" t="n">
        <v>415</v>
      </c>
      <c r="N2877" s="23" t="n">
        <v>2025</v>
      </c>
      <c r="O2877" s="23" t="n">
        <v>309</v>
      </c>
      <c r="P2877" s="23" t="n"/>
      <c r="Q2877" s="23" t="n"/>
      <c r="R2877" s="25" t="inlineStr">
        <is>
          <t>"Книга доктора исторических наук И.П. Липовского посвящена истории народов, живших в Палестине – колыбели человеческой цивилизации. Именно здесь появились первые города, первый алфавит и первые монотеистические религии — иудаизм и христианство. Эта земля на протяжении тысячелетий притягивала к себе умы и души человечества, и за обладание ею боролись все великие империи мира. Эта древнейшая страна имела много названий, но лишь четыре из них остались в истории: Ханаан, Израиль, Иудея и Палестина. Здесь жили разные народы, но со временем все они слились в один — иудейский. Корни этого народа уходят не только к библейским патриархам, но еще больше к коренным, изначальным жителям Ханаана. Древние евреи не истребили и не изгнали завоеванные ими народы Ханаана, как это считалось ранее, а полностью растворились среди них, передав им свое имя, свою историю, а самое главное — религию.
Эта книга для всех, кто интересуется историей Палестины и происхождением еврейского народа. Она рассказывает о том, как Ханаан превратился в «страну Израиля», а его население стало иудеями."</t>
        </is>
      </c>
      <c r="S2877" s="26">
        <f>HYPERLINK("http://www.cnpol.ru/covers/21881.jpg","фото на сайте")</f>
        <v/>
      </c>
    </row>
    <row r="2878" ht="50.1" customHeight="1" s="3">
      <c r="A2878" s="23" t="inlineStr">
        <is>
          <t>Н</t>
        </is>
      </c>
      <c r="B2878" s="24" t="inlineStr">
        <is>
          <t>21112</t>
        </is>
      </c>
      <c r="C2878" s="23" t="inlineStr">
        <is>
          <t>НОпоВИ</t>
        </is>
      </c>
      <c r="D2878" s="23" t="inlineStr">
        <is>
          <t>Кухаренко Т.Е.</t>
        </is>
      </c>
      <c r="E2878" s="23" t="inlineStr">
        <is>
          <t>Король Людвиг II Баварский. Драма длиною в жизнь. 1845—1886</t>
        </is>
      </c>
      <c r="F2878" s="23" t="inlineStr">
        <is>
          <t>        </t>
        </is>
      </c>
      <c r="G2878" s="27" t="n">
        <v>1466</v>
      </c>
      <c r="H2878" s="23" t="n">
        <v>10</v>
      </c>
      <c r="I2878" s="23" t="n">
        <v>8</v>
      </c>
      <c r="J2878" s="23" t="inlineStr">
        <is>
          <t>978-5-227-10667-4</t>
        </is>
      </c>
      <c r="K2878" s="23" t="inlineStr">
        <is>
          <t>84x108 1/32</t>
        </is>
      </c>
      <c r="L2878" s="23" t="inlineStr">
        <is>
          <t>тв</t>
        </is>
      </c>
      <c r="M2878" s="23" t="n">
        <v>575</v>
      </c>
      <c r="N2878" s="23" t="n">
        <v>2024</v>
      </c>
      <c r="O2878" s="23" t="n">
        <v>587</v>
      </c>
      <c r="P2878" s="23" t="n"/>
      <c r="Q2878" s="23" t="n"/>
      <c r="R2878" s="25" t="inlineStr">
        <is>
          <t>Людвиг II (1845–1886) — самый известный и популярный король Баварии, покровитель искусств, меценат композитора Рихарда Вагнера, создатель таких архитектурных шедевров, как замок Нойшванштайн, дворцов Линдерхоф и Херренхимзее. Людвиг II, как и хотел, остался для своих современников и будущих поколений «вечной загадкой для себя и других». Вокруг личности короля до сих пор ходит множество слухов и легенд. Пацифист Людвиг II против своей воли был вовлечен в войны за объединение Германии, это принесло ему тяжелые страдания, отчего он все больше отдалялся от окружающего мира и строил свой мир грез, становясь «теневым королем без власти»._x000D_
В книге, основанной на широкой документальной базе, развенчиваются мифы о безумии, странном поведении, аполитичности, таинственной смерти монарха.</t>
        </is>
      </c>
      <c r="S2878" s="26">
        <f>HYPERLINK("http://www.cnpol.ru/covers/21112.jpg","фото на сайте")</f>
        <v/>
      </c>
    </row>
    <row r="2879" ht="50.1" customHeight="1" s="3">
      <c r="A2879" s="23" t="inlineStr">
        <is>
          <t>Д</t>
        </is>
      </c>
      <c r="B2879" s="24" t="inlineStr">
        <is>
          <t>22219</t>
        </is>
      </c>
      <c r="C2879" s="23" t="inlineStr">
        <is>
          <t>НОпоВИ</t>
        </is>
      </c>
      <c r="D2879" s="23" t="inlineStr">
        <is>
          <t>Кухаренко Т.Е.</t>
        </is>
      </c>
      <c r="E2879" s="23" t="inlineStr">
        <is>
          <t>Король Людвиг II Баварский. Драма длиною в жизнь. 1845—1886</t>
        </is>
      </c>
      <c r="F2879" s="23" t="inlineStr">
        <is>
          <t>        </t>
        </is>
      </c>
      <c r="G2879" s="27" t="n">
        <v>1466</v>
      </c>
      <c r="H2879" s="23" t="n">
        <v>10</v>
      </c>
      <c r="I2879" s="23" t="n">
        <v>6</v>
      </c>
      <c r="J2879" s="23" t="inlineStr">
        <is>
          <t>978-5-227-11356-6</t>
        </is>
      </c>
      <c r="K2879" s="23" t="inlineStr">
        <is>
          <t>84x108 1/32</t>
        </is>
      </c>
      <c r="L2879" s="23" t="inlineStr">
        <is>
          <t>тв</t>
        </is>
      </c>
      <c r="M2879" s="23" t="n">
        <v>575</v>
      </c>
      <c r="N2879" s="23" t="n">
        <v>2026</v>
      </c>
      <c r="O2879" s="23" t="n">
        <v>594</v>
      </c>
      <c r="P2879" s="23" t="n"/>
      <c r="Q2879" s="23" t="n"/>
      <c r="R2879" s="25" t="inlineStr">
        <is>
          <t>Людвиг II (1845–1886) — самый известный и популярный король Баварии, покровитель искусств, меценат композитора Рихарда Вагнера, создатель таких архитектурных шедевров, как замок Нойшванштайн, дворцов Линдерхоф и Херренхимзее. Людвиг II, как и хотел, остался для своих современников и будущих поколений «вечной загадкой для себя и других». Вокруг личности короля до сих пор ходит множество слухов и легенд. Пацифист Людвиг II против своей воли был вовлечен в войны за объединение Германии, это принесло ему тяжелые страдания, отчего он все больше отдалялся от окружающего мира и строил свой мир грез, становясь «теневым королем без власти»._x000D_
В книге, основанной на широкой документальной базе, развенчиваются мифы о безумии, странном поведении, аполитичности, таинственной смерти монарха.</t>
        </is>
      </c>
      <c r="S2879" s="26">
        <f>HYPERLINK("http://www.cnpol.ru/covers/22219.jpg","фото на сайте")</f>
        <v/>
      </c>
    </row>
    <row r="2880" ht="50.1" customHeight="1" s="3">
      <c r="A2880" s="23" t="inlineStr">
        <is>
          <t>Н</t>
        </is>
      </c>
      <c r="B2880" s="24" t="inlineStr">
        <is>
          <t>22191</t>
        </is>
      </c>
      <c r="C2880" s="23" t="inlineStr">
        <is>
          <t>НОпоВИ</t>
        </is>
      </c>
      <c r="D2880" s="23" t="inlineStr">
        <is>
          <t>Рагунштейн А, Г.</t>
        </is>
      </c>
      <c r="E2880" s="23" t="inlineStr">
        <is>
          <t>Пираты Американской революции. Узаконенный морской разбой в период Войны за независимость США. 1775—1783</t>
        </is>
      </c>
      <c r="F2880" s="23" t="inlineStr">
        <is>
          <t>        </t>
        </is>
      </c>
      <c r="G2880" s="27" t="n">
        <v>1084</v>
      </c>
      <c r="H2880" s="23" t="n">
        <v>10</v>
      </c>
      <c r="I2880" s="23" t="n">
        <v>10</v>
      </c>
      <c r="J2880" s="23" t="inlineStr">
        <is>
          <t>978-5-227-11258-3</t>
        </is>
      </c>
      <c r="K2880" s="23" t="inlineStr">
        <is>
          <t>84x108 1/32</t>
        </is>
      </c>
      <c r="L2880" s="23" t="inlineStr">
        <is>
          <t>тв</t>
        </is>
      </c>
      <c r="M2880" s="23" t="n">
        <v>351</v>
      </c>
      <c r="N2880" s="23" t="n">
        <v>2026</v>
      </c>
      <c r="O2880" s="23" t="n">
        <v>412</v>
      </c>
      <c r="P2880" s="23" t="n"/>
      <c r="Q2880" s="23" t="n"/>
      <c r="R2880" s="25" t="inlineStr">
        <is>
          <t>Книга кандидата исторических наук А.Г. Рагунштейна посвящена одному из малоизвестных аспектов истории Американской революции 1775—1783 гг. Пытаясь подавить движение за независимость, власти Великобритании не предполагали, какого джина выпустили из бутылки. Американцы быстро сообразили, что получили законное право грабить британских купцов на морях, прикрываясь каперскими грамотами. За период Войны за независимость США тысячи британских торговых судов стали жертвами приватиров, которые быстро приобрели в Америке ореол патриотов, а для британцев стали пиратами и исчадиями ада. Американские «джентльмены удачи» орудовали и у побережья США, и в Карибском море, и даже у побережья Англии. Попытки Королевского флота подавить приватирство не дали результата. Доходы от этого промысла были столь велики, что привлекали десятки тысяч моряков. Некоторые из них смогли сколотить себе целое состояние на морском разбое и превратились в настоящих героев и весьма состоятельных людей.</t>
        </is>
      </c>
      <c r="S2880" s="26">
        <f>HYPERLINK("http://www.cnpol.ru/covers/22191.jpg","фото на сайте")</f>
        <v/>
      </c>
    </row>
    <row r="2881" ht="50.1" customHeight="1" s="3">
      <c r="A2881" s="23" t="n"/>
      <c r="B2881" s="24" t="inlineStr">
        <is>
          <t>20688</t>
        </is>
      </c>
      <c r="C2881" s="23" t="inlineStr">
        <is>
          <t>НОпоВИ</t>
        </is>
      </c>
      <c r="D2881" s="23" t="inlineStr">
        <is>
          <t>Парфирьев Д.С.</t>
        </is>
      </c>
      <c r="E2881" s="23" t="inlineStr">
        <is>
          <t>Украинское движение в Австро-Венгрии в годы Первой мировой войны. Между Веной, Берлином и Киевом. 19</t>
        </is>
      </c>
      <c r="F2881" s="23" t="inlineStr">
        <is>
          <t>        </t>
        </is>
      </c>
      <c r="G2881" s="23" t="n">
        <v>422</v>
      </c>
      <c r="H2881" s="23" t="n">
        <v>10</v>
      </c>
      <c r="I2881" s="23" t="n">
        <v>22</v>
      </c>
      <c r="J2881" s="23" t="inlineStr">
        <is>
          <t>978-5-227-10369-7</t>
        </is>
      </c>
      <c r="K2881" s="23" t="inlineStr">
        <is>
          <t>84x108 1/32</t>
        </is>
      </c>
      <c r="L2881" s="23" t="inlineStr">
        <is>
          <t>Интегр</t>
        </is>
      </c>
      <c r="M2881" s="23" t="n">
        <v>223</v>
      </c>
      <c r="N2881" s="23" t="n">
        <v>2023</v>
      </c>
      <c r="O2881" s="23" t="n">
        <v>162</v>
      </c>
      <c r="P2881" s="23" t="n"/>
      <c r="Q2881" s="23" t="n"/>
      <c r="R2881" s="25" t="inlineStr">
        <is>
          <t>В книге показано то, как Первая мировая война катализировала развитие украинского национального движения в империи Габсбургов. Обострение конфронтации с поляками, разгром русофильского движения, уступки имперского центра и поддержка со стороны Германии свелись к тому, что украинский национальный проект стал безальтернативным для русинского населения Галиции и Буковины. Главным средством экспансии украинского движения была национальная мобилизация, охватившая русинов на передовой, в тылу и на прифронтовых территориях. Украинские политики, чьей целью до самого распада Австро-Венгрии была автономия в составе империи, не заметили, как чаяния населения опередили их намерения, — к концу 1918 г. на местах господствовала идея независимого украинского государства.</t>
        </is>
      </c>
      <c r="S2881" s="26">
        <f>HYPERLINK("http://www.cnpol.ru/covers/20688.jpg","фото на сайте")</f>
        <v/>
      </c>
    </row>
    <row r="2882" ht="50.1" customHeight="1" s="3">
      <c r="A2882" s="23" t="n"/>
      <c r="B2882" s="24" t="inlineStr">
        <is>
          <t>18899</t>
        </is>
      </c>
      <c r="C2882" s="23" t="inlineStr">
        <is>
          <t>НОпоИР</t>
        </is>
      </c>
      <c r="D2882" s="23" t="inlineStr">
        <is>
          <t>Короткова Д.А.</t>
        </is>
      </c>
      <c r="E2882" s="23" t="inlineStr">
        <is>
          <t>Белорусские земли в советско­польских отношениях. Разменная карта в противостоянии двух держав. 1918</t>
        </is>
      </c>
      <c r="F2882" s="23" t="inlineStr">
        <is>
          <t>        </t>
        </is>
      </c>
      <c r="G2882" s="23" t="n">
        <v>422</v>
      </c>
      <c r="H2882" s="23" t="n">
        <v>10</v>
      </c>
      <c r="I2882" s="23" t="n">
        <v>18</v>
      </c>
      <c r="J2882" s="23" t="inlineStr">
        <is>
          <t>978-5-227-08891-8</t>
        </is>
      </c>
      <c r="K2882" s="23" t="inlineStr">
        <is>
          <t>84x108 1/32 (обл)</t>
        </is>
      </c>
      <c r="L2882" s="23" t="inlineStr">
        <is>
          <t>Интегр</t>
        </is>
      </c>
      <c r="M2882" s="23" t="n">
        <v>224</v>
      </c>
      <c r="N2882" s="23" t="n">
        <v>2019</v>
      </c>
      <c r="O2882" s="23" t="n">
        <v>198</v>
      </c>
      <c r="P2882" s="23" t="n"/>
      <c r="Q2882" s="23" t="n"/>
      <c r="R2882" s="25" t="inlineStr">
        <is>
          <t>Книга посвящена истории белорусского государственного строительства в контексте советско­польского противостояния в 1918–1921 гг. В период от Брест­Литовской мирной конференции до подписания советско­польского мирного договора в 1921 г. на белорусских территориях последовательно провозглашались государственные образования: Белорусская народная республика, Литовско­Белорусская советская республика, БССР. Свой сценарий восстановления союзного Литовско­Белорусского государства, а затем создания белорусской автономии пыталась реализовать и Польша. В книге выясняются мотивы решений, принимавшихся РСФСР и Польшей по территориальным и национальным проблемам региона. Проведен анализ позиций основных политических сил Белоруссии по вопросу о судьбе белорусских земель в условиях раздела края, форм участия белорусских политических группировок в определении судьбы их родины. Какие факторы повлияли на территориальные претензии Польши к РСФСР на первом этапе польско­советского конфликта в феврале 1919 — апреле 1920 г.? Как решалась белорусская проблема в ходе советско­литовской и советско­польской мирных конференций в 1920—1921 гг.? Лозунги национального самоопределения стали лишь прикрытием для столкновения интересов двух держав, что имело далеко идущие последствия для региона, оказавшегося на стыке Версальской и советской систем безопасности.</t>
        </is>
      </c>
      <c r="S2882" s="26">
        <f>HYPERLINK("http://www.cnpol.ru/covers/18899.jpg","фото на сайте")</f>
        <v/>
      </c>
    </row>
    <row r="2883" ht="50.1" customHeight="1" s="3">
      <c r="A2883" s="23" t="n"/>
      <c r="B2883" s="24" t="inlineStr">
        <is>
          <t>19334</t>
        </is>
      </c>
      <c r="C2883" s="23" t="inlineStr">
        <is>
          <t>НОпоИР</t>
        </is>
      </c>
      <c r="D2883" s="23" t="inlineStr">
        <is>
          <t>Аверьянов К.А.</t>
        </is>
      </c>
      <c r="E2883" s="23" t="inlineStr">
        <is>
          <t>Великая княгиня Владимирская Мария. Загадка погребения в Княгинином монастыре</t>
        </is>
      </c>
      <c r="F2883" s="23" t="inlineStr">
        <is>
          <t>        </t>
        </is>
      </c>
      <c r="G2883" s="23" t="n">
        <v>422</v>
      </c>
      <c r="H2883" s="23" t="n">
        <v>10</v>
      </c>
      <c r="I2883" s="23" t="n">
        <v>24</v>
      </c>
      <c r="J2883" s="23" t="inlineStr">
        <is>
          <t>978-5-227-09168-0</t>
        </is>
      </c>
      <c r="K2883" s="23" t="inlineStr">
        <is>
          <t>84x108 1/32</t>
        </is>
      </c>
      <c r="L2883" s="23" t="inlineStr">
        <is>
          <t>Интегр</t>
        </is>
      </c>
      <c r="M2883" s="23" t="n">
        <v>224</v>
      </c>
      <c r="N2883" s="23" t="n">
        <v>2020</v>
      </c>
      <c r="O2883" s="23" t="n">
        <v>198</v>
      </c>
      <c r="P2883" s="23" t="n"/>
      <c r="Q2883" s="23" t="n"/>
      <c r="R2883" s="25" t="inlineStr">
        <is>
          <t>Говорят, что деятельность историка во многом сродни работе следователя. В справедливости данного утверждения пришлось убедиться в октябре 2015 г., когда в одной из древнейших обителей Владимира, Успенском Княгинином монастыре, была вскрыта гробница его основательницы — жившей во второй половине XII в. Марии Шварновны, первой жены великого владимирского князя Всеволода Большое Гнездо. В захоронении оказались останки четырех человек. Эта удивительная находка потянула за собой целое расследование, чтобы выяснить: кем были эти люди и какое отношение они имели друг к другу? Шаг за шагом историку все же удается распутать эту загадку. Попутно решаются и другие вопросы: кем являлась по этническому происхождению Мария — «ясыней», т. е. происходившей из народа ясов — предков современных осетин (как полагает древняя Ипатьевская летопись), то ли она происходила из чехов, как утверждают летописцы XV—XVII вв.? Был ли ее отец князем и где он княжил? Когда и зачем был построен Дмитриевский собор во Владимире? Откуда взялся лев на гербе Владимира? Где нашли «Слово о полку Игореве»?</t>
        </is>
      </c>
      <c r="S2883" s="26">
        <f>HYPERLINK("http://www.cnpol.ru/covers/19334.jpg","фото на сайте")</f>
        <v/>
      </c>
    </row>
    <row r="2884" ht="50.1" customHeight="1" s="3">
      <c r="A2884" s="23" t="n"/>
      <c r="B2884" s="24" t="inlineStr">
        <is>
          <t>19762</t>
        </is>
      </c>
      <c r="C2884" s="23" t="inlineStr">
        <is>
          <t>НОпоИР</t>
        </is>
      </c>
      <c r="D2884" s="23" t="inlineStr">
        <is>
          <t>Боровков Д.А.</t>
        </is>
      </c>
      <c r="E2884" s="23" t="inlineStr">
        <is>
          <t>Владимир Мономах. Между историей и легендой</t>
        </is>
      </c>
      <c r="F2884" s="23" t="inlineStr">
        <is>
          <t>        </t>
        </is>
      </c>
      <c r="G2884" s="23" t="n">
        <v>422</v>
      </c>
      <c r="H2884" s="23" t="n">
        <v>10</v>
      </c>
      <c r="I2884" s="23" t="n">
        <v>18</v>
      </c>
      <c r="J2884" s="23" t="inlineStr">
        <is>
          <t>978-5-227-09571-8</t>
        </is>
      </c>
      <c r="K2884" s="23" t="inlineStr">
        <is>
          <t>84x108 1/32 (обл)</t>
        </is>
      </c>
      <c r="L2884" s="23" t="inlineStr">
        <is>
          <t>Интегр</t>
        </is>
      </c>
      <c r="M2884" s="23" t="n">
        <v>254</v>
      </c>
      <c r="N2884" s="23" t="n">
        <v>2021</v>
      </c>
      <c r="O2884" s="23" t="n">
        <v>160</v>
      </c>
      <c r="P2884" s="23" t="n"/>
      <c r="Q2884" s="23" t="n"/>
      <c r="R2884" s="25" t="inlineStr">
        <is>
          <t>В книге  рассказывается о жизненном пути одного из наиболее известных князей Древней Руси — Владимира Всеволодовича Мономаха (1053—1125). Мономах является единственным древнерусским правителем, оставившим свою автобиографию, входящую в состав знаменитого «Поучения», созданного князем для своих детей, которое сохранилось в Лаврентьевской летописи. Тем не менее личность Мономаха по сей день окутана завесой легенд, самой известной из которых является легенда о «шапке Мономаха» и других «Мономаховых дарах», якобы полученных им от византийского императора. Об этой легенде и о многих других исторических мифах, сформировавшихся вокруг его имени, читатели смогут узнать из книги кандидата исторических наук, русиста Д.А. Боровкова.</t>
        </is>
      </c>
      <c r="S2884" s="26">
        <f>HYPERLINK("http://www.cnpol.ru/covers/19762.jpg","фото на сайте")</f>
        <v/>
      </c>
    </row>
    <row r="2885" ht="50.1" customHeight="1" s="3">
      <c r="A2885" s="23" t="n"/>
      <c r="B2885" s="24" t="inlineStr">
        <is>
          <t>20659</t>
        </is>
      </c>
      <c r="C2885" s="23" t="inlineStr">
        <is>
          <t>НОпоИР</t>
        </is>
      </c>
      <c r="D2885" s="23" t="inlineStr">
        <is>
          <t>Зорихин А.Г.</t>
        </is>
      </c>
      <c r="E2885" s="23" t="inlineStr">
        <is>
          <t>Военная разведка Японии против России. Противостояние спецслужб на Дальнем Востоке. 1874—1922</t>
        </is>
      </c>
      <c r="F2885" s="23" t="inlineStr">
        <is>
          <t>        </t>
        </is>
      </c>
      <c r="G2885" s="23" t="n">
        <v>422</v>
      </c>
      <c r="H2885" s="23" t="n">
        <v>10</v>
      </c>
      <c r="I2885" s="23" t="n">
        <v>16</v>
      </c>
      <c r="J2885" s="23" t="inlineStr">
        <is>
          <t>978-5-227-10318-5</t>
        </is>
      </c>
      <c r="K2885" s="23" t="inlineStr">
        <is>
          <t>84x108 1/32</t>
        </is>
      </c>
      <c r="L2885" s="23" t="inlineStr">
        <is>
          <t>Интегр</t>
        </is>
      </c>
      <c r="M2885" s="23" t="n">
        <v>349</v>
      </c>
      <c r="N2885" s="23" t="n">
        <v>2023</v>
      </c>
      <c r="O2885" s="23" t="n">
        <v>262</v>
      </c>
      <c r="P2885" s="23" t="n"/>
      <c r="Q2885" s="23" t="n"/>
      <c r="R2885" s="25" t="inlineStr">
        <is>
          <t>Книга посвящена деятельности японской военной разведки против Российской империи и Советской России в 1874—1922 гг. В работе оценивается результативность деятельности японской военной разведки и отечественной контрразведки, прослеживается влияние информации специальных органов двух стран на принятие важнейших решений в сфере внешней политики и обороны. Подробно рассматриваются события Русско-японской (1904—1905) и Гражданской (1918—1922) войн в контексте осуществления разведывательной деятельности. Книга написана на основе сравнительного анализа документов из российских и японских архивохранилищ с привлечением исследований из России, Японии, США и Польши. Все документы вводятся в научный оборот впервые.</t>
        </is>
      </c>
      <c r="S2885" s="26">
        <f>HYPERLINK("http://www.cnpol.ru/covers/20659.jpg","фото на сайте")</f>
        <v/>
      </c>
    </row>
    <row r="2886" ht="50.1" customHeight="1" s="3">
      <c r="A2886" s="23" t="n"/>
      <c r="B2886" s="24" t="inlineStr">
        <is>
          <t>20261</t>
        </is>
      </c>
      <c r="C2886" s="23" t="inlineStr">
        <is>
          <t>НОпоИР</t>
        </is>
      </c>
      <c r="D2886" s="23" t="inlineStr">
        <is>
          <t>Лашков А.Ю.</t>
        </is>
      </c>
      <c r="E2886" s="23" t="inlineStr">
        <is>
          <t>Воздушный фронт Первой мировой. Борьба за господство в воздухе на русско-германском фронте (1914—1918)</t>
        </is>
      </c>
      <c r="F2886" s="23" t="inlineStr">
        <is>
          <t>        </t>
        </is>
      </c>
      <c r="G2886" s="23" t="n">
        <v>422</v>
      </c>
      <c r="H2886" s="23" t="n">
        <v>10</v>
      </c>
      <c r="I2886" s="23" t="n">
        <v>20</v>
      </c>
      <c r="J2886" s="23" t="inlineStr">
        <is>
          <t>978-5-227-10008-5</t>
        </is>
      </c>
      <c r="K2886" s="23" t="inlineStr">
        <is>
          <t>84x108 1/32 (обл)</t>
        </is>
      </c>
      <c r="L2886" s="23" t="inlineStr">
        <is>
          <t>Интегр</t>
        </is>
      </c>
      <c r="M2886" s="23" t="n">
        <v>253</v>
      </c>
      <c r="N2886" s="23" t="n">
        <v>2022</v>
      </c>
      <c r="O2886" s="23" t="n">
        <v>208</v>
      </c>
      <c r="P2886" s="23" t="n"/>
      <c r="Q2886" s="23" t="n"/>
      <c r="R2886" s="25" t="inlineStr">
        <is>
          <t>Книга доктора исторических наук, специалиста в области Военно-воздушных сил и Войск противовоздушной обороны, посвящена борьбе за завоевание господства в воздухе на русско-германском фронте в годы Первой мировой войны. В работе последовательно раскрывается ход событий, связанных с противоборством в воздушной сфере и формированием отечественной системы воздушной обороны. В труде впервые приводятся наиболее точные данные о потерях военного воздушного флота кайзеровской Германии и ее союзников в отдельных кампаниях и за весь период войны. Работа насыщена многочисленными фактами и примерами о действиях русских летчиков и зенитчиков, создавших надежный воздушный щит на театре войны и в ближнем тылу нашего государства._x000D_
При подготовке труда автор опирался на документы фондов Российского государственного военно-исторического архива (РГВИА), Российского государственного военного архива (РГВА), Российского государственного архива Военно-Морского Флота (РГА ВМФ), а также на периодические издания и мемуарную литературу.</t>
        </is>
      </c>
      <c r="S2886" s="26">
        <f>HYPERLINK("http://www.cnpol.ru/covers/20261.jpg","фото на сайте")</f>
        <v/>
      </c>
    </row>
    <row r="2887" ht="50.1" customHeight="1" s="3">
      <c r="A2887" s="23" t="n"/>
      <c r="B2887" s="24" t="inlineStr">
        <is>
          <t>19449</t>
        </is>
      </c>
      <c r="C2887" s="23" t="inlineStr">
        <is>
          <t>НОпоИР</t>
        </is>
      </c>
      <c r="D2887" s="23" t="inlineStr">
        <is>
          <t>Бей Е.</t>
        </is>
      </c>
      <c r="E2887" s="23" t="inlineStr">
        <is>
          <t>Генерал В.А. Сухомлинов. Военный министр эпохи Великой войны</t>
        </is>
      </c>
      <c r="F2887" s="23" t="inlineStr">
        <is>
          <t>        </t>
        </is>
      </c>
      <c r="G2887" s="23" t="n">
        <v>422</v>
      </c>
      <c r="H2887" s="23" t="n">
        <v>10</v>
      </c>
      <c r="I2887" s="23" t="n">
        <v>14</v>
      </c>
      <c r="J2887" s="23" t="inlineStr">
        <is>
          <t>978-5-227-09301-1</t>
        </is>
      </c>
      <c r="K2887" s="23" t="inlineStr">
        <is>
          <t>84x108 1/32 (обл)</t>
        </is>
      </c>
      <c r="L2887" s="23" t="inlineStr">
        <is>
          <t>Интегр</t>
        </is>
      </c>
      <c r="M2887" s="23" t="n">
        <v>318</v>
      </c>
      <c r="N2887" s="23" t="n">
        <v>2021</v>
      </c>
      <c r="O2887" s="23" t="n">
        <v>266</v>
      </c>
      <c r="P2887" s="23" t="n"/>
      <c r="Q2887" s="23" t="n"/>
      <c r="R2887" s="25" t="inlineStr">
        <is>
          <t>В книге военного историка Е.В. Бея, подготовленной на широком архивном и мемуарном материале, представлена биография одной из противоречивых фигур отечественной военной истории — военного министра Российской империи генерала от кавалерии генерал­адъютанта Владимира Александровича Сухомлинова. Исследование охватывает время его детства и юности, становления как российского военного и государственного деятеля в период царствования Александра III и взлет карьеры во время правления Николая II. На фоне личностного портрета автором рассмотрен широкий круг вопросов, касающихся реформирования вооруженных сил России и их подготовке к Великой войне. Отражены основные причины военных неудач, а также условия, при которых разразился кризис военного снабжения, так называемый «снарядный голод» в первые годы противостояния. _x000D_
Особое внимание в работе уделено событиям, повлиявшим на падение военного министра В.А. Сухомлинова, превратившегося в глазах общественности в символ коррупции и измены в высших эшелонах власти.</t>
        </is>
      </c>
      <c r="S2887" s="26">
        <f>HYPERLINK("http://www.cnpol.ru/covers/19449.jpg","фото на сайте")</f>
        <v/>
      </c>
    </row>
    <row r="2888" ht="50.1" customHeight="1" s="3">
      <c r="A2888" s="23" t="n"/>
      <c r="B2888" s="24" t="inlineStr">
        <is>
          <t>19962</t>
        </is>
      </c>
      <c r="C2888" s="23" t="inlineStr">
        <is>
          <t>НОпоИР</t>
        </is>
      </c>
      <c r="D2888" s="23" t="inlineStr">
        <is>
          <t>Кисин С.В</t>
        </is>
      </c>
      <c r="E2888" s="23" t="inlineStr">
        <is>
          <t>Генерал Деникин. За Россию, Единую и Неделимую</t>
        </is>
      </c>
      <c r="F2888" s="23" t="inlineStr">
        <is>
          <t>        </t>
        </is>
      </c>
      <c r="G2888" s="23" t="n">
        <v>422</v>
      </c>
      <c r="H2888" s="23" t="n">
        <v>10</v>
      </c>
      <c r="I2888" s="23" t="n">
        <v>16</v>
      </c>
      <c r="J2888" s="23" t="inlineStr">
        <is>
          <t>978-5-227-09698-2</t>
        </is>
      </c>
      <c r="K2888" s="23" t="inlineStr">
        <is>
          <t>84x108 1/32</t>
        </is>
      </c>
      <c r="L2888" s="23" t="inlineStr">
        <is>
          <t>Интегр</t>
        </is>
      </c>
      <c r="M2888" s="23" t="n">
        <v>317</v>
      </c>
      <c r="N2888" s="23" t="n">
        <v>2021</v>
      </c>
      <c r="O2888" s="23" t="n">
        <v>270</v>
      </c>
      <c r="P2888" s="23" t="n"/>
      <c r="Q2888" s="23" t="n"/>
      <c r="R2888" s="25" t="inlineStr">
        <is>
          <t>В истории Гражданской войны в России (1917—1922) фигура главнокомандующего Вооруженными силами Юга России генерала А.И. Деникина (1872—1947) крайне противоречива. Победители­красные ненавидели генерала, как самого успешного белого командующего, доставившего им много хлопот, но отдавали ему должное за принципиальность и последовательность, желание сохранить единую страну, вопреки действиям союзников. Проигравшие­белые считали его недостаточно харизматичной фигурой на фоне легендарных личностей Белого дела, не сумевшей добиться поставленной цели из­за стратегических ошибок. Вместе с тем отмечали его способность защищать свои позиции и на фронте, и в сложнейших переговорах с интервентами. Генерал Деникин много десятилетий прожил в изгнании, но пронес свои патриотические взгляды через все эти годы и через Вторую мировую войну, не запятнав себя сотрудничеством с нацистами.</t>
        </is>
      </c>
      <c r="S2888" s="26">
        <f>HYPERLINK("http://www.cnpol.ru/covers/19962.jpg","фото на сайте")</f>
        <v/>
      </c>
    </row>
    <row r="2889" ht="50.1" customHeight="1" s="3">
      <c r="A2889" s="23" t="n"/>
      <c r="B2889" s="24" t="inlineStr">
        <is>
          <t>17414</t>
        </is>
      </c>
      <c r="C2889" s="23" t="inlineStr">
        <is>
          <t>НОпоИР</t>
        </is>
      </c>
      <c r="D2889" s="23" t="inlineStr">
        <is>
          <t>Морозова О.М.</t>
        </is>
      </c>
      <c r="E2889" s="23" t="inlineStr">
        <is>
          <t>Генерал Иван Георгиевич Эрдели. Страницы истории белого движения на Юге России</t>
        </is>
      </c>
      <c r="F2889" s="23" t="inlineStr">
        <is>
          <t>        </t>
        </is>
      </c>
      <c r="G2889" s="23" t="n">
        <v>422</v>
      </c>
      <c r="H2889" s="23" t="n">
        <v>10</v>
      </c>
      <c r="I2889" s="23" t="n">
        <v>20</v>
      </c>
      <c r="J2889" s="23" t="inlineStr">
        <is>
          <t>978-5-227-07421-8</t>
        </is>
      </c>
      <c r="K2889" s="23" t="inlineStr">
        <is>
          <t>84x108 1/32</t>
        </is>
      </c>
      <c r="L2889" s="23" t="inlineStr">
        <is>
          <t>Интегр</t>
        </is>
      </c>
      <c r="M2889" s="23" t="n">
        <v>224</v>
      </c>
      <c r="N2889" s="23" t="n">
        <v>2017</v>
      </c>
      <c r="O2889" s="23" t="n">
        <v>186</v>
      </c>
      <c r="P2889" s="23" t="n"/>
      <c r="Q2889" s="23" t="n"/>
      <c r="R2889" s="25" t="inlineStr">
        <is>
          <t>Книга посвящена одному из основателей Добровольческой армии на Юге России генералу И.Г. Эрдели. В основу положены его письма­дневники, адресованные М.К. Свербеевой, датированные 1918—1919 годами. В этих текстах нашла отражение реакция генерала на происходящее, его рассуждения о судьбах страны и смысле личного участия в войне; они воссоздают внутреннюю атмосферу деникинской армии, содержат отрывки личного характера, написанные ярким поэтическим языком. Особое внимание автором монографии уделено реконструкции причинно­следственных связей между жизненными событиями и системообразующими свойствами личности. Монография предназначена для научных работников, преподавателей, студентов, всех интересующихся российской историей.</t>
        </is>
      </c>
      <c r="S2889" s="26">
        <f>HYPERLINK("http://www.cnpol.ru/covers/17414.jpg","фото на сайте")</f>
        <v/>
      </c>
    </row>
    <row r="2890" ht="50.1" customHeight="1" s="3">
      <c r="A2890" s="23" t="inlineStr">
        <is>
          <t>Н</t>
        </is>
      </c>
      <c r="B2890" s="24" t="inlineStr">
        <is>
          <t>21131</t>
        </is>
      </c>
      <c r="C2890" s="23" t="inlineStr">
        <is>
          <t>НОпоИР</t>
        </is>
      </c>
      <c r="D2890" s="23" t="inlineStr">
        <is>
          <t>Володихин Д.М</t>
        </is>
      </c>
      <c r="E2890" s="23" t="inlineStr">
        <is>
          <t>Главные люди опричнины. Дипломаты. Воеводы. Каратели. Вторая половина XVI в.</t>
        </is>
      </c>
      <c r="F2890" s="23" t="inlineStr">
        <is>
          <t>        </t>
        </is>
      </c>
      <c r="G2890" s="23" t="n">
        <v>422</v>
      </c>
      <c r="H2890" s="23" t="n">
        <v>10</v>
      </c>
      <c r="I2890" s="23" t="n">
        <v>20</v>
      </c>
      <c r="J2890" s="23" t="inlineStr">
        <is>
          <t>978-5-227-10670-4</t>
        </is>
      </c>
      <c r="K2890" s="23" t="inlineStr">
        <is>
          <t>84x108 1/32</t>
        </is>
      </c>
      <c r="L2890" s="23" t="inlineStr">
        <is>
          <t>Интегр</t>
        </is>
      </c>
      <c r="M2890" s="23" t="n">
        <v>253</v>
      </c>
      <c r="N2890" s="23" t="n">
        <v>2024</v>
      </c>
      <c r="O2890" s="23" t="n">
        <v>194</v>
      </c>
      <c r="P2890" s="23" t="n"/>
      <c r="Q2890" s="23" t="n"/>
      <c r="R2890" s="25" t="inlineStr">
        <is>
          <t>Опричнина просуществовала в России с 1565 по 1572 г. В состав ее «верхушки» попали очень разные люди: Алексей Басманов, Федор ¬Трубецкой, Василий Темкин-Ростовский, Афанасий Вяземский, Михаил Безнин, Григорий Скуратов-Бельский по прозвищу Малюта и тысячи других — как аристократов, так и дворян малозаметных. У них были противоположные интересы. Одни готовы были разрушить традиционный порядок. Другие собирались только подновить старый уклад. Третьи стояли за этот уклад и чувствовали себя случайными людьми в «черном царевом воинстве». Волей-неволей всем опричным лидерам приходилось принимать на себя часть груза великих государственных дел. Кое-кто готов был служить у вершин власти, имел желание и способности к большой государственной работе. Другие же искали возвышения, но не понимали всей ответственности будущего своего положения. А некоторые готовы были купить возвышение работой карателя, зная только один инструмент государственной политики — казни._x000D_
О загадках опричнины и людях, бывших в этот период в окружении Ивана Грозного, рассказывает книга доктора исторических наук, профессора Д.М. Володихина. Опричнина показана глазами самих опричников, и в этом состоит новизна книги.</t>
        </is>
      </c>
      <c r="S2890" s="26">
        <f>HYPERLINK("http://www.cnpol.ru/covers/21131.jpg","фото на сайте")</f>
        <v/>
      </c>
    </row>
    <row r="2891" ht="50.1" customHeight="1" s="3">
      <c r="A2891" s="23" t="inlineStr">
        <is>
          <t>Н</t>
        </is>
      </c>
      <c r="B2891" s="24" t="inlineStr">
        <is>
          <t>22239</t>
        </is>
      </c>
      <c r="C2891" s="23" t="inlineStr">
        <is>
          <t>НОпоИР</t>
        </is>
      </c>
      <c r="D2891" s="23" t="inlineStr">
        <is>
          <t>Пенской В.В.</t>
        </is>
      </c>
      <c r="E2891" s="23" t="inlineStr">
        <is>
          <t>Дело государево. Очерки русской военно-дипломатической истории времен Ивана Грозного. 2-я половина 40-х — начало 60-х гг. XVI в.</t>
        </is>
      </c>
      <c r="F2891" s="23" t="inlineStr">
        <is>
          <t>        </t>
        </is>
      </c>
      <c r="G2891" s="23" t="n">
        <v>478</v>
      </c>
      <c r="H2891" s="23" t="n">
        <v>10</v>
      </c>
      <c r="I2891" s="23" t="n">
        <v>12</v>
      </c>
      <c r="J2891" s="23" t="inlineStr">
        <is>
          <t>978-5-227-11347-4</t>
        </is>
      </c>
      <c r="K2891" s="23" t="inlineStr">
        <is>
          <t>84x108 1/32</t>
        </is>
      </c>
      <c r="L2891" s="23" t="inlineStr">
        <is>
          <t>Интегр</t>
        </is>
      </c>
      <c r="M2891" s="23" t="n">
        <v>445</v>
      </c>
      <c r="N2891" s="23" t="n">
        <v>2026</v>
      </c>
      <c r="O2891" s="23" t="n">
        <v>320</v>
      </c>
      <c r="P2891" s="23" t="n"/>
      <c r="Q2891" s="23" t="n"/>
      <c r="R2891" s="25" t="inlineStr">
        <is>
          <t>С успешных набегов в 1545 г. судовой рати князя С.И. Микулинского на Казань начался новый этап в русской военной и дипломатической истории времен Ивана IV. Постепенная стабилизация внутриполитического положения позволила активизировать внешнюю политику Русского государства. Это коснулось прежде всего восточного ее направления, которое надолго стало доминирующим в русской внешней политике в обеих ее ипостасях, военной и дипломатической, и оказало определяющее влияние и на политику внутреннюю. Борьба за Казань и Астрахань, сложные и противоречивые отношения с «самовольной» Ногайской Ордой, попытка реализации крымского «проекта», предполагавшего в перс¬пективе установление «мягкого» русского протектората над Крымом по казанскому образцу, — вот то, что на протяжении полутора десятков лет в первую очередь занимало умы московского боярства и молодого царя Ивана Васильевича. Успехи Москвы на востоке не могли не вызвать -растущих опасений у правящей элиты Великого княжества Литовского, мечтавшей взять реванш за поражения, которые претерпела Литва при деде и отце Ивана Васильевича, и у ливонских ландсгерров, для которых «русская угроза», Rusche gefahr, стала смыслом жизни. Попытка польского короля и великого князя Литовского Сигизмунда II «инкорпорировать» Ливонию в свои владения столкнулась со встречным желанием Ивана IV заставить ливонских ландсгерров выполнять подписанные ранее обязательства и привели к первой войне за раздел «ливонского наследства», Ливонской войне 1558—1561 гг., войне, которой никто не хотел, но которая была неизбежна. Обо всех этих событиях рассказывает новая книга доктора исторических наук В.В. Пенского.</t>
        </is>
      </c>
      <c r="S2891" s="26">
        <f>HYPERLINK("http://www.cnpol.ru/covers/22239.jpg","фото на сайте")</f>
        <v/>
      </c>
    </row>
    <row r="2892" ht="50.1" customHeight="1" s="3">
      <c r="A2892" s="23" t="n"/>
      <c r="B2892" s="24" t="inlineStr">
        <is>
          <t>17812</t>
        </is>
      </c>
      <c r="C2892" s="23" t="inlineStr">
        <is>
          <t>НОпоИР</t>
        </is>
      </c>
      <c r="D2892" s="23" t="inlineStr">
        <is>
          <t>Посадский А.В.</t>
        </is>
      </c>
      <c r="E2892" s="23" t="inlineStr">
        <is>
          <t>Зеленое движение в гражданской войне России</t>
        </is>
      </c>
      <c r="F2892" s="23" t="inlineStr">
        <is>
          <t>        </t>
        </is>
      </c>
      <c r="G2892" s="23" t="n">
        <v>422</v>
      </c>
      <c r="H2892" s="23" t="n">
        <v>10</v>
      </c>
      <c r="I2892" s="23" t="n">
        <v>16</v>
      </c>
      <c r="J2892" s="23" t="inlineStr">
        <is>
          <t>978-5-227-07689-2</t>
        </is>
      </c>
      <c r="K2892" s="23" t="inlineStr">
        <is>
          <t>84x108 1/32</t>
        </is>
      </c>
      <c r="L2892" s="23" t="inlineStr">
        <is>
          <t>Интегр</t>
        </is>
      </c>
      <c r="M2892" s="23" t="n">
        <v>320</v>
      </c>
      <c r="N2892" s="23" t="n">
        <v>2017</v>
      </c>
      <c r="O2892" s="23" t="n">
        <v>247</v>
      </c>
      <c r="P2892" s="23" t="n"/>
      <c r="Q2892" s="23" t="n"/>
      <c r="R2892" s="25" t="n"/>
      <c r="S2892" s="26">
        <f>HYPERLINK("http://www.cnpol.ru/covers/17812.jpg","фото на сайте")</f>
        <v/>
      </c>
    </row>
    <row r="2893" ht="50.1" customHeight="1" s="3">
      <c r="A2893" s="23" t="n"/>
      <c r="B2893" s="24" t="inlineStr">
        <is>
          <t>20522</t>
        </is>
      </c>
      <c r="C2893" s="23" t="inlineStr">
        <is>
          <t>НОпоИР</t>
        </is>
      </c>
      <c r="D2893" s="23" t="inlineStr">
        <is>
          <t>Пенской В.В.</t>
        </is>
      </c>
      <c r="E2893" s="23" t="inlineStr">
        <is>
          <t>Иван Грозный. Начало пути. Очерки русской истории 30—40­х годов XVI века</t>
        </is>
      </c>
      <c r="F2893" s="23" t="inlineStr">
        <is>
          <t>        </t>
        </is>
      </c>
      <c r="G2893" s="23" t="n">
        <v>422</v>
      </c>
      <c r="H2893" s="23" t="n">
        <v>10</v>
      </c>
      <c r="I2893" s="23" t="n">
        <v>16</v>
      </c>
      <c r="J2893" s="23" t="inlineStr">
        <is>
          <t>978-5-227-10215-7</t>
        </is>
      </c>
      <c r="K2893" s="23" t="inlineStr">
        <is>
          <t>84x108 1/32 (обл)</t>
        </is>
      </c>
      <c r="L2893" s="23" t="inlineStr">
        <is>
          <t>Интегр</t>
        </is>
      </c>
      <c r="M2893" s="23" t="n">
        <v>317</v>
      </c>
      <c r="N2893" s="23" t="n">
        <v>2023</v>
      </c>
      <c r="O2893" s="23" t="n">
        <v>274</v>
      </c>
      <c r="P2893" s="23" t="n"/>
      <c r="Q2893" s="23" t="n"/>
      <c r="R2893" s="25" t="n"/>
      <c r="S2893" s="26">
        <f>HYPERLINK("http://www.cnpol.ru/covers/20522.jpg","фото на сайте")</f>
        <v/>
      </c>
    </row>
    <row r="2894" ht="50.1" customHeight="1" s="3">
      <c r="A2894" s="23" t="inlineStr">
        <is>
          <t>Н</t>
        </is>
      </c>
      <c r="B2894" s="24" t="inlineStr">
        <is>
          <t>21718</t>
        </is>
      </c>
      <c r="C2894" s="23" t="inlineStr">
        <is>
          <t>НОпоИР</t>
        </is>
      </c>
      <c r="D2894" s="23" t="inlineStr">
        <is>
          <t>Гурьев В.И.</t>
        </is>
      </c>
      <c r="E2894" s="23" t="inlineStr">
        <is>
          <t>История московской полиции. Организация, задачи и деятельность. XVIII – начало XX в.</t>
        </is>
      </c>
      <c r="F2894" s="23" t="inlineStr">
        <is>
          <t>        </t>
        </is>
      </c>
      <c r="G2894" s="23" t="n">
        <v>422</v>
      </c>
      <c r="H2894" s="23" t="n">
        <v>10</v>
      </c>
      <c r="I2894" s="23" t="n">
        <v>22</v>
      </c>
      <c r="J2894" s="23" t="inlineStr">
        <is>
          <t>978-5-227-11038-1</t>
        </is>
      </c>
      <c r="K2894" s="23" t="inlineStr">
        <is>
          <t>84x108 1/32</t>
        </is>
      </c>
      <c r="L2894" s="23" t="inlineStr">
        <is>
          <t>Интегр</t>
        </is>
      </c>
      <c r="M2894" s="23" t="n">
        <v>221</v>
      </c>
      <c r="N2894" s="23" t="n">
        <v>2025</v>
      </c>
      <c r="O2894" s="23" t="n">
        <v>144</v>
      </c>
      <c r="P2894" s="23" t="n"/>
      <c r="Q2894" s="23" t="n"/>
      <c r="R2894" s="25" t="inlineStr">
        <is>
          <t>Книга кандидата исторических наук В.И. Гурьева посвящена истории правоохранительных органов Москвы с момента их создания в XVI в. Основное внимание автора сосредоточено на периоде с XVIII по начало XX в. Показаны особенности организационного строительства московских органов правопорядка, взаимоотношения полиции и граждан, участие органов в наиболее важных событиях истории Москвы, место в организации полиции Корпуса жандармов. Впервые в научной литературе исследуется социальный состав и особенности служебной деятельности сотрудников московских правоохранительных органов.</t>
        </is>
      </c>
      <c r="S2894" s="26">
        <f>HYPERLINK("http://www.cnpol.ru/covers/21718.jpg","фото на сайте")</f>
        <v/>
      </c>
    </row>
    <row r="2895" ht="50.1" customHeight="1" s="3">
      <c r="A2895" s="23" t="n"/>
      <c r="B2895" s="24" t="inlineStr">
        <is>
          <t>20476</t>
        </is>
      </c>
      <c r="C2895" s="23" t="inlineStr">
        <is>
          <t>НОпоИР</t>
        </is>
      </c>
      <c r="D2895" s="23" t="inlineStr">
        <is>
          <t>Евдокимов Р.Н.</t>
        </is>
      </c>
      <c r="E2895" s="23" t="inlineStr">
        <is>
          <t>Казаки на «захолустном фронте». Казачьи войска России в условиях Закавказского театра Первой мировой войны. 1914—1918 гг.</t>
        </is>
      </c>
      <c r="F2895" s="23" t="inlineStr">
        <is>
          <t>        </t>
        </is>
      </c>
      <c r="G2895" s="23" t="n">
        <v>422</v>
      </c>
      <c r="H2895" s="23" t="n">
        <v>10</v>
      </c>
      <c r="I2895" s="23" t="n">
        <v>16</v>
      </c>
      <c r="J2895" s="23" t="inlineStr">
        <is>
          <t>978-5-227-10148-8</t>
        </is>
      </c>
      <c r="K2895" s="23" t="inlineStr">
        <is>
          <t>84x108 1/32</t>
        </is>
      </c>
      <c r="L2895" s="23" t="inlineStr">
        <is>
          <t>Интегр</t>
        </is>
      </c>
      <c r="M2895" s="23" t="n">
        <v>317</v>
      </c>
      <c r="N2895" s="23" t="n">
        <v>2022</v>
      </c>
      <c r="O2895" s="23" t="n">
        <v>244</v>
      </c>
      <c r="P2895" s="23" t="n"/>
      <c r="Q2895" s="23" t="n"/>
      <c r="R2895" s="25" t="inlineStr">
        <is>
          <t>Книга кандидата исторических наук Р.Н. Евдокимова посвящена одному из тяжелейших периодов в истории казачества, охватившему события Первой мировой войны и начальный этап Великой российской революции. В это время противоречия между традиционным казачьим укладом и складывавшейся новой социальной реальностью не только поставили под сомнение способность казачьих войск успешно выполнять боевые задачи, но и целесообразность существования самих казаков как особого сообщества. Обстоятельства потребовали приступить к глубокой модернизации военного и административного устройства и социально-экономической организации казачества, а также формированию принципиально новых представлений о его месте в государственной и общественной системе России._x000D_
Относительно плавно данная модернизация происходила в условиях Закавказского театра боевых действий, что было связано с его отдаленностью и нахождением там наибольшего количества казачьих частей и соединений, представленных всеми основными родами оружия того времени — пехотой, кавалерией и артиллерией. Это обстоятельство делало Закавказский театр «самым казачьим» на всем пространстве Первой мировой войны.</t>
        </is>
      </c>
      <c r="S2895" s="26">
        <f>HYPERLINK("http://www.cnpol.ru/covers/20476.jpg","фото на сайте")</f>
        <v/>
      </c>
    </row>
    <row r="2896" ht="50.1" customHeight="1" s="3">
      <c r="A2896" s="23" t="n"/>
      <c r="B2896" s="24" t="inlineStr">
        <is>
          <t>20042</t>
        </is>
      </c>
      <c r="C2896" s="23" t="inlineStr">
        <is>
          <t>НОпоИР</t>
        </is>
      </c>
      <c r="D2896" s="23" t="inlineStr">
        <is>
          <t>Волвенко А.А.</t>
        </is>
      </c>
      <c r="E2896" s="23" t="inlineStr">
        <is>
          <t>Казачество и власть накануне Великих реформ Александра II. Конец 1850­х — начало 1860­х гг.</t>
        </is>
      </c>
      <c r="F2896" s="23" t="inlineStr">
        <is>
          <t>        </t>
        </is>
      </c>
      <c r="G2896" s="23" t="n">
        <v>422</v>
      </c>
      <c r="H2896" s="23" t="n">
        <v>10</v>
      </c>
      <c r="I2896" s="23" t="n">
        <v>28</v>
      </c>
      <c r="J2896" s="23" t="inlineStr">
        <is>
          <t>978-5-227-09804-7</t>
        </is>
      </c>
      <c r="K2896" s="23" t="inlineStr">
        <is>
          <t>84x108 1/32</t>
        </is>
      </c>
      <c r="L2896" s="23" t="inlineStr">
        <is>
          <t>Интегр</t>
        </is>
      </c>
      <c r="M2896" s="23" t="n">
        <v>189</v>
      </c>
      <c r="N2896" s="23" t="n">
        <v>2022</v>
      </c>
      <c r="O2896" s="23" t="n">
        <v>120</v>
      </c>
      <c r="P2896" s="23" t="n"/>
      <c r="Q2896" s="23" t="n"/>
      <c r="R2896" s="25" t="inlineStr">
        <is>
          <t>Во второй половине XIX в. в Российской империи происходили масштабные политические и социально-экономические трансформации, вызванные поражением в Крымской войне, подготовкой к отмене и самой отменой крепостного права. Наличие в империи вооруженных подданных — казаков, — обладавших особым социальным, правовым и военным статусом, придало свою специфику так называемым Великим реформам. Военное министерство, под непосредственным управлением которого находились казачьи части и иррегулярные формирования, разработало программу реформ в казачьих войсках, предусматривающую создание особых административно-юридических норм для регулирования сословно-правового положения казачества с тем, чтобы изменить «природу» казачества и направить если не всех казаков, то хотя бы какую-то их часть по пути постепенного освобождения от сословности. Первые шаги на пути к «гражданственности» были сделаны властью и казачеством в конце 1850­х — начале 1860­х годов. Именно в это время проявляются основные акторы казачьей политики, происходит обсуждение актуальных вопросов развития казачества и казачьих территорий в чиновной среде и в публичной сфере, вырабатывается конкретный план преобразований в казачьих войсках с гражданским уклоном и пр.</t>
        </is>
      </c>
      <c r="S2896" s="26">
        <f>HYPERLINK("http://www.cnpol.ru/covers/20042.jpg","фото на сайте")</f>
        <v/>
      </c>
    </row>
    <row r="2897" ht="50.1" customHeight="1" s="3">
      <c r="A2897" s="23" t="n"/>
      <c r="B2897" s="24" t="inlineStr">
        <is>
          <t>19375</t>
        </is>
      </c>
      <c r="C2897" s="23" t="inlineStr">
        <is>
          <t>НОпоИР</t>
        </is>
      </c>
      <c r="D2897" s="23" t="inlineStr">
        <is>
          <t>Володихин Д.М</t>
        </is>
      </c>
      <c r="E2897" s="23" t="inlineStr">
        <is>
          <t>Князь Иван Шуйский. Воевода Ивана Грозного</t>
        </is>
      </c>
      <c r="F2897" s="23" t="inlineStr">
        <is>
          <t>        </t>
        </is>
      </c>
      <c r="G2897" s="23" t="n">
        <v>422</v>
      </c>
      <c r="H2897" s="23" t="n">
        <v>10</v>
      </c>
      <c r="I2897" s="23" t="n">
        <v>16</v>
      </c>
      <c r="J2897" s="23" t="inlineStr">
        <is>
          <t>978-5-227-09235-9</t>
        </is>
      </c>
      <c r="K2897" s="23" t="inlineStr">
        <is>
          <t>84x108 1/32</t>
        </is>
      </c>
      <c r="L2897" s="23" t="inlineStr">
        <is>
          <t>Интегр</t>
        </is>
      </c>
      <c r="M2897" s="23" t="n">
        <v>254</v>
      </c>
      <c r="N2897" s="23" t="n">
        <v>2020</v>
      </c>
      <c r="O2897" s="23" t="n">
        <v>212</v>
      </c>
      <c r="P2897" s="23" t="n"/>
      <c r="Q2897" s="23" t="n"/>
      <c r="R2897" s="25" t="inlineStr">
        <is>
          <t>Иван Петрович Шуйский знаменит одной победой. В 1581—1582 годах он отстоял Псков, осажденный первоклассной польско­литовской армией с большим контингентом западноевропейских наемников и отличной артиллерией. Во главе осаждающих стоял доселе непобедимый полководец — король Стефан Баторий. Но это не помогло неприятелю: Псков остался неприступной твердыней. Фактически город защитил всю остальную Россию от смертельно опасного вторжения могучего врага._x000D_
Однако помимо широко известной псковской победы о князе И.П. Шуйском есть что рассказать: он представляет один из самых могущественных аристократических родов в Московском царстве, участвует во множестве войн, походов, сражений, познает великую славу и гибнет от придворных интриг. Это одна из самых замечательных фигур в ближнем окружении царя Ивана Грозного.</t>
        </is>
      </c>
      <c r="S2897" s="26">
        <f>HYPERLINK("http://www.cnpol.ru/covers/19375.jpg","фото на сайте")</f>
        <v/>
      </c>
    </row>
    <row r="2898" ht="50.1" customHeight="1" s="3">
      <c r="A2898" s="23" t="n"/>
      <c r="B2898" s="24" t="inlineStr">
        <is>
          <t>19732</t>
        </is>
      </c>
      <c r="C2898" s="23" t="inlineStr">
        <is>
          <t>НОпоИР</t>
        </is>
      </c>
      <c r="D2898" s="23" t="inlineStr">
        <is>
          <t>Боровков Д.А.</t>
        </is>
      </c>
      <c r="E2898" s="23" t="inlineStr">
        <is>
          <t>Междукняжеские отношения на Руси. Х – первая четверть XII в.</t>
        </is>
      </c>
      <c r="F2898" s="23" t="inlineStr">
        <is>
          <t>        </t>
        </is>
      </c>
      <c r="G2898" s="23" t="n">
        <v>422</v>
      </c>
      <c r="H2898" s="23" t="n">
        <v>10</v>
      </c>
      <c r="I2898" s="23" t="n">
        <v>20</v>
      </c>
      <c r="J2898" s="23" t="inlineStr">
        <is>
          <t>978-5-227-09424-7</t>
        </is>
      </c>
      <c r="K2898" s="23" t="inlineStr">
        <is>
          <t>84x108 1/32</t>
        </is>
      </c>
      <c r="L2898" s="23" t="inlineStr">
        <is>
          <t>Интегр</t>
        </is>
      </c>
      <c r="M2898" s="23" t="n">
        <v>254</v>
      </c>
      <c r="N2898" s="23" t="n">
        <v>2021</v>
      </c>
      <c r="O2898" s="23" t="n">
        <v>160</v>
      </c>
      <c r="P2898" s="23" t="n"/>
      <c r="Q2898" s="23" t="n"/>
      <c r="R2898" s="25" t="n"/>
      <c r="S2898" s="26">
        <f>HYPERLINK("http://www.cnpol.ru/covers/19732.jpg","фото на сайте")</f>
        <v/>
      </c>
    </row>
    <row r="2899" ht="50.1" customHeight="1" s="3">
      <c r="A2899" s="23" t="n"/>
      <c r="B2899" s="24" t="inlineStr">
        <is>
          <t>20310</t>
        </is>
      </c>
      <c r="C2899" s="23" t="inlineStr">
        <is>
          <t>НОпоИР</t>
        </is>
      </c>
      <c r="D2899" s="23" t="inlineStr">
        <is>
          <t>Ходаков И.М.</t>
        </is>
      </c>
      <c r="E2899" s="23" t="inlineStr">
        <is>
          <t>Московский поход генерала Деникина. Решающее сражение Гражданской войны в России. Май — октябрь 1919</t>
        </is>
      </c>
      <c r="F2899" s="23" t="inlineStr">
        <is>
          <t>        </t>
        </is>
      </c>
      <c r="G2899" s="23" t="n">
        <v>422</v>
      </c>
      <c r="H2899" s="23" t="n">
        <v>10</v>
      </c>
      <c r="I2899" s="23" t="n">
        <v>20</v>
      </c>
      <c r="J2899" s="23" t="inlineStr">
        <is>
          <t>978-5-227-10066-5</t>
        </is>
      </c>
      <c r="K2899" s="23" t="inlineStr">
        <is>
          <t>84x108 1/32 (обл)</t>
        </is>
      </c>
      <c r="L2899" s="23" t="inlineStr">
        <is>
          <t>Интегр</t>
        </is>
      </c>
      <c r="M2899" s="23" t="n">
        <v>253</v>
      </c>
      <c r="N2899" s="23" t="n">
        <v>2022</v>
      </c>
      <c r="O2899" s="23" t="n">
        <v>160</v>
      </c>
      <c r="P2899" s="23" t="n"/>
      <c r="Q2899" s="23" t="n"/>
      <c r="R2899" s="25" t="n"/>
      <c r="S2899" s="26">
        <f>HYPERLINK("http://www.cnpol.ru/covers/20310.jpg","фото на сайте")</f>
        <v/>
      </c>
    </row>
    <row r="2900" ht="50.1" customHeight="1" s="3">
      <c r="A2900" s="23" t="n"/>
      <c r="B2900" s="24" t="inlineStr">
        <is>
          <t>20600</t>
        </is>
      </c>
      <c r="C2900" s="23" t="inlineStr">
        <is>
          <t>НОпоИР</t>
        </is>
      </c>
      <c r="D2900" s="23" t="inlineStr">
        <is>
          <t>Воротынцев Л.В.</t>
        </is>
      </c>
      <c r="E2900" s="23" t="inlineStr">
        <is>
          <t>На границе Великой степи. Контактные зоны лесостепного пограничья Южной Руси в XIII – первой половине ХV вв.</t>
        </is>
      </c>
      <c r="F2900" s="23" t="inlineStr">
        <is>
          <t>        </t>
        </is>
      </c>
      <c r="G2900" s="23" t="n">
        <v>422</v>
      </c>
      <c r="H2900" s="23" t="n">
        <v>10</v>
      </c>
      <c r="I2900" s="23" t="n">
        <v>16</v>
      </c>
      <c r="J2900" s="23" t="inlineStr">
        <is>
          <t>978-5-227-10298-0</t>
        </is>
      </c>
      <c r="K2900" s="23" t="inlineStr">
        <is>
          <t>84x108 1/32 (обл)</t>
        </is>
      </c>
      <c r="L2900" s="23" t="inlineStr">
        <is>
          <t>Интегр</t>
        </is>
      </c>
      <c r="M2900" s="23" t="n">
        <v>317</v>
      </c>
      <c r="N2900" s="23" t="n">
        <v>2023</v>
      </c>
      <c r="O2900" s="23" t="n">
        <v>815</v>
      </c>
      <c r="P2900" s="23" t="n"/>
      <c r="Q2900" s="23" t="n"/>
      <c r="R2900" s="25" t="inlineStr">
        <is>
          <t>Монография посвящена изучению истории пограничных со Степью регионов Южной Руси XIII – первой половины XV в. В исследовании освещаются вопросы административно-политической, хозяйственно-экономической и этнокультурной интеграции южнорусских земель в государственную систему Монгольской империи и Улуса Джучи (Золотой Орды). На основании анализа широкого круга письменных и археологических источников автор приходит к выводу о формировании в ряде регионов южнорусской лесостепи так называемых «контактных зон», существовавших на всем протяжении золотоордынской эпохи. Издание адресовано специалистам, занимающимся изучением истории средневековой Руси и Золотой Орды, а также преподавателям, студентам, аспирантам и всем интересующимся историей русско-ордынских отношений.</t>
        </is>
      </c>
      <c r="S2900" s="26">
        <f>HYPERLINK("http://www.cnpol.ru/covers/20600.jpg","фото на сайте")</f>
        <v/>
      </c>
    </row>
    <row r="2901" ht="50.1" customHeight="1" s="3">
      <c r="A2901" s="23" t="n"/>
      <c r="B2901" s="24" t="inlineStr">
        <is>
          <t>18073</t>
        </is>
      </c>
      <c r="C2901" s="23" t="inlineStr">
        <is>
          <t>НОпоИР</t>
        </is>
      </c>
      <c r="D2901" s="23" t="inlineStr">
        <is>
          <t>Шинаков Е.А.</t>
        </is>
      </c>
      <c r="E2901" s="23" t="inlineStr">
        <is>
          <t>От Чернигова до Смоленска. Военная история юго­западного русского порубежья с древнейших времен до ХVII в.</t>
        </is>
      </c>
      <c r="F2901" s="23" t="inlineStr">
        <is>
          <t>        </t>
        </is>
      </c>
      <c r="G2901" s="23" t="n">
        <v>422</v>
      </c>
      <c r="H2901" s="23" t="n">
        <v>10</v>
      </c>
      <c r="I2901" s="23" t="n">
        <v>12</v>
      </c>
      <c r="J2901" s="23" t="inlineStr">
        <is>
          <t>978-5-227-08031-8</t>
        </is>
      </c>
      <c r="K2901" s="23" t="inlineStr">
        <is>
          <t>84x108 1/32</t>
        </is>
      </c>
      <c r="L2901" s="23" t="inlineStr">
        <is>
          <t>Интегр</t>
        </is>
      </c>
      <c r="M2901" s="23" t="n">
        <v>352</v>
      </c>
      <c r="N2901" s="23" t="n">
        <v>2018</v>
      </c>
      <c r="O2901" s="23" t="n">
        <v>302</v>
      </c>
      <c r="P2901" s="23" t="n"/>
      <c r="Q2901" s="23" t="n"/>
      <c r="R2901" s="25" t="n"/>
      <c r="S2901" s="26">
        <f>HYPERLINK("http://www.cnpol.ru/covers/18073.jpg","фото на сайте")</f>
        <v/>
      </c>
    </row>
    <row r="2902" ht="50.1" customHeight="1" s="3">
      <c r="A2902" s="23" t="n"/>
      <c r="B2902" s="24" t="inlineStr">
        <is>
          <t>20561</t>
        </is>
      </c>
      <c r="C2902" s="23" t="inlineStr">
        <is>
          <t>НОпоИР</t>
        </is>
      </c>
      <c r="D2902" s="23" t="inlineStr">
        <is>
          <t>Кисин С.В</t>
        </is>
      </c>
      <c r="E2902" s="23" t="inlineStr">
        <is>
          <t>Петр Столыпин. Последний русский дворянин</t>
        </is>
      </c>
      <c r="F2902" s="23" t="inlineStr">
        <is>
          <t>        </t>
        </is>
      </c>
      <c r="G2902" s="23" t="n">
        <v>422</v>
      </c>
      <c r="H2902" s="23" t="n">
        <v>10</v>
      </c>
      <c r="I2902" s="23" t="n">
        <v>20</v>
      </c>
      <c r="J2902" s="23" t="inlineStr">
        <is>
          <t>978-5-227-10248-5</t>
        </is>
      </c>
      <c r="K2902" s="23" t="inlineStr">
        <is>
          <t>84x108 1/32</t>
        </is>
      </c>
      <c r="L2902" s="23" t="inlineStr">
        <is>
          <t>Интегр</t>
        </is>
      </c>
      <c r="M2902" s="23" t="n">
        <v>285</v>
      </c>
      <c r="N2902" s="23" t="n">
        <v>2023</v>
      </c>
      <c r="O2902" s="23" t="n">
        <v>220</v>
      </c>
      <c r="P2902" s="23" t="n"/>
      <c r="Q2902" s="23" t="n"/>
      <c r="R2902" s="25" t="inlineStr">
        <is>
          <t>Вдовствующая императрица России Мария Федоровна называла Петра Аркадьевича Столыпина «последним русским дворянином». Умная проницательная датчанка разглядела в этом незнатном небогатом провинциале цельную, могучую натуру, способную решать государственные проблемы и брать на себя ответственность за судьбу целой империи. При этом не в поисках личной выгоды, а, скорее, вызывая огонь на себя. Выдающийся реформатор в период разгула анархии видел две главные задачи — умиротворить страну в бурную эпоху военного поражения и революции, а также решить земельный вопрос, который веками повергал ее в бунташное неистовство. Надо дать России двадцать лет внешнего и внутреннего спокойствия, и тогда «русский паровой каток» в мире уже будет не остановить. Но на этом пути реформатор всегда оставался один, ибо у трона личностей по масштабу подобных Столыпину попросту не было. Возможно, поэтому империя и рухнула так скоро после его гибели.</t>
        </is>
      </c>
      <c r="S2902" s="26">
        <f>HYPERLINK("http://www.cnpol.ru/covers/20561.jpg","фото на сайте")</f>
        <v/>
      </c>
    </row>
    <row r="2903" ht="50.1" customHeight="1" s="3">
      <c r="A2903" s="23" t="n"/>
      <c r="B2903" s="24" t="inlineStr">
        <is>
          <t>17290</t>
        </is>
      </c>
      <c r="C2903" s="23" t="inlineStr">
        <is>
          <t>НОпоИР</t>
        </is>
      </c>
      <c r="D2903" s="23" t="inlineStr">
        <is>
          <t>Соколов К.И.</t>
        </is>
      </c>
      <c r="E2903" s="23" t="inlineStr">
        <is>
          <t>Пламя над Волгой. Крестьянские восстания и выступления в Тверской губернии в конец 1917-1922гг.</t>
        </is>
      </c>
      <c r="F2903" s="23" t="inlineStr">
        <is>
          <t>        </t>
        </is>
      </c>
      <c r="G2903" s="23" t="n">
        <v>422</v>
      </c>
      <c r="H2903" s="23" t="n">
        <v>10</v>
      </c>
      <c r="I2903" s="23" t="n">
        <v>16</v>
      </c>
      <c r="J2903" s="23" t="inlineStr">
        <is>
          <t>978-5-227-07158-3</t>
        </is>
      </c>
      <c r="K2903" s="23" t="inlineStr">
        <is>
          <t>84x108 1/32</t>
        </is>
      </c>
      <c r="L2903" s="23" t="inlineStr">
        <is>
          <t>Интегр</t>
        </is>
      </c>
      <c r="M2903" s="23" t="n">
        <v>256</v>
      </c>
      <c r="N2903" s="23" t="n">
        <v>2017</v>
      </c>
      <c r="O2903" s="23" t="n">
        <v>204</v>
      </c>
      <c r="P2903" s="23" t="n"/>
      <c r="Q2903" s="23" t="n"/>
      <c r="R2903" s="25" t="n"/>
      <c r="S2903" s="26">
        <f>HYPERLINK("http://www.cnpol.ru/covers/17290.jpg","фото на сайте")</f>
        <v/>
      </c>
    </row>
    <row r="2904" ht="50.1" customHeight="1" s="3">
      <c r="A2904" s="23" t="inlineStr">
        <is>
          <t>Н</t>
        </is>
      </c>
      <c r="B2904" s="24" t="inlineStr">
        <is>
          <t>21398</t>
        </is>
      </c>
      <c r="C2904" s="23" t="inlineStr">
        <is>
          <t>НОпоИР</t>
        </is>
      </c>
      <c r="D2904" s="23" t="inlineStr">
        <is>
          <t>Судавцов Н.Д.</t>
        </is>
      </c>
      <c r="E2904" s="23" t="inlineStr">
        <is>
          <t>Победитель турок. Князь Василий Бебутов. 1791–1858 гг.</t>
        </is>
      </c>
      <c r="F2904" s="23" t="inlineStr">
        <is>
          <t>        </t>
        </is>
      </c>
      <c r="G2904" s="23" t="n">
        <v>422</v>
      </c>
      <c r="H2904" s="23" t="n">
        <v>10</v>
      </c>
      <c r="I2904" s="23" t="n">
        <v>16</v>
      </c>
      <c r="J2904" s="23" t="inlineStr">
        <is>
          <t>978-5-227-10844-9</t>
        </is>
      </c>
      <c r="K2904" s="23" t="inlineStr">
        <is>
          <t>84x108 1/32 (обл)</t>
        </is>
      </c>
      <c r="L2904" s="23" t="inlineStr">
        <is>
          <t>Интегр</t>
        </is>
      </c>
      <c r="M2904" s="23" t="n">
        <v>317</v>
      </c>
      <c r="N2904" s="23" t="n">
        <v>2025</v>
      </c>
      <c r="O2904" s="23" t="n">
        <v>231</v>
      </c>
      <c r="P2904" s="23" t="n"/>
      <c r="Q2904" s="23" t="n"/>
      <c r="R2904" s="25" t="inlineStr">
        <is>
          <t>Книга видного российского кавказоведа доктора исторических наук, профессора Н.Д. Судавцова посвящена одному из выдающихся военных и государственных деятелей России на Кавказе в ХIХ веке, представителю древнего армянского княжеского рода Василию Иосифовичу (Осиповичу) Бебутову, генералу от инфантерии, члену Государственного совета России. Он был одним из немногих кавказских генералов, который родился на Кавказе, в Тифлисе, сделал здесь свою блестящую военную, государственную карьеру и остался верен своему краю до конца дней своих.</t>
        </is>
      </c>
      <c r="S2904" s="26">
        <f>HYPERLINK("http://www.cnpol.ru/covers/21398.jpg","фото на сайте")</f>
        <v/>
      </c>
    </row>
    <row r="2905" ht="50.1" customHeight="1" s="3">
      <c r="A2905" s="23" t="n"/>
      <c r="B2905" s="24" t="inlineStr">
        <is>
          <t>18202</t>
        </is>
      </c>
      <c r="C2905" s="23" t="inlineStr">
        <is>
          <t>НОпоИР</t>
        </is>
      </c>
      <c r="D2905" s="23" t="inlineStr">
        <is>
          <t>Магилина И.В</t>
        </is>
      </c>
      <c r="E2905" s="23" t="inlineStr">
        <is>
          <t>Посольство монахов-кармелитов в России. Смуитное время глазами иностранцев. 1604-1612 гг.</t>
        </is>
      </c>
      <c r="F2905" s="23" t="inlineStr">
        <is>
          <t>        </t>
        </is>
      </c>
      <c r="G2905" s="23" t="n">
        <v>451</v>
      </c>
      <c r="H2905" s="23" t="n">
        <v>10</v>
      </c>
      <c r="I2905" s="23" t="n">
        <v>18</v>
      </c>
      <c r="J2905" s="23" t="inlineStr">
        <is>
          <t>978-5-227-08145-2</t>
        </is>
      </c>
      <c r="K2905" s="23" t="inlineStr">
        <is>
          <t>84x108 1/32</t>
        </is>
      </c>
      <c r="L2905" s="23" t="inlineStr">
        <is>
          <t>Интегр</t>
        </is>
      </c>
      <c r="M2905" s="23" t="n">
        <v>256</v>
      </c>
      <c r="N2905" s="23" t="n">
        <v>2018</v>
      </c>
      <c r="O2905" s="23" t="n">
        <v>210</v>
      </c>
      <c r="P2905" s="23" t="n"/>
      <c r="Q2905" s="23" t="n"/>
      <c r="R2905" s="25" t="n"/>
      <c r="S2905" s="26">
        <f>HYPERLINK("http://www.cnpol.ru/covers/18202.jpg","фото на сайте")</f>
        <v/>
      </c>
    </row>
    <row r="2906" ht="50.1" customHeight="1" s="3">
      <c r="A2906" s="23" t="inlineStr">
        <is>
          <t>Н</t>
        </is>
      </c>
      <c r="B2906" s="24" t="inlineStr">
        <is>
          <t>21781</t>
        </is>
      </c>
      <c r="C2906" s="23" t="inlineStr">
        <is>
          <t>НОпоИР</t>
        </is>
      </c>
      <c r="D2906" s="23" t="inlineStr">
        <is>
          <t>Володихин Д.М</t>
        </is>
      </c>
      <c r="E2906" s="23" t="inlineStr">
        <is>
          <t>Разгром турецкого флота в Эгейском море. Архипелагская экспедиция адмирала Д.Н. Сенявина. 1807 г.</t>
        </is>
      </c>
      <c r="F2906" s="23" t="inlineStr">
        <is>
          <t>        </t>
        </is>
      </c>
      <c r="G2906" s="23" t="n">
        <v>422</v>
      </c>
      <c r="H2906" s="23" t="n">
        <v>10</v>
      </c>
      <c r="I2906" s="23" t="n">
        <v>28</v>
      </c>
      <c r="J2906" s="23" t="inlineStr">
        <is>
          <t>978-5-227-11085-5</t>
        </is>
      </c>
      <c r="K2906" s="23" t="inlineStr">
        <is>
          <t>84x108 1/32</t>
        </is>
      </c>
      <c r="L2906" s="23" t="inlineStr">
        <is>
          <t>Интегр</t>
        </is>
      </c>
      <c r="M2906" s="23" t="n">
        <v>189</v>
      </c>
      <c r="N2906" s="23" t="n">
        <v>2025</v>
      </c>
      <c r="O2906" s="23" t="n">
        <v>152</v>
      </c>
      <c r="P2906" s="23" t="n"/>
      <c r="Q2906" s="23" t="n"/>
      <c r="R2906" s="25" t="inlineStr">
        <is>
          <t>Книга доктора исторических наук, профессора исторического факультета МГУ Д.М. Володихина посвящена одному из блестящих эпизодов в истории российского флота — победе эскадры адмирала Дмитрия Николаевича Сенявина над турками в Лемносско-Афонском сражении 1807 года. В этой морской битве в полной мере проявилось не только искусство флотоводца, но и мужество и стойкость русских моряков. Книга основана на широком круге документальных источников, в том числе материалах Российского государственного архива Военно-морского флота (РГА ВМФ), многочисленной мемуарной литературе, среди которых воспоминания самого адмирала Сенявина.</t>
        </is>
      </c>
      <c r="S2906" s="26">
        <f>HYPERLINK("http://www.cnpol.ru/covers/21781.jpg","фото на сайте")</f>
        <v/>
      </c>
    </row>
    <row r="2907" ht="50.1" customHeight="1" s="3">
      <c r="A2907" s="23" t="n"/>
      <c r="B2907" s="24" t="inlineStr">
        <is>
          <t>19045</t>
        </is>
      </c>
      <c r="C2907" s="23" t="inlineStr">
        <is>
          <t>НОпоИР</t>
        </is>
      </c>
      <c r="D2907" s="23" t="inlineStr">
        <is>
          <t>Аверьянов К.А.</t>
        </is>
      </c>
      <c r="E2907" s="23" t="inlineStr">
        <is>
          <t>Рождение Древней Руси. Взгляд из XXI века</t>
        </is>
      </c>
      <c r="F2907" s="23" t="inlineStr">
        <is>
          <t>        </t>
        </is>
      </c>
      <c r="G2907" s="23" t="n">
        <v>422</v>
      </c>
      <c r="H2907" s="23" t="n">
        <v>10</v>
      </c>
      <c r="I2907" s="23" t="n">
        <v>14</v>
      </c>
      <c r="J2907" s="23" t="inlineStr">
        <is>
          <t>978-5-227-08898-7</t>
        </is>
      </c>
      <c r="K2907" s="23" t="inlineStr">
        <is>
          <t>84x108 1/32 (обл)</t>
        </is>
      </c>
      <c r="L2907" s="23" t="inlineStr">
        <is>
          <t>Интегр</t>
        </is>
      </c>
      <c r="M2907" s="23" t="n">
        <v>352</v>
      </c>
      <c r="N2907" s="23" t="n">
        <v>2020</v>
      </c>
      <c r="O2907" s="23" t="n">
        <v>306</v>
      </c>
      <c r="P2907" s="23" t="n"/>
      <c r="Q2907" s="23" t="n"/>
      <c r="R2907" s="25" t="n"/>
      <c r="S2907" s="26">
        <f>HYPERLINK("http://www.cnpol.ru/covers/19045.jpg","фото на сайте")</f>
        <v/>
      </c>
    </row>
    <row r="2908" ht="50.1" customHeight="1" s="3">
      <c r="A2908" s="23" t="n"/>
      <c r="B2908" s="24" t="inlineStr">
        <is>
          <t>18419</t>
        </is>
      </c>
      <c r="C2908" s="23" t="inlineStr">
        <is>
          <t>НОпоИР</t>
        </is>
      </c>
      <c r="D2908" s="23" t="inlineStr">
        <is>
          <t>Темушев В. Н.</t>
        </is>
      </c>
      <c r="E2908" s="23" t="inlineStr">
        <is>
          <t>Русско-литовское пограничье. Гомельская земля в конце XV — первой половине XVI в.</t>
        </is>
      </c>
      <c r="F2908" s="23" t="inlineStr">
        <is>
          <t>        </t>
        </is>
      </c>
      <c r="G2908" s="23" t="n">
        <v>422</v>
      </c>
      <c r="H2908" s="23" t="n">
        <v>10</v>
      </c>
      <c r="I2908" s="23" t="n">
        <v>20</v>
      </c>
      <c r="J2908" s="23" t="inlineStr">
        <is>
          <t>978-5-227-08422-4</t>
        </is>
      </c>
      <c r="K2908" s="23" t="inlineStr">
        <is>
          <t>84x108 1/32</t>
        </is>
      </c>
      <c r="L2908" s="23" t="inlineStr">
        <is>
          <t>Интегр</t>
        </is>
      </c>
      <c r="M2908" s="23" t="n">
        <v>256</v>
      </c>
      <c r="N2908" s="23" t="n">
        <v>2018</v>
      </c>
      <c r="O2908" s="23" t="n">
        <v>206</v>
      </c>
      <c r="P2908" s="23" t="n"/>
      <c r="Q2908" s="23" t="n"/>
      <c r="R2908" s="25" t="n"/>
      <c r="S2908" s="26">
        <f>HYPERLINK("http://www.cnpol.ru/covers/18419.jpg","фото на сайте")</f>
        <v/>
      </c>
    </row>
    <row r="2909" ht="50.1" customHeight="1" s="3">
      <c r="A2909" s="23" t="n"/>
      <c r="B2909" s="24" t="inlineStr">
        <is>
          <t>19505</t>
        </is>
      </c>
      <c r="C2909" s="23" t="inlineStr">
        <is>
          <t>НОпоИР</t>
        </is>
      </c>
      <c r="D2909" s="23" t="inlineStr">
        <is>
          <t>Бенцианов М.М.</t>
        </is>
      </c>
      <c r="E2909" s="23" t="inlineStr">
        <is>
          <t>Служилые элиты Московского государства. Формирование, статус, интеграция. XV—XVI вв.</t>
        </is>
      </c>
      <c r="F2909" s="23" t="inlineStr">
        <is>
          <t>        </t>
        </is>
      </c>
      <c r="G2909" s="23" t="n">
        <v>422</v>
      </c>
      <c r="H2909" s="23" t="n">
        <v>10</v>
      </c>
      <c r="I2909" s="23" t="n">
        <v>20</v>
      </c>
      <c r="J2909" s="23" t="inlineStr">
        <is>
          <t>978-5-227-09147-5</t>
        </is>
      </c>
      <c r="K2909" s="23" t="inlineStr">
        <is>
          <t>84x108 1/32</t>
        </is>
      </c>
      <c r="L2909" s="23" t="inlineStr">
        <is>
          <t>Интегр</t>
        </is>
      </c>
      <c r="M2909" s="23" t="n">
        <v>256</v>
      </c>
      <c r="N2909" s="23" t="n">
        <v>2021</v>
      </c>
      <c r="O2909" s="23" t="n">
        <v>220</v>
      </c>
      <c r="P2909" s="23" t="n"/>
      <c r="Q2909" s="23" t="n"/>
      <c r="R2909" s="25" t="n"/>
      <c r="S2909" s="26">
        <f>HYPERLINK("http://www.cnpol.ru/covers/19505.jpg","фото на сайте")</f>
        <v/>
      </c>
    </row>
    <row r="2910" ht="50.1" customHeight="1" s="3">
      <c r="A2910" s="23" t="inlineStr">
        <is>
          <t>Н</t>
        </is>
      </c>
      <c r="B2910" s="24" t="inlineStr">
        <is>
          <t>21508</t>
        </is>
      </c>
      <c r="C2910" s="23" t="inlineStr">
        <is>
          <t>НОпоИР</t>
        </is>
      </c>
      <c r="D2910" s="23" t="inlineStr">
        <is>
          <t>Лашков А.Ю.</t>
        </is>
      </c>
      <c r="E2910" s="23" t="inlineStr">
        <is>
          <t>Советская авиация в военных конфликтах 1920-х годов. От Кронштадта до Туркестана</t>
        </is>
      </c>
      <c r="F2910" s="23" t="inlineStr">
        <is>
          <t>        </t>
        </is>
      </c>
      <c r="G2910" s="23" t="n">
        <v>422</v>
      </c>
      <c r="H2910" s="23" t="n">
        <v>10</v>
      </c>
      <c r="I2910" s="23" t="n">
        <v>16</v>
      </c>
      <c r="J2910" s="23" t="inlineStr">
        <is>
          <t>978-5-227-10915-6</t>
        </is>
      </c>
      <c r="K2910" s="23" t="inlineStr">
        <is>
          <t>84x108 1/32 (обл)</t>
        </is>
      </c>
      <c r="L2910" s="23" t="inlineStr">
        <is>
          <t>Интегр</t>
        </is>
      </c>
      <c r="M2910" s="23" t="n">
        <v>285</v>
      </c>
      <c r="N2910" s="23" t="n">
        <v>2025</v>
      </c>
      <c r="O2910" s="23" t="n">
        <v>150</v>
      </c>
      <c r="P2910" s="23" t="n"/>
      <c r="Q2910" s="23" t="n"/>
      <c r="R2910" s="25" t="inlineStr">
        <is>
          <t>Книга доктора исторических наук, специалиста в области истории военной авиации и противовоздушной обороны А.Ю. Лашкова раскрывает участие советских авиаторов и воздухоплавателей в подавлении повстанческого движения и ликвидации различных антисоветских вооруженных формирований на территории РСФСР (позднее — СССР) и ближнего зарубежья в 1920-е годы. Этот период в российской историографии получил неофициальное название «Малая гражданская война». Основу источниковой базы труда составляют документы фондов государственных архивов, в том числе Российского государственного архива социально-политической истории (РГАСПИ) и Российского государственного военного архива (РГВА). Книга предназначена для широкого круга читателей и специалистов, интересующихся проблемами применения отечественных военно-воздушных сил в вооруженных конфликтах межвоенного периода.</t>
        </is>
      </c>
      <c r="S2910" s="26">
        <f>HYPERLINK("http://www.cnpol.ru/covers/21508.jpg","фото на сайте")</f>
        <v/>
      </c>
    </row>
    <row r="2911" ht="50.1" customHeight="1" s="3">
      <c r="A2911" s="23" t="inlineStr">
        <is>
          <t>Н</t>
        </is>
      </c>
      <c r="B2911" s="24" t="inlineStr">
        <is>
          <t>21752</t>
        </is>
      </c>
      <c r="C2911" s="23" t="inlineStr">
        <is>
          <t>НОпоИР</t>
        </is>
      </c>
      <c r="D2911" s="23" t="inlineStr">
        <is>
          <t>Лашков А.Ю.</t>
        </is>
      </c>
      <c r="E2911" s="23" t="inlineStr">
        <is>
          <t>Советская противовоздушная оборона в Зимней войне. От Балтийского до Баренцева моря. 1939—1940</t>
        </is>
      </c>
      <c r="F2911" s="23" t="inlineStr">
        <is>
          <t>        </t>
        </is>
      </c>
      <c r="G2911" s="23" t="n">
        <v>422</v>
      </c>
      <c r="H2911" s="23" t="n">
        <v>10</v>
      </c>
      <c r="I2911" s="23" t="n">
        <v>20</v>
      </c>
      <c r="J2911" s="23" t="inlineStr">
        <is>
          <t>978-5-227-11051-0</t>
        </is>
      </c>
      <c r="K2911" s="23" t="inlineStr">
        <is>
          <t>84x108 1/32 (обл)</t>
        </is>
      </c>
      <c r="L2911" s="23" t="inlineStr">
        <is>
          <t>Интегр</t>
        </is>
      </c>
      <c r="M2911" s="23" t="n">
        <v>221</v>
      </c>
      <c r="N2911" s="23" t="n">
        <v>2025</v>
      </c>
      <c r="O2911" s="23" t="n">
        <v>145</v>
      </c>
      <c r="P2911" s="23" t="n"/>
      <c r="Q2911" s="23" t="n"/>
      <c r="R2911" s="25" t="inlineStr">
        <is>
          <t>Книга доктора исторических наук, специалиста в области истории военной авиации и средств противовоздушной обороны А.Ю. Лашкова посвящена вопросам организации противовоздушной обороны (ПВО) северо-западного региона СССР накануне, в ходе и по завершении Советско-финляндской войны (1939–1940 гг.). Наличие вызовов и угроз военной безопасности нашего государства, исходивших с территории соседних стран Финляндии и Норвегии (оккупированной в 1940 г. вооруженными силами нацистской Германии), требовало постоянного совершенствования системы ПВО в данном регионе, включая ее морской компонент. Материалы труда преимущественно основываются на малоизученных документах из фондов Российского государственного военного архива (РГВА)._x000D_
Книга рассчитана на широкий круг читателей и специалистов в области истории отечественной противовоздушной обороны.</t>
        </is>
      </c>
      <c r="S2911" s="26">
        <f>HYPERLINK("http://www.cnpol.ru/covers/21752.jpg","фото на сайте")</f>
        <v/>
      </c>
    </row>
    <row r="2912" ht="50.1" customHeight="1" s="3">
      <c r="A2912" s="23" t="n"/>
      <c r="B2912" s="24" t="inlineStr">
        <is>
          <t>18865</t>
        </is>
      </c>
      <c r="C2912" s="23" t="inlineStr">
        <is>
          <t>НОпоИР</t>
        </is>
      </c>
      <c r="D2912" s="23" t="inlineStr">
        <is>
          <t>Синицын Ф.Л</t>
        </is>
      </c>
      <c r="E2912" s="23" t="inlineStr">
        <is>
          <t>Советское государство и кочевники. История, политика, население. 1917—1991.</t>
        </is>
      </c>
      <c r="F2912" s="23" t="inlineStr">
        <is>
          <t>        </t>
        </is>
      </c>
      <c r="G2912" s="23" t="n">
        <v>422</v>
      </c>
      <c r="H2912" s="23" t="n">
        <v>10</v>
      </c>
      <c r="I2912" s="23" t="n">
        <v>16</v>
      </c>
      <c r="J2912" s="23" t="inlineStr">
        <is>
          <t>978-5-227-08787-4</t>
        </is>
      </c>
      <c r="K2912" s="23" t="inlineStr">
        <is>
          <t>84x108 1/32 (обл)</t>
        </is>
      </c>
      <c r="L2912" s="23" t="inlineStr">
        <is>
          <t>Интегр</t>
        </is>
      </c>
      <c r="M2912" s="23" t="n">
        <v>320</v>
      </c>
      <c r="N2912" s="23" t="n">
        <v>2019</v>
      </c>
      <c r="O2912" s="23" t="n">
        <v>260</v>
      </c>
      <c r="P2912" s="23" t="n"/>
      <c r="Q2912" s="23" t="n"/>
      <c r="R2912" s="25" t="n"/>
      <c r="S2912" s="26">
        <f>HYPERLINK("http://www.cnpol.ru/covers/18865.jpg","фото на сайте")</f>
        <v/>
      </c>
    </row>
    <row r="2913" ht="50.1" customHeight="1" s="3">
      <c r="A2913" s="23" t="n"/>
      <c r="B2913" s="24" t="inlineStr">
        <is>
          <t>19129</t>
        </is>
      </c>
      <c r="C2913" s="23" t="inlineStr">
        <is>
          <t>НОпоИР</t>
        </is>
      </c>
      <c r="D2913" s="23" t="inlineStr">
        <is>
          <t>Володихин Д.М</t>
        </is>
      </c>
      <c r="E2913" s="23" t="inlineStr">
        <is>
          <t>Средневековая Москва. Столица православной цивилизации</t>
        </is>
      </c>
      <c r="F2913" s="23" t="inlineStr">
        <is>
          <t>        </t>
        </is>
      </c>
      <c r="G2913" s="23" t="n">
        <v>422</v>
      </c>
      <c r="H2913" s="23" t="n">
        <v>10</v>
      </c>
      <c r="I2913" s="23" t="n">
        <v>24</v>
      </c>
      <c r="J2913" s="23" t="inlineStr">
        <is>
          <t>978-5-227-09090-4</t>
        </is>
      </c>
      <c r="K2913" s="23" t="inlineStr">
        <is>
          <t>84x108 1/32</t>
        </is>
      </c>
      <c r="L2913" s="23" t="inlineStr">
        <is>
          <t>Интегр</t>
        </is>
      </c>
      <c r="M2913" s="23" t="n">
        <v>224</v>
      </c>
      <c r="N2913" s="23" t="n">
        <v>2020</v>
      </c>
      <c r="O2913" s="23" t="n">
        <v>208</v>
      </c>
      <c r="P2913" s="23" t="n"/>
      <c r="Q2913" s="23" t="n"/>
      <c r="R2913" s="25" t="n"/>
      <c r="S2913" s="26">
        <f>HYPERLINK("http://www.cnpol.ru/covers/19129.jpg","фото на сайте")</f>
        <v/>
      </c>
    </row>
    <row r="2914" ht="50.1" customHeight="1" s="3">
      <c r="A2914" s="23" t="n"/>
      <c r="B2914" s="24" t="inlineStr">
        <is>
          <t>18306</t>
        </is>
      </c>
      <c r="C2914" s="23" t="inlineStr">
        <is>
          <t>НОпоИР</t>
        </is>
      </c>
      <c r="D2914" s="23" t="inlineStr">
        <is>
          <t>Малето Е.И</t>
        </is>
      </c>
      <c r="E2914" s="23" t="inlineStr">
        <is>
          <t>Средневековая Русь и Константинополь. Дипломатические отношения в конце XIV — середине ХV в.</t>
        </is>
      </c>
      <c r="F2914" s="23" t="inlineStr">
        <is>
          <t>        </t>
        </is>
      </c>
      <c r="G2914" s="23" t="n">
        <v>422</v>
      </c>
      <c r="H2914" s="23" t="n">
        <v>10</v>
      </c>
      <c r="I2914" s="23" t="n">
        <v>20</v>
      </c>
      <c r="J2914" s="23" t="inlineStr">
        <is>
          <t>978-5-227-08345-6</t>
        </is>
      </c>
      <c r="K2914" s="23" t="inlineStr">
        <is>
          <t>84x108 1/32</t>
        </is>
      </c>
      <c r="L2914" s="23" t="inlineStr">
        <is>
          <t>Интегр</t>
        </is>
      </c>
      <c r="M2914" s="23" t="n">
        <v>256</v>
      </c>
      <c r="N2914" s="23" t="n">
        <v>2018</v>
      </c>
      <c r="O2914" s="23" t="n">
        <v>186</v>
      </c>
      <c r="P2914" s="23" t="n"/>
      <c r="Q2914" s="23" t="n"/>
      <c r="R2914" s="25" t="n"/>
      <c r="S2914" s="26">
        <f>HYPERLINK("http://www.cnpol.ru/covers/18306.jpg","фото на сайте")</f>
        <v/>
      </c>
    </row>
    <row r="2915" ht="50.1" customHeight="1" s="3">
      <c r="A2915" s="23" t="n"/>
      <c r="B2915" s="24" t="inlineStr">
        <is>
          <t>20806</t>
        </is>
      </c>
      <c r="C2915" s="23" t="inlineStr">
        <is>
          <t>НОпоИР</t>
        </is>
      </c>
      <c r="D2915" s="23" t="inlineStr">
        <is>
          <t>Волкова И.В.</t>
        </is>
      </c>
      <c r="E2915" s="23" t="inlineStr">
        <is>
          <t>СССР и Гоминьдан. Военно-политическое сотрудничество. 1923—1942 гг.</t>
        </is>
      </c>
      <c r="F2915" s="23" t="inlineStr">
        <is>
          <t>        </t>
        </is>
      </c>
      <c r="G2915" s="23" t="n">
        <v>422</v>
      </c>
      <c r="H2915" s="23" t="n">
        <v>10</v>
      </c>
      <c r="I2915" s="23" t="n">
        <v>16</v>
      </c>
      <c r="J2915" s="23" t="inlineStr">
        <is>
          <t>978-5-227-10456-4</t>
        </is>
      </c>
      <c r="K2915" s="23" t="inlineStr">
        <is>
          <t>84x108 1/32</t>
        </is>
      </c>
      <c r="L2915" s="23" t="inlineStr">
        <is>
          <t>Интегр</t>
        </is>
      </c>
      <c r="M2915" s="23" t="n">
        <v>349</v>
      </c>
      <c r="N2915" s="23" t="n">
        <v>2023</v>
      </c>
      <c r="O2915" s="23" t="n">
        <v>252</v>
      </c>
      <c r="P2915" s="23" t="n"/>
      <c r="Q2915" s="23" t="n"/>
      <c r="R2915" s="25" t="inlineStr">
        <is>
          <t>Книга посвящена анализу изменений советского внешнеполитического курса по отношению к Гоминьдану (Национальной партии Китая), в период 1923–1942 гг. На основе опубликованных и архивных материалов развитие советско-китайского сотрудничества рассматривается с точки зрения целостного и преемственного процесса. В работе показано, как под влиянием международной обстановки и внутриполитических факторов курс Советского Союза в отношении Гоминьдана на протяжении 1923—1942 гг. претерпел трансформацию от приоритетной поддержки коммунистического, национально-освободительного движения к прагматичному геополитическому подходу, на базе идеи обеспечения безопасности дальневосточных рубежей СССР. Автором прослеживается путь от формирования стратегии сотрудничества с Гоминьданом и принятия решений до реализации конкретных мер поддержки в политической и военной сферах.</t>
        </is>
      </c>
      <c r="S2915" s="26">
        <f>HYPERLINK("http://www.cnpol.ru/covers/20806.jpg","фото на сайте")</f>
        <v/>
      </c>
    </row>
    <row r="2916" ht="50.1" customHeight="1" s="3">
      <c r="A2916" s="23" t="n"/>
      <c r="B2916" s="24" t="inlineStr">
        <is>
          <t>17773</t>
        </is>
      </c>
      <c r="C2916" s="23" t="inlineStr">
        <is>
          <t>НОпоИР</t>
        </is>
      </c>
      <c r="D2916" s="23" t="inlineStr">
        <is>
          <t>Абакумов О.Ю.</t>
        </is>
      </c>
      <c r="E2916" s="23" t="inlineStr">
        <is>
          <t>Третье отделение на страже нравственности</t>
        </is>
      </c>
      <c r="F2916" s="23" t="inlineStr">
        <is>
          <t>        </t>
        </is>
      </c>
      <c r="G2916" s="23" t="n">
        <v>422</v>
      </c>
      <c r="H2916" s="23" t="n">
        <v>10</v>
      </c>
      <c r="I2916" s="23" t="n">
        <v>16</v>
      </c>
      <c r="J2916" s="23" t="inlineStr">
        <is>
          <t>978-5-227-07747-9</t>
        </is>
      </c>
      <c r="K2916" s="23" t="inlineStr">
        <is>
          <t>84x108 1/32</t>
        </is>
      </c>
      <c r="L2916" s="23" t="inlineStr">
        <is>
          <t>Интегр</t>
        </is>
      </c>
      <c r="M2916" s="23" t="n">
        <v>320</v>
      </c>
      <c r="N2916" s="23" t="n">
        <v>2017</v>
      </c>
      <c r="O2916" s="23" t="n">
        <v>266</v>
      </c>
      <c r="P2916" s="23" t="n"/>
      <c r="Q2916" s="23" t="n"/>
      <c r="R2916" s="25" t="n"/>
      <c r="S2916" s="26">
        <f>HYPERLINK("http://www.cnpol.ru/covers/17773.jpg","фото на сайте")</f>
        <v/>
      </c>
    </row>
    <row r="2917" ht="50.1" customHeight="1" s="3">
      <c r="A2917" s="23" t="n"/>
      <c r="B2917" s="24" t="inlineStr">
        <is>
          <t>19169</t>
        </is>
      </c>
      <c r="C2917" s="23" t="inlineStr">
        <is>
          <t>НОпоИР</t>
        </is>
      </c>
      <c r="D2917" s="23" t="inlineStr">
        <is>
          <t>Долгов В.В</t>
        </is>
      </c>
      <c r="E2917" s="23" t="inlineStr">
        <is>
          <t>Феномен Александра Невского. Русь XIII века между Западом и Востоком</t>
        </is>
      </c>
      <c r="F2917" s="23" t="inlineStr">
        <is>
          <t>        </t>
        </is>
      </c>
      <c r="G2917" s="23" t="n">
        <v>422</v>
      </c>
      <c r="H2917" s="23" t="n">
        <v>10</v>
      </c>
      <c r="I2917" s="23" t="n">
        <v>20</v>
      </c>
      <c r="J2917" s="23" t="inlineStr">
        <is>
          <t>978-5-227-09105-5</t>
        </is>
      </c>
      <c r="K2917" s="23" t="inlineStr">
        <is>
          <t>84x108 1/32</t>
        </is>
      </c>
      <c r="L2917" s="23" t="inlineStr">
        <is>
          <t>Интегр</t>
        </is>
      </c>
      <c r="M2917" s="23" t="n">
        <v>224</v>
      </c>
      <c r="N2917" s="23" t="n">
        <v>2020</v>
      </c>
      <c r="O2917" s="23" t="n">
        <v>196</v>
      </c>
      <c r="P2917" s="23" t="n"/>
      <c r="Q2917" s="23" t="n"/>
      <c r="R2917" s="25" t="n"/>
      <c r="S2917" s="26">
        <f>HYPERLINK("http://www.cnpol.ru/covers/19169.jpg","фото на сайте")</f>
        <v/>
      </c>
    </row>
    <row r="2918" ht="50.1" customHeight="1" s="3">
      <c r="A2918" s="23" t="inlineStr">
        <is>
          <t>Н</t>
        </is>
      </c>
      <c r="B2918" s="24" t="inlineStr">
        <is>
          <t>22311</t>
        </is>
      </c>
      <c r="C2918" s="23" t="inlineStr">
        <is>
          <t>НОпоИР</t>
        </is>
      </c>
      <c r="D2918" s="23" t="inlineStr">
        <is>
          <t>Малето Е.И</t>
        </is>
      </c>
      <c r="E2918" s="23" t="inlineStr">
        <is>
          <t>Хождения русских путешественников. Паломники. Купцы. Дипломаты. XII—XV вв.</t>
        </is>
      </c>
      <c r="F2918" s="23" t="inlineStr">
        <is>
          <t>        </t>
        </is>
      </c>
      <c r="G2918" s="23" t="n">
        <v>423</v>
      </c>
      <c r="H2918" s="23" t="n">
        <v>10</v>
      </c>
      <c r="I2918" s="23" t="n">
        <v>16</v>
      </c>
      <c r="J2918" s="23" t="inlineStr">
        <is>
          <t>978-5-227-11381-8</t>
        </is>
      </c>
      <c r="K2918" s="23" t="inlineStr">
        <is>
          <t>84x108 1/32</t>
        </is>
      </c>
      <c r="L2918" s="23" t="inlineStr">
        <is>
          <t>Интегр</t>
        </is>
      </c>
      <c r="M2918" s="23" t="n">
        <v>221</v>
      </c>
      <c r="N2918" s="23" t="n">
        <v>2026</v>
      </c>
      <c r="O2918" s="23" t="n">
        <v>183</v>
      </c>
      <c r="P2918" s="23" t="n"/>
      <c r="Q2918" s="23" t="n"/>
      <c r="R2918" s="25" t="inlineStr">
        <is>
          <t>Работа посвящена изучению путевых записок русских средневековых путешественников (паломников, купцов, дипломатов) — так называемым хождениям или «хожениям», уникальные сообщения которых о Византии, Палестине, Египте, Германии, Италии и других заморских землях все еще остаются малоисследованными как в отечественной, так и в зарубежной историографии. Работа является первым опытом комплексного исследования хождений XII—XV вв. На основе анализа каждого из информационных слоев хождений выявляются новые информационные возможности этого вида источников, расширяются традиционные подходы к их изучению. Рассматривается история появления и развития жанра хождений, их рукописная традиция; основную часть занимает конкретный анализ всей совокупности имеющихся сведений о путешественниках Средневековья, в том числе путей сообщения средневековой Руси с Причерноморьем и Прикаспийским районом, со странами Востока и Запада (самостоятельное значение имеет реконструкция маршрутов русских путешественников); предлагаются новые подходы к изучению особенностей мировосприятия иных вер, народов, стран; прослеживается эволюция мировосприятия христианских святынь в сознании русских православных людей более чем за три столетия.</t>
        </is>
      </c>
      <c r="S2918" s="26">
        <f>HYPERLINK("http://www.cnpol.ru/covers/22311.jpg","фото на сайте")</f>
        <v/>
      </c>
    </row>
    <row r="2919" ht="50.1" customHeight="1" s="3">
      <c r="A2919" s="23" t="inlineStr">
        <is>
          <t>Н</t>
        </is>
      </c>
      <c r="B2919" s="24" t="inlineStr">
        <is>
          <t>21342</t>
        </is>
      </c>
      <c r="C2919" s="23" t="inlineStr">
        <is>
          <t>НОпоИРт</t>
        </is>
      </c>
      <c r="D2919" s="23" t="inlineStr">
        <is>
          <t>Посадский А.В.</t>
        </is>
      </c>
      <c r="E2919" s="23" t="inlineStr">
        <is>
          <t>Белая власть, казаки и крестьяне на Юге России. Противостояние и сотрудничество. 1918—1919</t>
        </is>
      </c>
      <c r="F2919" s="23" t="inlineStr">
        <is>
          <t>        </t>
        </is>
      </c>
      <c r="G2919" s="27" t="n">
        <v>1318</v>
      </c>
      <c r="H2919" s="23" t="n">
        <v>10</v>
      </c>
      <c r="I2919" s="23" t="n">
        <v>8</v>
      </c>
      <c r="J2919" s="23" t="inlineStr">
        <is>
          <t>978-5-227-10805-0</t>
        </is>
      </c>
      <c r="K2919" s="23" t="inlineStr">
        <is>
          <t>84x108 1/32</t>
        </is>
      </c>
      <c r="L2919" s="23" t="inlineStr">
        <is>
          <t>тв</t>
        </is>
      </c>
      <c r="M2919" s="23" t="n">
        <v>511</v>
      </c>
      <c r="N2919" s="23" t="n">
        <v>2024</v>
      </c>
      <c r="O2919" s="23" t="n">
        <v>538</v>
      </c>
      <c r="P2919" s="23" t="n"/>
      <c r="Q2919" s="23" t="n"/>
      <c r="R2919" s="25" t="inlineStr">
        <is>
          <t>Книга посвящена одной из ключевых тем Гражданской войны в России – взаимодействию политической власти и крестьянского большинства населения страны. События 1917—1922 гг. породили множество вариантов такого взаимодействия как на красной, так и на белой стороне. Все стороны противостояния вовлекали деревню в вооруженную борьбу, иначе невозможно было рассчитывать на военную победу. При этом коммуникация с «мужиком» являлась общепризнанной ахиллесовой пятой Белого движения. Неспособность создать уверенность в приходе твердой власти, развеять старые социальные фобии, массово поднять деревню под национальные знамена стала одной из очевидных причин неудачи белой борьбы. Тем важнее подробный анализ опыта успешного сотрудничества белых военных и политических инстанций с сельским населением. Один из таких сюжетов разворачивался на границе Области войска Донского и Саратовской губернии, на фоне знаменитой битвы за Царицын. Энергичный офицер В.К. Манакин при поддержке донского атамана П.Н. Краснова смог создать боеспособное формирование из крестьян юга Саратовской губернии — Саратовский корпус. История этого воинского формирования рассматривается в контекстах Гражданской войны на Юге, крестьянско-казачьих взаимоотношений, особенностей военного строительства Войска Донского, Добровольческой, Южной, Астраханской армий. Настроение и поведение саратовских крестьян сравнивается с таковыми крестьян Ставропольской, Астраханской, Воронежской губерний.</t>
        </is>
      </c>
      <c r="S2919" s="26">
        <f>HYPERLINK("http://www.cnpol.ru/covers/21342.jpg","фото на сайте")</f>
        <v/>
      </c>
    </row>
    <row r="2920" ht="50.1" customHeight="1" s="3">
      <c r="A2920" s="23" t="inlineStr">
        <is>
          <t>Н</t>
        </is>
      </c>
      <c r="B2920" s="24" t="inlineStr">
        <is>
          <t>22106</t>
        </is>
      </c>
      <c r="C2920" s="23" t="inlineStr">
        <is>
          <t>НОпоИРт</t>
        </is>
      </c>
      <c r="D2920" s="23" t="inlineStr">
        <is>
          <t>Аверьянов К.А.</t>
        </is>
      </c>
      <c r="E2920" s="23" t="inlineStr">
        <is>
          <t>Битва на Калке. 1223 г. Русские княжества накануне монголо-татарского нашествия</t>
        </is>
      </c>
      <c r="F2920" s="23" t="inlineStr">
        <is>
          <t>        </t>
        </is>
      </c>
      <c r="G2920" s="23" t="n">
        <v>935</v>
      </c>
      <c r="H2920" s="23" t="n">
        <v>10</v>
      </c>
      <c r="I2920" s="23" t="n">
        <v>10</v>
      </c>
      <c r="J2920" s="23" t="inlineStr">
        <is>
          <t>978-5-227-11245-3</t>
        </is>
      </c>
      <c r="K2920" s="23" t="inlineStr">
        <is>
          <t>84x108 1/32</t>
        </is>
      </c>
      <c r="L2920" s="23" t="inlineStr">
        <is>
          <t>тв</t>
        </is>
      </c>
      <c r="M2920" s="23" t="n">
        <v>254</v>
      </c>
      <c r="N2920" s="23" t="n">
        <v>2026</v>
      </c>
      <c r="O2920" s="23" t="n">
        <v>338</v>
      </c>
      <c r="P2920" s="23" t="n"/>
      <c r="Q2920" s="23" t="n"/>
      <c r="R2920" s="25" t="inlineStr">
        <is>
          <t>Хотя битва на Калке, ставшая первым столкновением Руси с монголо-татарами, входит в обязательную программу всех школьных и вузовских учебников, она остается во многом загадочной для историков. Споры идут о месте сражения, поскольку на современных картах реки с таким названием нет. Дискуссии разворачиваются не только о дне, но даже о годе битвы. Нет единства мнений о численности сражавшихся, маршруте движения противников. Каким образом с битвой связаны знаменитая комета Галлея и Карл Маркс, участвовал ли в битве русский богатырь Алеша Попович, какую роль сыграла река Калка в судьбе ордынского темника Мамая? Можно ли сейчас, по прошествии 800 лет, восстановить события прошлого? На основе анализа всей совокупности исторических источников автор отвечает на эти и другие вопросы.</t>
        </is>
      </c>
      <c r="S2920" s="26">
        <f>HYPERLINK("http://www.cnpol.ru/covers/22106.jpg","фото на сайте")</f>
        <v/>
      </c>
    </row>
    <row r="2921" ht="50.1" customHeight="1" s="3">
      <c r="A2921" s="23" t="inlineStr">
        <is>
          <t>Н</t>
        </is>
      </c>
      <c r="B2921" s="24" t="inlineStr">
        <is>
          <t>22270</t>
        </is>
      </c>
      <c r="C2921" s="23" t="inlineStr">
        <is>
          <t>НОпоИРт</t>
        </is>
      </c>
      <c r="D2921" s="23" t="inlineStr">
        <is>
          <t>Боровков Д.А.</t>
        </is>
      </c>
      <c r="E2921" s="23" t="inlineStr">
        <is>
          <t>Владимир Мономах. Между историей и легендой</t>
        </is>
      </c>
      <c r="F2921" s="23" t="inlineStr">
        <is>
          <t>        </t>
        </is>
      </c>
      <c r="G2921" s="23" t="n">
        <v>935</v>
      </c>
      <c r="H2921" s="23" t="n">
        <v>10</v>
      </c>
      <c r="I2921" s="23" t="n">
        <v>10</v>
      </c>
      <c r="J2921" s="23" t="inlineStr">
        <is>
          <t>978-5-227-11378-8</t>
        </is>
      </c>
      <c r="K2921" s="23" t="inlineStr">
        <is>
          <t>84x108 1/32</t>
        </is>
      </c>
      <c r="L2921" s="23" t="inlineStr">
        <is>
          <t>тв</t>
        </is>
      </c>
      <c r="M2921" s="23" t="n">
        <v>254</v>
      </c>
      <c r="N2921" s="23" t="n">
        <v>2026</v>
      </c>
      <c r="O2921" s="23" t="n">
        <v>335</v>
      </c>
      <c r="P2921" s="23" t="n"/>
      <c r="Q2921" s="23" t="n"/>
      <c r="R2921" s="25" t="inlineStr">
        <is>
          <t>В книге  рассказывается о жизненном пути одного из наиболее известных князей Древней Руси — Владимира Всеволодовича Мономаха (1053—1125). Мономах является единственным древнерусским правителем, оставившим свою автобиографию, входящую в состав знаменитого «Поучения», созданного князем для своих детей, которое сохранилось в Лаврентьевской летописи. Тем не менее личность Мономаха по сей день окутана завесой легенд, самой известной из которых является легенда о «шапке Мономаха» и других «Мономаховых дарах», якобы полученных им от византийского императора. Об этой легенде и о многих других исторических мифах, сформировавшихся вокруг его имени, читатели смогут узнать из книги кандидата исторических наук, русиста Д.А. Боровкова.</t>
        </is>
      </c>
      <c r="S2921" s="26">
        <f>HYPERLINK("http://www.cnpol.ru/covers/22270.jpg","фото на сайте")</f>
        <v/>
      </c>
    </row>
    <row r="2922" ht="50.1" customHeight="1" s="3">
      <c r="A2922" s="23" t="n"/>
      <c r="B2922" s="24" t="inlineStr">
        <is>
          <t>20844</t>
        </is>
      </c>
      <c r="C2922" s="23" t="inlineStr">
        <is>
          <t>НОпоИРт</t>
        </is>
      </c>
      <c r="D2922" s="23" t="inlineStr">
        <is>
          <t>Зорихин А.Г.</t>
        </is>
      </c>
      <c r="E2922" s="23" t="inlineStr">
        <is>
          <t>Военная разведка Японии против СССР. Противостояние спецслужб в Европе, на Ближнем и Дальнем Востоке</t>
        </is>
      </c>
      <c r="F2922" s="23" t="inlineStr">
        <is>
          <t>        </t>
        </is>
      </c>
      <c r="G2922" s="27" t="n">
        <v>1009</v>
      </c>
      <c r="H2922" s="23" t="n">
        <v>10</v>
      </c>
      <c r="I2922" s="23" t="n">
        <v>12</v>
      </c>
      <c r="J2922" s="23" t="inlineStr">
        <is>
          <t>978-5-227-10476-2</t>
        </is>
      </c>
      <c r="K2922" s="23" t="inlineStr">
        <is>
          <t>84x108 1/32</t>
        </is>
      </c>
      <c r="L2922" s="23" t="inlineStr">
        <is>
          <t>тв</t>
        </is>
      </c>
      <c r="M2922" s="23" t="n">
        <v>447</v>
      </c>
      <c r="N2922" s="23" t="n">
        <v>2023</v>
      </c>
      <c r="O2922" s="23" t="n">
        <v>487</v>
      </c>
      <c r="P2922" s="23" t="n"/>
      <c r="Q2922" s="23" t="n"/>
      <c r="R2922" s="25" t="inlineStr">
        <is>
          <t>Книга посвящена деятельности японской военной разведки против Советского Союза в 1922—1945 гг. Она написана на основе сравнительного анализа документов из архивохранилищ России, Японии, Великобритании, США и Польши с привлечением исследований на русском, украинском, польском, английском, немецком и японском языках. Все документальные материалы вводятся в оборот впервые. _x000D_
В работе оценивается результативность деятельности японской военной разведки и отечественной контрразведки, прослеживается влияние информации специальных органов двух стран на принятие важнейших решений в сфере внешней политики и обороны. Первостепенное внимание уделено периодам военных конфликтов СССР и Японии на Хасане (1938), Халхин-Голе (1939), событиям Великой Отечественной войны (1941—1945) и Советско-японской войны (1945) в контексте деятельности японской разведки.</t>
        </is>
      </c>
      <c r="S2922" s="26">
        <f>HYPERLINK("http://www.cnpol.ru/covers/20844.jpg","фото на сайте")</f>
        <v/>
      </c>
    </row>
    <row r="2923" ht="50.1" customHeight="1" s="3">
      <c r="A2923" s="23" t="inlineStr">
        <is>
          <t>Н</t>
        </is>
      </c>
      <c r="B2923" s="24" t="inlineStr">
        <is>
          <t>21806</t>
        </is>
      </c>
      <c r="C2923" s="23" t="inlineStr">
        <is>
          <t>НОпоИРт</t>
        </is>
      </c>
      <c r="D2923" s="23" t="inlineStr">
        <is>
          <t>Пенской В.В.</t>
        </is>
      </c>
      <c r="E2923" s="23" t="inlineStr">
        <is>
          <t>Военное дело Московского государства. От Василия Темного до Михаила Романова. Вторая половина XV — начало XVII в.</t>
        </is>
      </c>
      <c r="F2923" s="23" t="inlineStr">
        <is>
          <t>        </t>
        </is>
      </c>
      <c r="G2923" s="27" t="n">
        <v>1063</v>
      </c>
      <c r="H2923" s="23" t="n">
        <v>10</v>
      </c>
      <c r="I2923" s="23" t="n">
        <v>5</v>
      </c>
      <c r="J2923" s="23" t="inlineStr">
        <is>
          <t>978-5-227-11132-6</t>
        </is>
      </c>
      <c r="K2923" s="23" t="inlineStr">
        <is>
          <t>84x108 1/32</t>
        </is>
      </c>
      <c r="L2923" s="23" t="inlineStr">
        <is>
          <t>тв</t>
        </is>
      </c>
      <c r="M2923" s="23" t="n">
        <v>351</v>
      </c>
      <c r="N2923" s="23" t="n">
        <v>2025</v>
      </c>
      <c r="O2923" s="23" t="n">
        <v>410</v>
      </c>
      <c r="P2923" s="23" t="n"/>
      <c r="Q2923" s="23" t="n"/>
      <c r="R2923" s="25" t="inlineStr">
        <is>
          <t>С давних пор в российском общественном мнении устоялась точка зрения на военное дело Российского государства раннего Нового времени (вторая половина XV — конец XVII в.) как на нечто архаичное, примитивное и отсталое. Сформировавшийся в петровское время яркий образ московского ратного человека, мечтающего о том, чтобы государю послужить не вынимая сабли из ножен, оказал неизгладимое впечатление на последующие поколения отечественных историков, пренебрежительно расценивавших уровень развития русского военного дела московской эпохи. Между тем такие уничижительные оценки находятся в явном противоречии с исторической реальностью. За два с половиной столетия, с середины XV по конец XVII в., Российское государство достигло на внешнеполитическом поприще немалых успехов: не только покорило три татарских «царства», одолело в двухсотлетней войне Польско-Литовское государство, но и само стало империей. Добиться столь впечатляющих успехов, не имея в своем распоряжении надежного и эффективного «последнего довода королей» — хорошего, боеспособного войска и надлежащего уровня развития военного дела, — было бы невозможно._x000D_
Но что представлял собой этот самый «последний довод» московских государей, благодаря которому они сумели добиться столь впечатляющих успехов? На этот вопрос отвечает книга доктора исторических наук, профессора В.В. Пенского, которая рассказывает о том, каким было русское военное дело второй половины XV — начала XVII в., когда была создана, прошла проверку в многочисленных боях и походах московская военная машина. Речь в этом исследовании идет не о сражениях, а именно об истории военного дела: численности государева войска, особенностях его структуры и управления, логистике, военных финансах, тактике и стратегии, осадном деле, вооружении и многом другом.</t>
        </is>
      </c>
      <c r="S2923" s="26">
        <f>HYPERLINK("http://www.cnpol.ru/covers/21806.jpg","фото на сайте")</f>
        <v/>
      </c>
    </row>
    <row r="2924" ht="50.1" customHeight="1" s="3">
      <c r="A2924" s="23" t="inlineStr">
        <is>
          <t>Д</t>
        </is>
      </c>
      <c r="B2924" s="24" t="inlineStr">
        <is>
          <t>21736</t>
        </is>
      </c>
      <c r="C2924" s="23" t="inlineStr">
        <is>
          <t>НОпоИРт</t>
        </is>
      </c>
      <c r="D2924" s="23" t="inlineStr">
        <is>
          <t>Федосов А.В</t>
        </is>
      </c>
      <c r="E2924" s="23" t="inlineStr">
        <is>
          <t>Готы и славяне. На пути к государственности. III–IV вв.</t>
        </is>
      </c>
      <c r="F2924" s="23" t="inlineStr">
        <is>
          <t>        </t>
        </is>
      </c>
      <c r="G2924" s="23" t="n">
        <v>849</v>
      </c>
      <c r="H2924" s="23" t="n">
        <v>10</v>
      </c>
      <c r="I2924" s="23" t="n">
        <v>6</v>
      </c>
      <c r="J2924" s="23" t="inlineStr">
        <is>
          <t>978-5-227-11092-3</t>
        </is>
      </c>
      <c r="K2924" s="23" t="inlineStr">
        <is>
          <t>84x108 1/32</t>
        </is>
      </c>
      <c r="L2924" s="23" t="inlineStr">
        <is>
          <t>тв</t>
        </is>
      </c>
      <c r="M2924" s="23" t="n">
        <v>318</v>
      </c>
      <c r="N2924" s="23" t="n">
        <v>2025</v>
      </c>
      <c r="O2924" s="23" t="n">
        <v>320</v>
      </c>
      <c r="P2924" s="23" t="n"/>
      <c r="Q2924" s="23" t="n"/>
      <c r="R2924" s="25" t="inlineStr">
        <is>
          <t>"Исследование посвящено развитию ранней государственности готов в Восточной Европе III—IV вв. Особое место уделено двум готским предгосударственным образованиям (политиям): Готии тервингов и королевству гревтунгов. Впервые в отечественной и зарубежной историографии проводится сравнение этих двух готских политий между собой и их общее сравнение со славянскими политиями того же периода. Использование в работе почти полного комплекса письменных источников по готской истории, критический подход к исследованиям последних лет, а также методов зарубежной и отечественной политантропологии позволило автору внести свой вклад в решение проблем эпохи поздней Античности и раннего Средневековья, что дало основание сдвинуть время появления первых праславянских потестарных образований в Восточной Европе ориентировочно на II в. и выдвинуть собственную концепцию ранней государственности. 
Работа рассчитана на специалистов, занятых проблемами поздней Античности, эпохи Великого переселения народов и раннего Средневековья, а также на широкий круг читателей."</t>
        </is>
      </c>
      <c r="S2924" s="26">
        <f>HYPERLINK("http://www.cnpol.ru/covers/21736.jpg","фото на сайте")</f>
        <v/>
      </c>
    </row>
    <row r="2925" ht="50.1" customHeight="1" s="3">
      <c r="A2925" s="23" t="inlineStr">
        <is>
          <t>Н</t>
        </is>
      </c>
      <c r="B2925" s="24" t="inlineStr">
        <is>
          <t>21409</t>
        </is>
      </c>
      <c r="C2925" s="23" t="inlineStr">
        <is>
          <t>НОпоИРт</t>
        </is>
      </c>
      <c r="D2925" s="23" t="inlineStr">
        <is>
          <t>Безугольный А.Ю.</t>
        </is>
      </c>
      <c r="E2925" s="23" t="inlineStr">
        <is>
          <t>Добровольцы и ополченцы в военной организации Советского государства. 1917—1945 гг.</t>
        </is>
      </c>
      <c r="F2925" s="23" t="inlineStr">
        <is>
          <t>        </t>
        </is>
      </c>
      <c r="G2925" s="27" t="n">
        <v>1117</v>
      </c>
      <c r="H2925" s="23" t="n">
        <v>10</v>
      </c>
      <c r="I2925" s="23" t="n">
        <v>10</v>
      </c>
      <c r="J2925" s="23" t="inlineStr">
        <is>
          <t>978-5-227-10854-8</t>
        </is>
      </c>
      <c r="K2925" s="23" t="inlineStr">
        <is>
          <t>84x108 1/32</t>
        </is>
      </c>
      <c r="L2925" s="23" t="inlineStr">
        <is>
          <t>тв</t>
        </is>
      </c>
      <c r="M2925" s="23" t="n">
        <v>383</v>
      </c>
      <c r="N2925" s="23" t="n">
        <v>2025</v>
      </c>
      <c r="O2925" s="23" t="n">
        <v>320</v>
      </c>
      <c r="P2925" s="23" t="n"/>
      <c r="Q2925" s="23" t="n"/>
      <c r="R2925" s="25" t="inlineStr">
        <is>
          <t>Работа доктора исторических наук А.Ю. Безугольного посвящена истории добровольческого способа комплектования войск Красной армии, а также военизированных формирований, создававшихся вне структуры военного ведомства, — народного ополчения, истребительных батальонов и иных подразделений, в основе своей укомплектованных гражданскими лицами. Интересы власти, вербующей добровольцев, и мотивация самих добровольцев, откликающихся на призыв власти; нормативное регулирование и социально-правовое положение добровольцев; принципы и формы комплектования добровольческих частей; деятельность центрального и местных партийно-государственных аппаратов и органов военного управления по вербовке добровольцев и организации добровольческих частей — все это предмет данного исследования. Книга основана на большом массиве документального материала, значительная часть которого вводится в научный оборот впервые.</t>
        </is>
      </c>
      <c r="S2925" s="26">
        <f>HYPERLINK("http://www.cnpol.ru/covers/21409.jpg","фото на сайте")</f>
        <v/>
      </c>
    </row>
    <row r="2926" ht="50.1" customHeight="1" s="3">
      <c r="A2926" s="23" t="n"/>
      <c r="B2926" s="24" t="inlineStr">
        <is>
          <t>20239</t>
        </is>
      </c>
      <c r="C2926" s="23" t="inlineStr">
        <is>
          <t>НОпоИРт</t>
        </is>
      </c>
      <c r="D2926" s="23" t="inlineStr">
        <is>
          <t>Волвенко А.А.</t>
        </is>
      </c>
      <c r="E2926" s="23" t="inlineStr">
        <is>
          <t>Донское казачество позднеимперской эпохи. Земля. Служба. Власть. 2­я половина XIX в. - начало XX в.</t>
        </is>
      </c>
      <c r="F2926" s="23" t="inlineStr">
        <is>
          <t>        </t>
        </is>
      </c>
      <c r="G2926" s="23" t="n">
        <v>806</v>
      </c>
      <c r="H2926" s="23" t="n">
        <v>10</v>
      </c>
      <c r="I2926" s="23" t="n">
        <v>16</v>
      </c>
      <c r="J2926" s="23" t="inlineStr">
        <is>
          <t>978-5-227-10010-8</t>
        </is>
      </c>
      <c r="K2926" s="23" t="inlineStr">
        <is>
          <t>84x108 1/32</t>
        </is>
      </c>
      <c r="L2926" s="23" t="inlineStr">
        <is>
          <t>тв</t>
        </is>
      </c>
      <c r="M2926" s="23" t="n">
        <v>233</v>
      </c>
      <c r="N2926" s="23" t="n">
        <v>2022</v>
      </c>
      <c r="O2926" s="23" t="n">
        <v>327</v>
      </c>
      <c r="P2926" s="23" t="n"/>
      <c r="Q2926" s="23" t="n"/>
      <c r="R2926" s="25" t="inlineStr">
        <is>
          <t>В книге в научно­популярной форме проанализированы основные вехи истории донского казачества в позднеимперский период. Автором рассмотрены наиболее спорные вопросы развития донского казачества во 2­й половине XIX - начале XX в.: эволюция казачьих привилегий; трансформация системы войскового, станичного и земского управления; эффективность казачьей службы и ее стоимость для государства и казачьей семьи. Отдельное внимание уделено описанию территории Донского войска, его войсковых и окружных границ.</t>
        </is>
      </c>
      <c r="S2926" s="26">
        <f>HYPERLINK("http://www.cnpol.ru/covers/20239.jpg","фото на сайте")</f>
        <v/>
      </c>
    </row>
    <row r="2927" ht="50.1" customHeight="1" s="3">
      <c r="A2927" s="23" t="inlineStr">
        <is>
          <t>Н</t>
        </is>
      </c>
      <c r="B2927" s="24" t="inlineStr">
        <is>
          <t>22053</t>
        </is>
      </c>
      <c r="C2927" s="23" t="inlineStr">
        <is>
          <t>НОпоИРт</t>
        </is>
      </c>
      <c r="D2927" s="23" t="inlineStr">
        <is>
          <t>Аверьянов К.А.</t>
        </is>
      </c>
      <c r="E2927" s="23" t="inlineStr">
        <is>
          <t>Загадка завещания Ивана Калиты. Присоединение Галича, Углича и Белоозера к Московскому княжеству в XIV в.</t>
        </is>
      </c>
      <c r="F2927" s="23" t="inlineStr">
        <is>
          <t>        </t>
        </is>
      </c>
      <c r="G2927" s="27" t="n">
        <v>1009</v>
      </c>
      <c r="H2927" s="23" t="n">
        <v>10</v>
      </c>
      <c r="I2927" s="23" t="n">
        <v>10</v>
      </c>
      <c r="J2927" s="23" t="inlineStr">
        <is>
          <t>978-5-227-11243-9</t>
        </is>
      </c>
      <c r="K2927" s="23" t="inlineStr">
        <is>
          <t>84x108 1/32</t>
        </is>
      </c>
      <c r="L2927" s="23" t="inlineStr">
        <is>
          <t>тв</t>
        </is>
      </c>
      <c r="M2927" s="23" t="n">
        <v>319</v>
      </c>
      <c r="N2927" s="23" t="n">
        <v>2026</v>
      </c>
      <c r="O2927" s="23" t="n">
        <v>390</v>
      </c>
      <c r="P2927" s="23" t="n"/>
      <c r="Q2927" s="23" t="n"/>
      <c r="R2927" s="25" t="inlineStr">
        <is>
          <t>Книга доктора исторических наук К.А. Аверьянова посвящена одному из самых интересных и загадочных вопросов русской истории XIV в., породившему немало споров среди историков, — проблеме так называемых «купель Ивана Калиты», в результате которых к Московскому княжеству были присоединены несколько обширных северных земель с центрами в Галиче, Угличе и Белоозере. Именно эти города великий князь Дмитрий Донской в своем завещании 1389 г. именует «куплями деда своего». Подробно анализируются взгляды предшествующих исследователей на суть вопроса, детально рассматриваются указания летописных, актовых и иных первоисточников по этой теме.</t>
        </is>
      </c>
      <c r="S2927" s="26">
        <f>HYPERLINK("http://www.cnpol.ru/covers/22053.jpg","фото на сайте")</f>
        <v/>
      </c>
    </row>
    <row r="2928" ht="50.1" customHeight="1" s="3">
      <c r="A2928" s="23" t="inlineStr">
        <is>
          <t>Н</t>
        </is>
      </c>
      <c r="B2928" s="24" t="inlineStr">
        <is>
          <t>21513</t>
        </is>
      </c>
      <c r="C2928" s="23" t="inlineStr">
        <is>
          <t>НОпоИРт</t>
        </is>
      </c>
      <c r="D2928" s="23" t="inlineStr">
        <is>
          <t>Пенской В.В.</t>
        </is>
      </c>
      <c r="E2928" s="23" t="inlineStr">
        <is>
          <t>Иван Грозный. Начало пути. Очерки русской истории 30—40-х годов XVI века</t>
        </is>
      </c>
      <c r="F2928" s="23" t="inlineStr">
        <is>
          <t>        </t>
        </is>
      </c>
      <c r="G2928" s="27" t="n">
        <v>1038</v>
      </c>
      <c r="H2928" s="23" t="n">
        <v>10</v>
      </c>
      <c r="I2928" s="23" t="n">
        <v>12</v>
      </c>
      <c r="J2928" s="23" t="inlineStr">
        <is>
          <t>978-5-227-10949-1</t>
        </is>
      </c>
      <c r="K2928" s="23" t="inlineStr">
        <is>
          <t>84x108 1/32</t>
        </is>
      </c>
      <c r="L2928" s="23" t="inlineStr">
        <is>
          <t>тв</t>
        </is>
      </c>
      <c r="M2928" s="23" t="n">
        <v>317</v>
      </c>
      <c r="N2928" s="23" t="n">
        <v>2025</v>
      </c>
      <c r="O2928" s="23" t="n">
        <v>310</v>
      </c>
      <c r="P2928" s="23" t="n"/>
      <c r="Q2928" s="23" t="n"/>
      <c r="R2928" s="25" t="inlineStr">
        <is>
          <t>Новая книга российского историка В.В. Пенского  посвящена сложному и противоречивому времени в истории Российского государства и человеку, ставшему символом этого времени, — Ивану Грозному. Долгое правление Ивана IV, по существу, подвело итоги пребывания династии Рюриковичей на вершине власти русского политического олимпа. Первый русский царь завершил дело, начатое его прадедом Василием II и дедом Иваном III, — собирание земель и власти. Он достроил здание русского «служилого государства», которое затем неоднократно перестраивалось, в особенности при Петре Великом, и просуществовало до второй половины XVIII века, когда при Екатерине II начался его постепенный демонтаж. Этот процесс был сложным и отнюдь не прямолинейным — после рывка вперед, сделанного при Иване III, наступило затишье при Василии III, когда и страна, и власть как будто готовились, копили силы и энергию перед новым прыжком. Неожиданная смерть Василия III отложила этот процесс на некоторое время. Автор рассказывает о годах «боярского правления», наступившего после кончины отца Ивана IV, периоде «междуцарствия» и безвременья, когда формировалась личность и характер будущего грозного царя, и как начинался его путь к власти._x000D_
Автор включил в свой труд многочисленные цитаты из летописей и грамот времен Ивана Грозного с тем, чтобы как можно лучше передать дух эпохи.</t>
        </is>
      </c>
      <c r="S2928" s="26">
        <f>HYPERLINK("http://www.cnpol.ru/covers/21513.jpg","фото на сайте")</f>
        <v/>
      </c>
    </row>
    <row r="2929" ht="50.1" customHeight="1" s="3">
      <c r="A2929" s="23" t="inlineStr">
        <is>
          <t>Д</t>
        </is>
      </c>
      <c r="B2929" s="24" t="inlineStr">
        <is>
          <t>22220</t>
        </is>
      </c>
      <c r="C2929" s="23" t="inlineStr">
        <is>
          <t>НОпоИРт</t>
        </is>
      </c>
      <c r="D2929" s="23" t="inlineStr">
        <is>
          <t>Пенской В.В.</t>
        </is>
      </c>
      <c r="E2929" s="23" t="inlineStr">
        <is>
          <t>Иван Грозный. Начало пути. Очерки русской истории 30—40-х годов XVI века</t>
        </is>
      </c>
      <c r="F2929" s="23" t="inlineStr">
        <is>
          <t>        </t>
        </is>
      </c>
      <c r="G2929" s="27" t="n">
        <v>1038</v>
      </c>
      <c r="H2929" s="23" t="n">
        <v>10</v>
      </c>
      <c r="I2929" s="23" t="n">
        <v>10</v>
      </c>
      <c r="J2929" s="23" t="inlineStr">
        <is>
          <t>978-5-227-11357-3</t>
        </is>
      </c>
      <c r="K2929" s="23" t="inlineStr">
        <is>
          <t>84x108 1/32</t>
        </is>
      </c>
      <c r="L2929" s="23" t="inlineStr">
        <is>
          <t>тв</t>
        </is>
      </c>
      <c r="M2929" s="23" t="n">
        <v>317</v>
      </c>
      <c r="N2929" s="23" t="n">
        <v>2026</v>
      </c>
      <c r="O2929" s="23" t="n">
        <v>393</v>
      </c>
      <c r="P2929" s="23" t="n"/>
      <c r="Q2929" s="23" t="n"/>
      <c r="R2929" s="25" t="inlineStr">
        <is>
          <t>Новая книга российского историка В.В. Пенского  посвящена сложному и противоречивому времени в истории Российского государства и человеку, ставшему символом этого времени, — Ивану Грозному. Долгое правление Ивана IV, по существу, подвело итоги пребывания династии Рюриковичей на вершине власти русского политического олимпа. Первый русский царь завершил дело, начатое его прадедом Василием II и дедом Иваном III, — собирание земель и власти. Он достроил здание русского «служилого государства», которое затем неоднократно перестраивалось, в особенности при Петре Великом, и просуществовало до второй половины XVIII века, когда при Екатерине II начался его постепенный демонтаж. Этот процесс был сложным и отнюдь не прямолинейным — после рывка вперед, сделанного при Иване III, наступило затишье при Василии III, когда и страна, и власть как будто готовились, копили силы и энергию перед новым прыжком. Неожиданная смерть Василия III отложила этот процесс на некоторое время. Автор рассказывает о годах «боярского правления», наступившего после кончины отца Ивана IV, периоде «междуцарствия» и безвременья, когда формировалась личность и характер будущего грозного царя, и как начинался его путь к власти._x000D_
Автор включил в свой труд многочисленные цитаты из летописей и грамот времен Ивана Грозного с тем, чтобы как можно лучше передать дух эпохи.</t>
        </is>
      </c>
      <c r="S2929" s="26">
        <f>HYPERLINK("http://www.cnpol.ru/covers/22220.jpg","фото на сайте")</f>
        <v/>
      </c>
    </row>
    <row r="2930" ht="50.1" customHeight="1" s="3">
      <c r="A2930" s="23" t="inlineStr">
        <is>
          <t>Д</t>
        </is>
      </c>
      <c r="B2930" s="24" t="inlineStr">
        <is>
          <t>21428</t>
        </is>
      </c>
      <c r="C2930" s="23" t="inlineStr">
        <is>
          <t>НОпоИРт</t>
        </is>
      </c>
      <c r="D2930" s="23" t="inlineStr">
        <is>
          <t>Кисин С.В</t>
        </is>
      </c>
      <c r="E2930" s="23" t="inlineStr">
        <is>
          <t>Император Николай I и его эпоха. Донкихот самодержавия. 1825—1855 гг.</t>
        </is>
      </c>
      <c r="F2930" s="23" t="inlineStr">
        <is>
          <t>        </t>
        </is>
      </c>
      <c r="G2930" s="27" t="n">
        <v>1009</v>
      </c>
      <c r="H2930" s="23" t="n">
        <v>10</v>
      </c>
      <c r="I2930" s="23" t="n">
        <v>12</v>
      </c>
      <c r="J2930" s="23" t="inlineStr">
        <is>
          <t>978-5-227-10908-8</t>
        </is>
      </c>
      <c r="K2930" s="23" t="inlineStr">
        <is>
          <t>84x108 1/32</t>
        </is>
      </c>
      <c r="L2930" s="23" t="inlineStr">
        <is>
          <t>тв</t>
        </is>
      </c>
      <c r="M2930" s="23" t="n">
        <v>318</v>
      </c>
      <c r="N2930" s="23" t="n">
        <v>2025</v>
      </c>
      <c r="O2930" s="23" t="n">
        <v>350</v>
      </c>
      <c r="P2930" s="23" t="n"/>
      <c r="Q2930" s="23" t="n"/>
      <c r="R2930" s="25" t="inlineStr">
        <is>
          <t>В дореволюционных либеральных, а затем и в советских стереотипах император Николай I представлялся исключительно как душитель свободы, грубый солдафон «Николай Палкин», «жандарм Европы», гонитель декабристов, польских патриотов, вольнодумцев и Пушкина, враг технического прогресса. Многие же современники считали его чуть ли не идеальным государем, бесстрашным офицером, тонким и умелым политиком, кодификатором, реформатором, выстроившим устойчивую вертикаль власти, четко работающий бюрократический аппарат, во главе которого стоял сам Николай, работавший круглосуточно без выходных. Именно он, единственный из российских царей, с полным основанием мог о себе сказать: «Государство — это я». На большом документальном материале и свидетельствах современников автор разбирается в особенностях этой противоречивой фигуры российской истории и его эпохи.</t>
        </is>
      </c>
      <c r="S2930" s="26">
        <f>HYPERLINK("http://www.cnpol.ru/covers/21428.jpg","фото на сайте")</f>
        <v/>
      </c>
    </row>
    <row r="2931" ht="50.1" customHeight="1" s="3">
      <c r="A2931" s="23" t="inlineStr">
        <is>
          <t>Д</t>
        </is>
      </c>
      <c r="B2931" s="24" t="inlineStr">
        <is>
          <t>21859</t>
        </is>
      </c>
      <c r="C2931" s="23" t="inlineStr">
        <is>
          <t>НОпоИРт</t>
        </is>
      </c>
      <c r="D2931" s="23" t="inlineStr">
        <is>
          <t>Безугольный А.Ю.</t>
        </is>
      </c>
      <c r="E2931" s="23" t="inlineStr">
        <is>
          <t>Иностранные войска, созданные Советским Союзом для борьбы с нацизмом. Политика. Дипломатия. Военное строительство 1941–1945 гг.</t>
        </is>
      </c>
      <c r="F2931" s="23" t="inlineStr">
        <is>
          <t>        </t>
        </is>
      </c>
      <c r="G2931" s="27" t="n">
        <v>1405</v>
      </c>
      <c r="H2931" s="23" t="n">
        <v>10</v>
      </c>
      <c r="I2931" s="23" t="n">
        <v>5</v>
      </c>
      <c r="J2931" s="23" t="inlineStr">
        <is>
          <t>978-5-227-11183-8</t>
        </is>
      </c>
      <c r="K2931" s="23" t="inlineStr">
        <is>
          <t>84x108 1/32</t>
        </is>
      </c>
      <c r="L2931" s="23" t="inlineStr">
        <is>
          <t>тв</t>
        </is>
      </c>
      <c r="M2931" s="23" t="n">
        <v>543</v>
      </c>
      <c r="N2931" s="23" t="n">
        <v>2025</v>
      </c>
      <c r="O2931" s="23" t="n">
        <v>577</v>
      </c>
      <c r="P2931" s="23" t="n"/>
      <c r="Q2931" s="23" t="n"/>
      <c r="R2931" s="25" t="inlineStr">
        <is>
          <t>В работе проанализированы усилия Советского Союза по формированию союзнических армий на советско-германском фронте еще до открытия второго фронта американскими, британскими и канадскими войсками в Нормандии в июне 1944 г. Их комплектование осуществлялось за счет контингентов иностранцев, по разным причинам оказавшихся в СССР (политические эмигранты, военнопленные, интернированные, административно выселенные и т. д.), а в случае их нехватки — за счет советских граждан, родственных титульным этносам иностранных частей. В работе показаны сложности организационного строительства иностранных войск и взаимоотношений с иностранными контрагентами (правительствами в изгнании, военными миссиями, общественно-политическими организациями, представлявшими свои страны), учитывая исторический и политический контекст, в котором реализовывалось данное начинание.</t>
        </is>
      </c>
      <c r="S2931" s="26">
        <f>HYPERLINK("http://www.cnpol.ru/covers/21859.jpg","фото на сайте")</f>
        <v/>
      </c>
    </row>
    <row r="2932" ht="50.1" customHeight="1" s="3">
      <c r="A2932" s="23" t="inlineStr">
        <is>
          <t>Н</t>
        </is>
      </c>
      <c r="B2932" s="24" t="inlineStr">
        <is>
          <t>21879</t>
        </is>
      </c>
      <c r="C2932" s="23" t="inlineStr">
        <is>
          <t>НОпоИРт</t>
        </is>
      </c>
      <c r="D2932" s="23" t="inlineStr">
        <is>
          <t>Федосов А.В., Раффенспергер К</t>
        </is>
      </c>
      <c r="E2932" s="23" t="inlineStr">
        <is>
          <t>Королевство Русь. Древняя Русь глазами западных историков</t>
        </is>
      </c>
      <c r="F2932" s="23" t="inlineStr">
        <is>
          <t>        </t>
        </is>
      </c>
      <c r="G2932" s="23" t="n">
        <v>915</v>
      </c>
      <c r="H2932" s="23" t="n">
        <v>10</v>
      </c>
      <c r="I2932" s="23" t="n">
        <v>10</v>
      </c>
      <c r="J2932" s="23" t="inlineStr">
        <is>
          <t>978-5-227-11139-5</t>
        </is>
      </c>
      <c r="K2932" s="23" t="inlineStr">
        <is>
          <t>84x108 1/32</t>
        </is>
      </c>
      <c r="L2932" s="23" t="inlineStr">
        <is>
          <t>тв</t>
        </is>
      </c>
      <c r="M2932" s="23" t="n">
        <v>254</v>
      </c>
      <c r="N2932" s="23" t="n">
        <v>2025</v>
      </c>
      <c r="O2932" s="23" t="n">
        <v>221</v>
      </c>
      <c r="P2932" s="23" t="n"/>
      <c r="Q2932" s="23" t="n"/>
      <c r="R2932" s="25" t="inlineStr">
        <is>
          <t>"Первая часть книги — это анализ новейшей англо-американской литературы по проблемам древнерусской государственности середины IX— начала XII в., которая мало известна не только широкому российскому читателю, но и специалистам в этой области, т. к. никогда не издавалась в России. Российским историком А.В. Федосовым рассмотрены наиболее заметные работы англо-американских авторов, вышедшие с начала 70-х годов прошлого века до настоящего времени. Определены направления развития новейшей русистики и ее научные достижения.
Вторая часть представляет собой перевод работы «Королевство Русь» профессора Виттенбергского университета (США) Кристиана Раффенспергера — одного из авторитетных современных исследователей Древней Руси. Основной идеей книги является тезис о том, что Русь, по крайней мере до XIII в., была неотъемлемой частью общеевропейской культурно-политической общности благодаря династическим союзам, культурным контактам, религиозному взаимодействию и т. д. Представлен оригинальный взгляд автора на проблему титулатуры древнерусских правителей и ее аналогии с западноевропейскими титулами."</t>
        </is>
      </c>
      <c r="S2932" s="26">
        <f>HYPERLINK("http://www.cnpol.ru/covers/21879.jpg","фото на сайте")</f>
        <v/>
      </c>
    </row>
    <row r="2933" ht="50.1" customHeight="1" s="3">
      <c r="A2933" s="23" t="n"/>
      <c r="B2933" s="24" t="inlineStr">
        <is>
          <t>20127</t>
        </is>
      </c>
      <c r="C2933" s="23" t="inlineStr">
        <is>
          <t>НОпоИРт</t>
        </is>
      </c>
      <c r="D2933" s="23" t="inlineStr">
        <is>
          <t>Коршунова Н.В.</t>
        </is>
      </c>
      <c r="E2933" s="23" t="inlineStr">
        <is>
          <t>Крах политической доктрины императора Павла I, или Как нельзя управлять страной</t>
        </is>
      </c>
      <c r="F2933" s="23" t="inlineStr">
        <is>
          <t>        </t>
        </is>
      </c>
      <c r="G2933" s="23" t="n">
        <v>855</v>
      </c>
      <c r="H2933" s="23" t="n">
        <v>10</v>
      </c>
      <c r="I2933" s="23" t="n">
        <v>16</v>
      </c>
      <c r="J2933" s="23" t="inlineStr">
        <is>
          <t>978-5-227-09860-3</t>
        </is>
      </c>
      <c r="K2933" s="23" t="inlineStr">
        <is>
          <t>84x108 1/32</t>
        </is>
      </c>
      <c r="L2933" s="23" t="inlineStr">
        <is>
          <t>тв</t>
        </is>
      </c>
      <c r="M2933" s="23" t="n">
        <v>224</v>
      </c>
      <c r="N2933" s="23" t="n">
        <v>2022</v>
      </c>
      <c r="O2933" s="23" t="n">
        <v>326</v>
      </c>
      <c r="P2933" s="23" t="n"/>
      <c r="Q2933" s="23" t="n"/>
      <c r="R2933" s="25" t="inlineStr">
        <is>
          <t>Работа доктора исторических наук Н.В. Коршуновой посвящена анализу политической доктрины императора Павла I, формам и способам ее реализации. Автором представлена характеристика внутренней и внешней политики императора Павла I, обозначены причины, побудившие императора проводить те или иные преобразования. Особое внимание уделено политической оппозиции, которая начала складываться уже на второй год правления императора. В том числе подробно рассмотрена организация заговора и цареубийства 11 марта 1801 г. В работе показано, почему политическая доктрина императора Павла привела его к краху.</t>
        </is>
      </c>
      <c r="S2933" s="26">
        <f>HYPERLINK("http://www.cnpol.ru/covers/20127.jpg","фото на сайте")</f>
        <v/>
      </c>
    </row>
    <row r="2934" ht="50.1" customHeight="1" s="3">
      <c r="A2934" s="23" t="inlineStr">
        <is>
          <t>Н</t>
        </is>
      </c>
      <c r="B2934" s="24" t="inlineStr">
        <is>
          <t>22285</t>
        </is>
      </c>
      <c r="C2934" s="23" t="inlineStr">
        <is>
          <t>НОпоИРт</t>
        </is>
      </c>
      <c r="D2934" s="23" t="inlineStr">
        <is>
          <t>Давыдов А.Ю.</t>
        </is>
      </c>
      <c r="E2934" s="23" t="inlineStr">
        <is>
          <t>Мешочники в России. Предпринимательский промысел революционной эпохи. 1917 — начало 1920 х гг.</t>
        </is>
      </c>
      <c r="F2934" s="23" t="inlineStr">
        <is>
          <t>        </t>
        </is>
      </c>
      <c r="G2934" s="27" t="n">
        <v>1117</v>
      </c>
      <c r="H2934" s="23" t="n">
        <v>10</v>
      </c>
      <c r="I2934" s="23" t="n">
        <v>6</v>
      </c>
      <c r="J2934" s="23" t="inlineStr">
        <is>
          <t>978-5-227-11376-4</t>
        </is>
      </c>
      <c r="K2934" s="23" t="inlineStr">
        <is>
          <t>84x108 1/32</t>
        </is>
      </c>
      <c r="L2934" s="23" t="inlineStr">
        <is>
          <t>тв</t>
        </is>
      </c>
      <c r="M2934" s="23" t="n">
        <v>383</v>
      </c>
      <c r="N2934" s="23" t="n">
        <v>2026</v>
      </c>
      <c r="O2934" s="23" t="n">
        <v>430</v>
      </c>
      <c r="P2934" s="23" t="n"/>
      <c r="Q2934" s="23" t="n"/>
      <c r="R2934" s="25" t="inlineStr">
        <is>
          <t>Доктор исторических наук, профессор А.Ю. Давыдов – первый в современной российской исторической науке ученый, сделавший социальную группу мешочников предметом научного исследования. По его суждению, мешочничество представляло собой способ выживания и стиль повседневного существования россиян в периодически повторявшиеся деструктивные периоды, когда разрушались механизмы снабжения населения предметами первой необходимости. Мешок, от которого пошло название этого явления, становился главным средством перемещения миллионами наших соотечественников на своих спинах и плечах жиз­ненно необходимых продуктов и товаров. В своей книге А.Ю. Давыдов внимательно присмотрелся к «классическому» мешочничеству революционной эпохи 1917—1922 гг., когда все признаки рассматриваемого феномена обнаружились с наибольшей отчетливостью.  Тогда оно стало главным — и нередко единственным – занятием для большей части народа. В те годы большевики, обрушившись на капитализм, попытались по-социалистически (централизованно, из своих рук, без торговли) кормить население. У них ничего не получилось, но и людям, не пожелавшим голодать, радикалы-революционеры не позволили заняться самоснабжением. Развернулась война между агентами государства и миллионами мешочников. Формы противодействия большевистской власти, перипетии дорожных странствий, структуры и направления мешочнического движения, численность и состав, типы «людей с мешками» — все эти вопросы рассматриваются на страницах книги на основе привлечения большого комплекса источников.</t>
        </is>
      </c>
      <c r="S2934" s="26">
        <f>HYPERLINK("http://www.cnpol.ru/covers/22285.jpg","фото на сайте")</f>
        <v/>
      </c>
    </row>
    <row r="2935" ht="50.1" customHeight="1" s="3">
      <c r="A2935" s="23" t="inlineStr">
        <is>
          <t>Д</t>
        </is>
      </c>
      <c r="B2935" s="24" t="inlineStr">
        <is>
          <t>21592</t>
        </is>
      </c>
      <c r="C2935" s="23" t="inlineStr">
        <is>
          <t>НОпоИРт</t>
        </is>
      </c>
      <c r="D2935" s="23" t="inlineStr">
        <is>
          <t>Михайлович Д.М., Володихин Д.М.</t>
        </is>
      </c>
      <c r="E2935" s="23" t="inlineStr">
        <is>
          <t>Московская Русь. От княжества до империи XV— XVII вв.</t>
        </is>
      </c>
      <c r="F2935" s="23" t="inlineStr">
        <is>
          <t>        </t>
        </is>
      </c>
      <c r="G2935" s="23" t="n">
        <v>728</v>
      </c>
      <c r="H2935" s="23" t="n">
        <v>10</v>
      </c>
      <c r="I2935" s="23" t="n">
        <v>8</v>
      </c>
      <c r="J2935" s="23" t="inlineStr">
        <is>
          <t>978-5-227-11031-2</t>
        </is>
      </c>
      <c r="K2935" s="23" t="inlineStr">
        <is>
          <t>84x108 1/32</t>
        </is>
      </c>
      <c r="L2935" s="23" t="inlineStr">
        <is>
          <t>тв</t>
        </is>
      </c>
      <c r="M2935" s="23" t="n">
        <v>190</v>
      </c>
      <c r="N2935" s="23" t="n">
        <v>2025</v>
      </c>
      <c r="O2935" s="23" t="n">
        <v>222</v>
      </c>
      <c r="P2935" s="23" t="n"/>
      <c r="Q2935" s="23" t="n"/>
      <c r="R2935" s="25" t="inlineStr">
        <is>
          <t>В судьбе России второй половины XV—XVII столетий смешаны в равных пропорциях земля и небо, высокое и низкое, чертеж ученого дьяка, точно передающий линии рек, озер, лесов в недавно разведанных землях и житие святого инока, первым поселившегося там. Глядя на карту, нетрудно убедиться, что еще в середине XV века Московская Русь была небольшой, бедной, редко заселенной страной. Но к началу XVI века из нее выросла великая держава, а на рубеже XVI и XVII столетий она превратилась в государство­гигант. Именно географическая среда коренной «европейской» Руси способствовала тому, что в XVI—XVII веках чрезвычайно быстро были колонизированы Русский Север, Урал и Сибирь. Но дело не только в географии. Строй Московского царства поставлен на камне веры, пронизан православием во всех направлениях. То, что он наполнен был в течение долгого времени самоощущением Нового Израиля, Третьего Рима, Удела Пречистой, давало ему мобилизующую цель и смысл существования.</t>
        </is>
      </c>
      <c r="S2935" s="26">
        <f>HYPERLINK("http://www.cnpol.ru/covers/21592.jpg","фото на сайте")</f>
        <v/>
      </c>
    </row>
    <row r="2936" ht="50.1" customHeight="1" s="3">
      <c r="A2936" s="23" t="inlineStr">
        <is>
          <t>Д</t>
        </is>
      </c>
      <c r="B2936" s="24" t="inlineStr">
        <is>
          <t>21414</t>
        </is>
      </c>
      <c r="C2936" s="23" t="inlineStr">
        <is>
          <t>НОпоИРт</t>
        </is>
      </c>
      <c r="D2936" s="23" t="inlineStr">
        <is>
          <t>Шинаков Е.А.</t>
        </is>
      </c>
      <c r="E2936" s="23" t="inlineStr">
        <is>
          <t>От Чернигова до Смоленска. Военная история юго-западного русского порубежья с древнейших времен до ХVII в.</t>
        </is>
      </c>
      <c r="F2936" s="23" t="inlineStr">
        <is>
          <t>        </t>
        </is>
      </c>
      <c r="G2936" s="27" t="n">
        <v>1117</v>
      </c>
      <c r="H2936" s="23" t="n">
        <v>10</v>
      </c>
      <c r="I2936" s="23" t="n">
        <v>10</v>
      </c>
      <c r="J2936" s="23" t="inlineStr">
        <is>
          <t>978-5-227-10857-9</t>
        </is>
      </c>
      <c r="K2936" s="23" t="inlineStr">
        <is>
          <t>84x108 1/32</t>
        </is>
      </c>
      <c r="L2936" s="23" t="inlineStr">
        <is>
          <t>тв</t>
        </is>
      </c>
      <c r="M2936" s="23" t="n">
        <v>351</v>
      </c>
      <c r="N2936" s="23" t="n">
        <v>2025</v>
      </c>
      <c r="O2936" s="23" t="n">
        <v>310</v>
      </c>
      <c r="P2936" s="23" t="n"/>
      <c r="Q2936" s="23" t="n"/>
      <c r="R2936" s="25" t="inlineStr">
        <is>
          <t>В работе профессора Брянского государственного университета им. академика И.Г. Петровского, доктора исторических наук Е.А. Шинакова на основе анализа широкого круга археологических и письменных источников рассматривается история вооружения и воинской культуры одного из самых «беспокойных» регионов России, всегда находившегося в пограничье различных этнокультурных и государственных ареалов и даже сейчас остающегося на стыке сразу трех стран. Российскую часть этого большого исторического региона сейчас занимает Брянская и частично — Смоленская и Калужская области, украинскую — Черниговская и Сумская, белорусскую — Гомельская и Могилевская области. Своеобразной осью этого региона от Смоленщины до Черниговщины является река Десна с ее притоками, поэтому его называют «Подесенье». Хронологические рамки работы — от древности, момента зарождения оружия и военных конфликтов, до конца XVII в., когда Подесенье фактически перестало быть беспокойным военным пограничьем._x000D_
Издание предназначено не только для специалистов и студентов, но и широкого круга читателей, интересующихся военной историей Отечества и отдельных регионов.</t>
        </is>
      </c>
      <c r="S2936" s="26">
        <f>HYPERLINK("http://www.cnpol.ru/covers/21414.jpg","фото на сайте")</f>
        <v/>
      </c>
    </row>
    <row r="2937" ht="50.1" customHeight="1" s="3">
      <c r="A2937" s="23" t="inlineStr">
        <is>
          <t>Д</t>
        </is>
      </c>
      <c r="B2937" s="24" t="inlineStr">
        <is>
          <t>22189</t>
        </is>
      </c>
      <c r="C2937" s="23" t="inlineStr">
        <is>
          <t>НОпоИРт</t>
        </is>
      </c>
      <c r="D2937" s="23" t="inlineStr">
        <is>
          <t>Пенской В.В.</t>
        </is>
      </c>
      <c r="E2937" s="23" t="inlineStr">
        <is>
          <t>Очерки истории Ливонской войны. От Нарвы до Феллина. 1558-1561 гг.</t>
        </is>
      </c>
      <c r="F2937" s="23" t="inlineStr">
        <is>
          <t>        </t>
        </is>
      </c>
      <c r="G2937" s="23" t="n">
        <v>902</v>
      </c>
      <c r="H2937" s="23" t="n">
        <v>10</v>
      </c>
      <c r="I2937" s="23" t="n">
        <v>10</v>
      </c>
      <c r="J2937" s="23" t="inlineStr">
        <is>
          <t>978-5-227-11248-4</t>
        </is>
      </c>
      <c r="K2937" s="23" t="inlineStr">
        <is>
          <t>84x108 1/32</t>
        </is>
      </c>
      <c r="L2937" s="23" t="inlineStr">
        <is>
          <t>тв</t>
        </is>
      </c>
      <c r="M2937" s="23" t="n">
        <v>225</v>
      </c>
      <c r="N2937" s="23" t="n">
        <v>2026</v>
      </c>
      <c r="O2937" s="23" t="n">
        <v>324</v>
      </c>
      <c r="P2937" s="23" t="n"/>
      <c r="Q2937" s="23" t="n"/>
      <c r="R2937" s="25" t="inlineStr">
        <is>
          <t>В январе 1558 г. русские полки по повелению Ивана Грозного перешли русско­ливонскую границу. Четыре года, с 1558 по 1561 г., Прибалтика была объята пламенем войны, которая вскоре получила название Ливонской (в свою очередь, эта война стала частью более длительного конфликта, который можно назвать Войной за ливонское наследство, длившейся де­факто с 1555 по 1595 г.). В результате действий русских войск «больной человек» Северо­Восточной Европы, Ливонская «конфедерация», состоявшая из Ливонского ордена, Рижского архиепископства и ряда других, более мелких владений, была разгромлена, распалась и разделена между могущественными и алчными соседями. История этой войны, несмотря на ее значение для после­дующей истории не только России и Прибалтики, но и вмешавшихся в конфликт государств — Польши, Литвы, Швеции, Дании, — изучена крайне слабо, в особенности отечественной историографией. В этой небольшой работе, написанной с использованием как отечественных, так и зарубежных источников и литературы, восполняется этот пробел. В ней дан краткий военно­исторический (и отчасти — дипломатический) очерк этого конфликта, который будет полезен не только историкам, но и всем, кто интересуется и русской историей, и в особенности историей русского военного дела XVI в.</t>
        </is>
      </c>
      <c r="S2937" s="26">
        <f>HYPERLINK("http://www.cnpol.ru/covers/22189.jpg","фото на сайте")</f>
        <v/>
      </c>
    </row>
    <row r="2938" ht="50.1" customHeight="1" s="3">
      <c r="A2938" s="23" t="inlineStr">
        <is>
          <t>Н</t>
        </is>
      </c>
      <c r="B2938" s="24" t="inlineStr">
        <is>
          <t>21705</t>
        </is>
      </c>
      <c r="C2938" s="23" t="inlineStr">
        <is>
          <t>НОпоИРт</t>
        </is>
      </c>
      <c r="D2938" s="23" t="inlineStr">
        <is>
          <t>Пенской В.В.</t>
        </is>
      </c>
      <c r="E2938" s="23" t="inlineStr">
        <is>
          <t>Полоцкая война. Очерки истории русско-литовского противостояния времен Ивана Грозного. 1562—1570</t>
        </is>
      </c>
      <c r="F2938" s="23" t="inlineStr">
        <is>
          <t>        </t>
        </is>
      </c>
      <c r="G2938" s="27" t="n">
        <v>1084</v>
      </c>
      <c r="H2938" s="23" t="n">
        <v>10</v>
      </c>
      <c r="I2938" s="23" t="n">
        <v>5</v>
      </c>
      <c r="J2938" s="23" t="inlineStr">
        <is>
          <t>978-5-227-11082-4</t>
        </is>
      </c>
      <c r="K2938" s="23" t="inlineStr">
        <is>
          <t>84x108 1/32</t>
        </is>
      </c>
      <c r="L2938" s="23" t="inlineStr">
        <is>
          <t>тв</t>
        </is>
      </c>
      <c r="M2938" s="23" t="n">
        <v>350</v>
      </c>
      <c r="N2938" s="23" t="n">
        <v>2024</v>
      </c>
      <c r="O2938" s="23" t="n">
        <v>399</v>
      </c>
      <c r="P2938" s="23" t="n"/>
      <c r="Q2938" s="23" t="n"/>
      <c r="R2938" s="25" t="inlineStr">
        <is>
          <t>В истории русско-польско-литовского противостояния, длившегося с перерывами двести лет, с 1486 по 1686 г., война 1562–1570 гг. занимает важнейшее место. В ходе этого конфликта, который по праву можно назвать войной Полоцкой, именно Полоцк стал главной целью Ивана Грозного, и вокруг него развернулись основные события. В ходе этого конфликта держали экзамен две политические системы, Руси московской и Руси литовской. И если московская Русь прошла это тяжелейшее испытание, то Русь литовская не выдержала проверки и по итогам войны прекратила свое существование как политический субъект, де-факто поглощенная Польшей в результате Люблинской унии 1569 г. Неудачный для Вильно ход Полоцкой войны, которая, несмотря на то что литовские войска неоднократно брали верх над русскими полками, все же по «очкам» была выиграна Москвой, предопределил завершение истории Великого княжества Литовского и изменил историю Восточной Европы на несколько столетий вперед._x000D_
Из всех составляющих истории Полоцкой войны именно военная ее история в отечественной и тем более зарубежной историографии изучена явно недостаточным образом и сопровождается шлейфом застарелых мифов и заблуждений. Во многом это связано с тем, что внимание исследователей, как правило, привлекали бурные события русской политической истории 60-х гг. XVI в. В лучшем положении оказалось лишь главное событие войны — осада и взятие русскими войсками Полоцка, однако этим знаменательным событием история этой войны отнюдь не исчерпывается. Исправить хотя бы отчасти эту несправедливость и призвано это исследование. Не претендуя на абсолютную полноту и законченность описания конфликта, автор полагает, что эта работа будет интересна преподавателям, студентам и всем, кто интересуется военной историей России XVI в., историей русского военного дела и русского общества той эпохи.</t>
        </is>
      </c>
      <c r="S2938" s="26">
        <f>HYPERLINK("http://www.cnpol.ru/covers/21705.jpg","фото на сайте")</f>
        <v/>
      </c>
    </row>
    <row r="2939" ht="50.1" customHeight="1" s="3">
      <c r="A2939" s="23" t="n"/>
      <c r="B2939" s="24" t="inlineStr">
        <is>
          <t>19975</t>
        </is>
      </c>
      <c r="C2939" s="23" t="inlineStr">
        <is>
          <t>НОпоИРт</t>
        </is>
      </c>
      <c r="D2939" s="23" t="inlineStr">
        <is>
          <t>Аверьянов К.А.</t>
        </is>
      </c>
      <c r="E2939" s="23" t="inlineStr">
        <is>
          <t>Рождение Древней Руси. Взгляд из XXI века</t>
        </is>
      </c>
      <c r="F2939" s="23" t="inlineStr">
        <is>
          <t>        </t>
        </is>
      </c>
      <c r="G2939" s="27" t="n">
        <v>1117</v>
      </c>
      <c r="H2939" s="23" t="n">
        <v>10</v>
      </c>
      <c r="I2939" s="23" t="n">
        <v>12</v>
      </c>
      <c r="J2939" s="23" t="inlineStr">
        <is>
          <t>978-5-227-09806-1</t>
        </is>
      </c>
      <c r="K2939" s="23" t="inlineStr">
        <is>
          <t>84x108 1/32</t>
        </is>
      </c>
      <c r="L2939" s="23" t="inlineStr">
        <is>
          <t>тв</t>
        </is>
      </c>
      <c r="M2939" s="23" t="n">
        <v>350</v>
      </c>
      <c r="N2939" s="23" t="n">
        <v>2022</v>
      </c>
      <c r="O2939" s="23" t="n">
        <v>306</v>
      </c>
      <c r="P2939" s="23" t="n"/>
      <c r="Q2939" s="23" t="n"/>
      <c r="R2939" s="25" t="n"/>
      <c r="S2939" s="26">
        <f>HYPERLINK("http://www.cnpol.ru/covers/19975.jpg","фото на сайте")</f>
        <v/>
      </c>
    </row>
    <row r="2940" ht="50.1" customHeight="1" s="3">
      <c r="A2940" s="23" t="inlineStr">
        <is>
          <t>Д</t>
        </is>
      </c>
      <c r="B2940" s="24" t="inlineStr">
        <is>
          <t>21908</t>
        </is>
      </c>
      <c r="C2940" s="23" t="inlineStr">
        <is>
          <t>НОпоИРт</t>
        </is>
      </c>
      <c r="D2940" s="23" t="inlineStr">
        <is>
          <t>Зорихин А.Г.</t>
        </is>
      </c>
      <c r="E2940" s="23" t="inlineStr">
        <is>
          <t>Российско-японское противостояние на море. Дуэль флотов и разведок. 1875—1922</t>
        </is>
      </c>
      <c r="F2940" s="23" t="inlineStr">
        <is>
          <t>        </t>
        </is>
      </c>
      <c r="G2940" s="27" t="n">
        <v>1057</v>
      </c>
      <c r="H2940" s="23" t="n">
        <v>10</v>
      </c>
      <c r="I2940" s="23" t="n">
        <v>8</v>
      </c>
      <c r="J2940" s="23" t="inlineStr">
        <is>
          <t>978-5-227-11197-5</t>
        </is>
      </c>
      <c r="K2940" s="23" t="inlineStr">
        <is>
          <t>84x108 1/32</t>
        </is>
      </c>
      <c r="L2940" s="23" t="inlineStr">
        <is>
          <t>тв</t>
        </is>
      </c>
      <c r="M2940" s="23" t="n">
        <v>351</v>
      </c>
      <c r="N2940" s="23" t="n">
        <v>2026</v>
      </c>
      <c r="O2940" s="23" t="n">
        <v>403</v>
      </c>
      <c r="P2940" s="23" t="n"/>
      <c r="Q2940" s="23" t="n"/>
      <c r="R2940" s="25" t="inlineStr">
        <is>
          <t>Книга кандидата исторических наук А.Г. Зорихина посвящена истории становления и развития военно-морских флотов России и Японии, процессам оперативного планирования и разведывательного обеспечения их боевой деятельности, событиям Русско-японской войны на море и иностранной интервенции на российский Дальний Восток. Документальную канву книги составили ранее неизвестные читателям материалы из архивов МИД, Министерства обороны и Национального архива Японии, а также двух российских архивов. Почему погибла 2-я Тихоокеанская эскадра, какую роль в этом сыграла Великобритания, мог ли российский флот предотвратить японскую интервенцию — на эти и другие вопросы найдут ответы как историки-профессионалы, так и любители._x000D_
Книга снабжена богатым иллюстративным материалом.</t>
        </is>
      </c>
      <c r="S2940" s="26">
        <f>HYPERLINK("http://www.cnpol.ru/covers/21908.jpg","фото на сайте")</f>
        <v/>
      </c>
    </row>
    <row r="2941" ht="50.1" customHeight="1" s="3">
      <c r="A2941" s="23" t="inlineStr">
        <is>
          <t>Д</t>
        </is>
      </c>
      <c r="B2941" s="24" t="inlineStr">
        <is>
          <t>21611</t>
        </is>
      </c>
      <c r="C2941" s="23" t="inlineStr">
        <is>
          <t>НОпоИРт</t>
        </is>
      </c>
      <c r="D2941" s="23" t="inlineStr">
        <is>
          <t>Ганин А.В</t>
        </is>
      </c>
      <c r="E2941" s="23" t="inlineStr">
        <is>
          <t>Русский офицерский корпус в годы Гражданской войны. Противостояние командных кадров. 1917–1922 гг.</t>
        </is>
      </c>
      <c r="F2941" s="23" t="inlineStr">
        <is>
          <t>        </t>
        </is>
      </c>
      <c r="G2941" s="27" t="n">
        <v>1063</v>
      </c>
      <c r="H2941" s="23" t="n">
        <v>10</v>
      </c>
      <c r="I2941" s="23" t="n">
        <v>6</v>
      </c>
      <c r="J2941" s="23" t="inlineStr">
        <is>
          <t>978-5-227-11036-7</t>
        </is>
      </c>
      <c r="K2941" s="23" t="inlineStr">
        <is>
          <t>84x108 1/32</t>
        </is>
      </c>
      <c r="L2941" s="23" t="inlineStr">
        <is>
          <t>тв</t>
        </is>
      </c>
      <c r="M2941" s="23" t="n">
        <v>318</v>
      </c>
      <c r="N2941" s="23" t="n">
        <v>2025</v>
      </c>
      <c r="O2941" s="23" t="n">
        <v>280</v>
      </c>
      <c r="P2941" s="23" t="n"/>
      <c r="Q2941" s="23" t="n"/>
      <c r="R2941" s="25" t="inlineStr">
        <is>
          <t>В период Гражданской войны в России 1917—1922 гг. вопрос управления вооруженными силами стал особенно актуальным. Старая Россия ушла в небытие, а на ее руинах возникло множество государственных образований, которые стали формировать собственные армии и нуждались в офицерах. Основным источником комплектования этих армий командным составом оказались офицеры старой русской армии. В монографии известного специалиста по истории Г ражданской войны в России и русскому офицерскому корпусу первой четверти ХХ в. доктора исторических наук А.В. Ганина впервые на основе документов российских и зарубежных архивов проанализирована роль офицерства в создании противоборствующих армий Гражданской войны. Книга предназначена для всех интересующихся военно-политической историей России и сопредельных государств в революционную эпоху.</t>
        </is>
      </c>
      <c r="S2941" s="26">
        <f>HYPERLINK("http://www.cnpol.ru/covers/21611.jpg","фото на сайте")</f>
        <v/>
      </c>
    </row>
    <row r="2942" ht="50.1" customHeight="1" s="3">
      <c r="A2942" s="23" t="n"/>
      <c r="B2942" s="24" t="inlineStr">
        <is>
          <t>20328</t>
        </is>
      </c>
      <c r="C2942" s="23" t="inlineStr">
        <is>
          <t>НОпоИРт</t>
        </is>
      </c>
      <c r="D2942" s="23" t="inlineStr">
        <is>
          <t>Черкасова М.С.</t>
        </is>
      </c>
      <c r="E2942" s="23" t="inlineStr">
        <is>
          <t>Северная Русь: история сурового края ХIII—ХVII вв.</t>
        </is>
      </c>
      <c r="F2942" s="23" t="inlineStr">
        <is>
          <t>        </t>
        </is>
      </c>
      <c r="G2942" s="23" t="n">
        <v>915</v>
      </c>
      <c r="H2942" s="23" t="n">
        <v>10</v>
      </c>
      <c r="I2942" s="23" t="n">
        <v>14</v>
      </c>
      <c r="J2942" s="23" t="inlineStr">
        <is>
          <t>978-5-227-09939-6</t>
        </is>
      </c>
      <c r="K2942" s="23" t="inlineStr">
        <is>
          <t>84x108 1/32</t>
        </is>
      </c>
      <c r="L2942" s="23" t="inlineStr">
        <is>
          <t>тв</t>
        </is>
      </c>
      <c r="M2942" s="23" t="n">
        <v>255</v>
      </c>
      <c r="N2942" s="23" t="n">
        <v>2022</v>
      </c>
      <c r="O2942" s="23" t="n">
        <v>264</v>
      </c>
      <c r="P2942" s="23" t="n"/>
      <c r="Q2942" s="23" t="n"/>
      <c r="R2942" s="25" t="inlineStr">
        <is>
          <t>Вниманию широкого читателя предлагается научно-популярная книга о средневековой истории Северной Руси — от Древней Руси через удельный период к Московской Руси. Территориально исследование охватывает Белозерскую, Вологодскую и Устюжскую земли. История этой отдалённой окраины Древней Руси проанализирована на основе разнообразных письменных источников и с учётом новейших археологических данных. Показаны пути интеграции Севера с метрополией, формы административно-территориального устроения обширного края в ХV—XVII вв. и наследие ордынского ига. Автор делает акцент на характерном для данного региона процессе «взаимного уподобления» гражданских и церковных форм и структур в экономическом и социально-политическом освоении пространства. В работе на примере городов Вологда и Устюг рассмотрены вопросы исторической демографии. В качестве опыта микроистории предложены очерки об институте семьи и брака у городских и сельских жителей Севера, о первом и последнем вологодском удельном князе Андрее Васильевиче Меньшом, об истории крестьянской семьи Рычковых из усть-вымской архиерейской вотчины в 1650—1670­х гг. и особенно — о богатейшем вологодском госте Г.М. Фетиеве. В работе раскрывается и социокультурный аспект истории средневекового русского Севера: индивидуальные и коллективные практики милосердия, пиров и братчин, а также устное и письменное, городское и сельское начала в повседневном функционировании книжной культуры и грамотности.</t>
        </is>
      </c>
      <c r="S2942" s="26">
        <f>HYPERLINK("http://www.cnpol.ru/covers/20328.jpg","фото на сайте")</f>
        <v/>
      </c>
    </row>
    <row r="2943" ht="50.1" customHeight="1" s="3">
      <c r="A2943" s="23" t="n"/>
      <c r="B2943" s="24" t="inlineStr">
        <is>
          <t>20799</t>
        </is>
      </c>
      <c r="C2943" s="23" t="inlineStr">
        <is>
          <t>НОпоИРт</t>
        </is>
      </c>
      <c r="D2943" s="23" t="inlineStr">
        <is>
          <t>Долгов В.В</t>
        </is>
      </c>
      <c r="E2943" s="23" t="inlineStr">
        <is>
          <t>Феномен Александра Невского. Русь XIII века между Западом и Востоком</t>
        </is>
      </c>
      <c r="F2943" s="23" t="inlineStr">
        <is>
          <t>        </t>
        </is>
      </c>
      <c r="G2943" s="23" t="n">
        <v>855</v>
      </c>
      <c r="H2943" s="23" t="n">
        <v>10</v>
      </c>
      <c r="I2943" s="23" t="n">
        <v>16</v>
      </c>
      <c r="J2943" s="23" t="inlineStr">
        <is>
          <t>978-5-227-10468-7</t>
        </is>
      </c>
      <c r="K2943" s="23" t="inlineStr">
        <is>
          <t>84x108 1/32</t>
        </is>
      </c>
      <c r="L2943" s="23" t="inlineStr">
        <is>
          <t>тв</t>
        </is>
      </c>
      <c r="M2943" s="23" t="n">
        <v>222</v>
      </c>
      <c r="N2943" s="23" t="n">
        <v>2023</v>
      </c>
      <c r="O2943" s="23" t="n">
        <v>301</v>
      </c>
      <c r="P2943" s="23" t="n"/>
      <c r="Q2943" s="23" t="n"/>
      <c r="R2943" s="25" t="inlineStr">
        <is>
          <t>Александр Невский — один из самых противоречивых деятелей эпохи русского Средневековья. Способность решать сложные «политические уравнения» снискала князю уважение современников и потомков. Однако это же его качество стало причиной обвинений в беспринципности и даже предательстве интересов Руси. За столетия политическая биография князя обросла весьма причудливыми пластами «нарратива». В исторической памяти документальная основа знаний о жизни и деяниях Александра Невского оказалась практически полностью сокрыта текстами и художественными образами позднейшего происхождения. Вскрыть эти напластования, отделить исторические факты от гипотез — цель новой книги доктора исторических наук, профессора В.В. Долгова.</t>
        </is>
      </c>
      <c r="S2943" s="26">
        <f>HYPERLINK("http://www.cnpol.ru/covers/20799.jpg","фото на сайте")</f>
        <v/>
      </c>
    </row>
    <row r="2944" ht="50.1" customHeight="1" s="3">
      <c r="A2944" s="23" t="n"/>
      <c r="B2944" s="24" t="inlineStr">
        <is>
          <t>20864</t>
        </is>
      </c>
      <c r="C2944" s="23" t="inlineStr">
        <is>
          <t>НОпоИРт</t>
        </is>
      </c>
      <c r="D2944" s="23" t="inlineStr">
        <is>
          <t>Пенской В.В.</t>
        </is>
      </c>
      <c r="E2944" s="23" t="inlineStr">
        <is>
          <t>Центурионы Ивана Грозного. Воеводы и головы московского войска второй половины XVI в.</t>
        </is>
      </c>
      <c r="F2944" s="23" t="inlineStr">
        <is>
          <t>        </t>
        </is>
      </c>
      <c r="G2944" s="27" t="n">
        <v>1009</v>
      </c>
      <c r="H2944" s="23" t="n">
        <v>10</v>
      </c>
      <c r="I2944" s="23" t="n">
        <v>12</v>
      </c>
      <c r="J2944" s="23" t="inlineStr">
        <is>
          <t>978-5-227-10516-5</t>
        </is>
      </c>
      <c r="K2944" s="23" t="inlineStr">
        <is>
          <t>84x108 1/32</t>
        </is>
      </c>
      <c r="L2944" s="23" t="inlineStr">
        <is>
          <t>тв</t>
        </is>
      </c>
      <c r="M2944" s="23" t="n">
        <v>320</v>
      </c>
      <c r="N2944" s="23" t="n">
        <v>2023</v>
      </c>
      <c r="O2944" s="23" t="n">
        <v>364</v>
      </c>
      <c r="P2944" s="23" t="n"/>
      <c r="Q2944" s="23" t="n"/>
      <c r="R2944" s="25" t="inlineStr">
        <is>
          <t>В этой книге доктора исторических наук, профессора В.В. Пенского на основе скрупулезного анализа широкого круга источников и литературы проанализированы судьбы русских служилых людей XVI в., занимавших средние командные посты в военной иерархии Русского государства той эпохи. Их можно назвать «центурионами» московского войска. До последнего времени люди, подобные героям очерков этой книги, крайне редко становились объектом внимания историков. Однако такая невнимательность по отношению к «центурионам» явно несправедлива. Шаг за шагом автор исследования, рассказывая о жизни своих героев, раскрывает картину истории Русского государства в сложную и неоднозначную эпоху, творцами которой являлись не только государи, бояре, церковные иерархи и другие, «жадною толпою стоящие у трона», но прежде всего «начальные люди» средней руки. Они водили в бой конные сотни детей боярских, выполняли дипломатические поручения, строили и защищали крепости, наместничали в городах. Их трудами, потом и ­кровью строилась великая держава, но сами они при этом были обделены вниманием и современников, и потомков. Исправить эту несправедливость хотя бы отчасти и призвана данная работа. Написанное живым, но вместе с тем научным языком, исследование предназначено преподавателям, студентам и всем, кто интересуется военной историей России XVI в., историей русского военного дела и повседневной жизнью русского общества той эпохи.</t>
        </is>
      </c>
      <c r="S2944" s="26">
        <f>HYPERLINK("http://www.cnpol.ru/covers/20864.jpg","фото на сайте")</f>
        <v/>
      </c>
    </row>
    <row r="2945" ht="50.1" customHeight="1" s="3">
      <c r="A2945" s="23" t="inlineStr">
        <is>
          <t>Д</t>
        </is>
      </c>
      <c r="B2945" s="24" t="inlineStr">
        <is>
          <t>22157</t>
        </is>
      </c>
      <c r="C2945" s="23" t="inlineStr">
        <is>
          <t>НПБ АЗИМОВ</t>
        </is>
      </c>
      <c r="D2945" s="23" t="inlineStr">
        <is>
          <t>Азимов А.</t>
        </is>
      </c>
      <c r="E2945" s="23" t="inlineStr">
        <is>
          <t>Ближний Восток. История десяти тысячелетий</t>
        </is>
      </c>
      <c r="F2945" s="23" t="inlineStr">
        <is>
          <t>        </t>
        </is>
      </c>
      <c r="G2945" s="23" t="n">
        <v>740</v>
      </c>
      <c r="H2945" s="23" t="n">
        <v>10</v>
      </c>
      <c r="I2945" s="23" t="n">
        <v>8</v>
      </c>
      <c r="J2945" s="23" t="inlineStr">
        <is>
          <t>5-9524-1135-7</t>
        </is>
      </c>
      <c r="K2945" s="23" t="inlineStr">
        <is>
          <t>76x90 1/32</t>
        </is>
      </c>
      <c r="L2945" s="23" t="inlineStr">
        <is>
          <t>тв</t>
        </is>
      </c>
      <c r="M2945" s="23" t="n">
        <v>331</v>
      </c>
      <c r="N2945" s="23" t="n">
        <v>2006</v>
      </c>
      <c r="O2945" s="23" t="n">
        <v>262</v>
      </c>
      <c r="P2945" s="23" t="n"/>
      <c r="Q2945" s="23" t="n"/>
      <c r="R2945" s="25" t="inlineStr">
        <is>
          <t>В этой книге собраны ценнейшие научные данные об истории, политике, религии, науках, искусстве, сельском хозяйстве и ремеслах народов, живших на территории Среднего Востока (обозначение стран Ближнего Востока вместе с Ираном и Афганистаном). Вы получите полное и подробное представление о зарождении, развитии, расцвете и гибели могущественных цивилизаций шумеров, аккадян, амореев, халдеев, персов, македонян, парфян, арабов, тюрок, иудеев.</t>
        </is>
      </c>
      <c r="S2945" s="26">
        <f>HYPERLINK("http://www.cnpol.ru/covers/22157.jpg","фото на сайте")</f>
        <v/>
      </c>
    </row>
    <row r="2946" ht="50.1" customHeight="1" s="3">
      <c r="A2946" s="23" t="inlineStr">
        <is>
          <t>Н</t>
        </is>
      </c>
      <c r="B2946" s="24" t="inlineStr">
        <is>
          <t>21292</t>
        </is>
      </c>
      <c r="C2946" s="23" t="inlineStr">
        <is>
          <t>НПБ АЗИМОВ</t>
        </is>
      </c>
      <c r="D2946" s="23" t="inlineStr">
        <is>
          <t>Азимов А.</t>
        </is>
      </c>
      <c r="E2946" s="23" t="inlineStr">
        <is>
          <t>Египтяне. От древней цивилизации до наших дней</t>
        </is>
      </c>
      <c r="F2946" s="23" t="inlineStr">
        <is>
          <t>        </t>
        </is>
      </c>
      <c r="G2946" s="23" t="n">
        <v>740</v>
      </c>
      <c r="H2946" s="23" t="n">
        <v>10</v>
      </c>
      <c r="I2946" s="23" t="n">
        <v>12</v>
      </c>
      <c r="J2946" s="23" t="inlineStr">
        <is>
          <t>978-5-9524-6229-8</t>
        </is>
      </c>
      <c r="K2946" s="23" t="inlineStr">
        <is>
          <t>76x90 1/32</t>
        </is>
      </c>
      <c r="L2946" s="23" t="inlineStr">
        <is>
          <t>тв</t>
        </is>
      </c>
      <c r="M2946" s="23" t="n">
        <v>284</v>
      </c>
      <c r="N2946" s="23" t="n">
        <v>2024</v>
      </c>
      <c r="O2946" s="23" t="n">
        <v>283</v>
      </c>
      <c r="P2946" s="23" t="n"/>
      <c r="Q2946" s="23" t="n"/>
      <c r="R2946" s="25" t="inlineStr">
        <is>
          <t>В книге известного ученого и писателя-фантаста А. Азимова собраны ценнейшие научные данные об истории, политике, религии, науках, искусстве, сельском хозяйстве и ремеслах Египта со времен глубокой древности до наших дней. Вы получите полное и подробное представление о зарождении, развитии, расцвете и закате одной из самых глубоких и таинственных мировых культур.</t>
        </is>
      </c>
      <c r="S2946" s="26">
        <f>HYPERLINK("http://www.cnpol.ru/covers/21292.jpg","фото на сайте")</f>
        <v/>
      </c>
    </row>
    <row r="2947" ht="50.1" customHeight="1" s="3">
      <c r="A2947" s="23" t="inlineStr">
        <is>
          <t>Д</t>
        </is>
      </c>
      <c r="B2947" s="24" t="inlineStr">
        <is>
          <t>21422</t>
        </is>
      </c>
      <c r="C2947" s="23" t="inlineStr">
        <is>
          <t>НПБ АЗИМОВ</t>
        </is>
      </c>
      <c r="D2947" s="23" t="inlineStr">
        <is>
          <t>Азимов А.</t>
        </is>
      </c>
      <c r="E2947" s="23" t="inlineStr">
        <is>
          <t>Загадки мироздания. Известные и неизвестные факты</t>
        </is>
      </c>
      <c r="F2947" s="23" t="inlineStr">
        <is>
          <t>        </t>
        </is>
      </c>
      <c r="G2947" s="23" t="n">
        <v>766</v>
      </c>
      <c r="H2947" s="23" t="n">
        <v>10</v>
      </c>
      <c r="I2947" s="23" t="n">
        <v>8</v>
      </c>
      <c r="J2947" s="23" t="inlineStr">
        <is>
          <t>978-5-9524-6309-7</t>
        </is>
      </c>
      <c r="K2947" s="23" t="inlineStr">
        <is>
          <t>76x90 1/32</t>
        </is>
      </c>
      <c r="L2947" s="23" t="inlineStr">
        <is>
          <t>тв</t>
        </is>
      </c>
      <c r="M2947" s="23" t="n">
        <v>429</v>
      </c>
      <c r="N2947" s="23" t="n">
        <v>2025</v>
      </c>
      <c r="O2947" s="23" t="n">
        <v>301</v>
      </c>
      <c r="P2947" s="23" t="n"/>
      <c r="Q2947" s="23" t="n"/>
      <c r="R2947" s="25" t="inlineStr">
        <is>
          <t>В этой книге Азимов рассказывает об удивительных явлениях, грандиозных мистификациях и ошибках ученых, которые вводили в заблуждение многие поколения. Он опровергает россказни о летающих тарелках, но предполагает, какими будут колонии на Луне и когда станут осваивать Марс...</t>
        </is>
      </c>
      <c r="S2947" s="26">
        <f>HYPERLINK("http://www.cnpol.ru/covers/21422.jpg","фото на сайте")</f>
        <v/>
      </c>
    </row>
    <row r="2948" ht="50.1" customHeight="1" s="3">
      <c r="A2948" s="23" t="inlineStr">
        <is>
          <t>Н</t>
        </is>
      </c>
      <c r="B2948" s="24" t="inlineStr">
        <is>
          <t>21640</t>
        </is>
      </c>
      <c r="C2948" s="23" t="inlineStr">
        <is>
          <t>НПБ АЗИМОВ</t>
        </is>
      </c>
      <c r="D2948" s="23" t="inlineStr">
        <is>
          <t>Азимов А.</t>
        </is>
      </c>
      <c r="E2948" s="23" t="inlineStr">
        <is>
          <t>Занимательная арифметика. От сложного к простому</t>
        </is>
      </c>
      <c r="F2948" s="23" t="inlineStr">
        <is>
          <t>        </t>
        </is>
      </c>
      <c r="G2948" s="23" t="n">
        <v>740</v>
      </c>
      <c r="H2948" s="23" t="n">
        <v>10</v>
      </c>
      <c r="I2948" s="23" t="n">
        <v>16</v>
      </c>
      <c r="J2948" s="23" t="inlineStr">
        <is>
          <t>978-5-9524-6365-3</t>
        </is>
      </c>
      <c r="K2948" s="23" t="inlineStr">
        <is>
          <t>76x90 1/32</t>
        </is>
      </c>
      <c r="L2948" s="23" t="inlineStr">
        <is>
          <t>тв</t>
        </is>
      </c>
      <c r="M2948" s="23" t="n">
        <v>203</v>
      </c>
      <c r="N2948" s="23" t="n">
        <v>2025</v>
      </c>
      <c r="O2948" s="23" t="n">
        <v>166</v>
      </c>
      <c r="P2948" s="23" t="n"/>
      <c r="Q2948" s="23" t="n"/>
      <c r="R2948" s="25" t="inlineStr">
        <is>
          <t>В книге описываются доступные способы упрощения и ускорения расчетов. Практические советы автора по превращению сложных задач в простые помогут дополнить школьные знания, развить скорость и точность вычислений, научат с удовольствием, без труда и ошибок манипулировать с числами.</t>
        </is>
      </c>
      <c r="S2948" s="26">
        <f>HYPERLINK("http://www.cnpol.ru/covers/21640.jpg","фото на сайте")</f>
        <v/>
      </c>
    </row>
    <row r="2949" ht="50.1" customHeight="1" s="3">
      <c r="A2949" s="23" t="inlineStr">
        <is>
          <t>Н</t>
        </is>
      </c>
      <c r="B2949" s="24" t="inlineStr">
        <is>
          <t>21294</t>
        </is>
      </c>
      <c r="C2949" s="23" t="inlineStr">
        <is>
          <t>НПБ АЗИМОВ</t>
        </is>
      </c>
      <c r="D2949" s="23" t="inlineStr">
        <is>
          <t>Азимов А.</t>
        </is>
      </c>
      <c r="E2949" s="23" t="inlineStr">
        <is>
          <t>Занимательная мифология. Новая жизнь древних слов</t>
        </is>
      </c>
      <c r="F2949" s="23" t="inlineStr">
        <is>
          <t>        </t>
        </is>
      </c>
      <c r="G2949" s="23" t="n">
        <v>740</v>
      </c>
      <c r="H2949" s="23" t="n">
        <v>10</v>
      </c>
      <c r="I2949" s="23" t="n">
        <v>16</v>
      </c>
      <c r="J2949" s="23" t="inlineStr">
        <is>
          <t>978-5-9524-6230-4</t>
        </is>
      </c>
      <c r="K2949" s="23" t="inlineStr">
        <is>
          <t>76x90 1/32</t>
        </is>
      </c>
      <c r="L2949" s="23" t="inlineStr">
        <is>
          <t>тв</t>
        </is>
      </c>
      <c r="M2949" s="23" t="n">
        <v>206</v>
      </c>
      <c r="N2949" s="23" t="n">
        <v>2024</v>
      </c>
      <c r="O2949" s="23" t="n">
        <v>249</v>
      </c>
      <c r="P2949" s="23" t="n"/>
      <c r="Q2949" s="23" t="n"/>
      <c r="R2949" s="25" t="inlineStr">
        <is>
          <t>В книге знаменитого фантаста, ученого с мировым именем А. Азимова ярко и увлекательно повествуется о древних именах и словах из восхитительных и занимательных сказаний о богах и людях, о героических свершениях и трагедиях, сложенных одним из самых совершенных воображений, которое только знало человечество. Вы совершите захватывающее путешествие в мир прошлого, откроете для себя чудо и магию языка, пришедшего, как по нити Ариадны, в современность из далекой эпохи.</t>
        </is>
      </c>
      <c r="S2949" s="26">
        <f>HYPERLINK("http://www.cnpol.ru/covers/21294.jpg","фото на сайте")</f>
        <v/>
      </c>
    </row>
    <row r="2950" ht="50.1" customHeight="1" s="3">
      <c r="A2950" s="23" t="n"/>
      <c r="B2950" s="24" t="inlineStr">
        <is>
          <t>17639</t>
        </is>
      </c>
      <c r="C2950" s="23" t="inlineStr">
        <is>
          <t>НПБ АЗИМОВ</t>
        </is>
      </c>
      <c r="D2950" s="23" t="inlineStr">
        <is>
          <t>Азимов А.</t>
        </is>
      </c>
      <c r="E2950" s="23" t="inlineStr">
        <is>
          <t>Земля и космос. От реальности к гипотезе</t>
        </is>
      </c>
      <c r="F2950" s="23" t="inlineStr">
        <is>
          <t>        </t>
        </is>
      </c>
      <c r="G2950" s="23" t="n">
        <v>704</v>
      </c>
      <c r="H2950" s="23" t="n">
        <v>10</v>
      </c>
      <c r="I2950" s="23" t="n">
        <v>14</v>
      </c>
      <c r="J2950" s="23" t="inlineStr">
        <is>
          <t>978-5-227-07232-0</t>
        </is>
      </c>
      <c r="K2950" s="23" t="inlineStr">
        <is>
          <t>76x90 1/32</t>
        </is>
      </c>
      <c r="L2950" s="23" t="inlineStr">
        <is>
          <t>тв</t>
        </is>
      </c>
      <c r="M2950" s="23" t="n">
        <v>288</v>
      </c>
      <c r="N2950" s="23" t="n">
        <v>2017</v>
      </c>
      <c r="O2950" s="23" t="n">
        <v>236</v>
      </c>
      <c r="P2950" s="23" t="n"/>
      <c r="Q2950" s="23" t="n"/>
      <c r="R2950" s="25" t="inlineStr">
        <is>
          <t>Как появилась астрология и есть ли в ней рациональное зерно? Что такое «редкие земли»? Сколько времени будет продолжаться современный рост населения Земли и как можно решить демографическую проблему? Вы сможете получить ответы на эти и многие другие вопросы из области астрономии, физики, химии и социологии, прочитав эту познавательную и увлекательную книгу.</t>
        </is>
      </c>
      <c r="S2950" s="26">
        <f>HYPERLINK("http://www.cnpol.ru/covers/17639.jpg","фото на сайте")</f>
        <v/>
      </c>
    </row>
    <row r="2951" ht="50.1" customHeight="1" s="3">
      <c r="A2951" s="23" t="inlineStr">
        <is>
          <t>Н</t>
        </is>
      </c>
      <c r="B2951" s="24" t="inlineStr">
        <is>
          <t>21595</t>
        </is>
      </c>
      <c r="C2951" s="23" t="inlineStr">
        <is>
          <t>НПБ АЗИМОВ</t>
        </is>
      </c>
      <c r="D2951" s="23" t="inlineStr">
        <is>
          <t>Азимов А.</t>
        </is>
      </c>
      <c r="E2951" s="23" t="inlineStr">
        <is>
          <t>Земля Ханаанская. Родина иудаизма и христианства</t>
        </is>
      </c>
      <c r="F2951" s="23" t="inlineStr">
        <is>
          <t>        </t>
        </is>
      </c>
      <c r="G2951" s="23" t="n">
        <v>740</v>
      </c>
      <c r="H2951" s="23" t="n">
        <v>10</v>
      </c>
      <c r="I2951" s="23" t="n">
        <v>10</v>
      </c>
      <c r="J2951" s="23" t="inlineStr">
        <is>
          <t>978-5-9524-6366-0</t>
        </is>
      </c>
      <c r="K2951" s="23" t="inlineStr">
        <is>
          <t>76x90 1/32</t>
        </is>
      </c>
      <c r="L2951" s="23" t="inlineStr">
        <is>
          <t>тв</t>
        </is>
      </c>
      <c r="M2951" s="23" t="n">
        <v>335</v>
      </c>
      <c r="N2951" s="23" t="n">
        <v>2025</v>
      </c>
      <c r="O2951" s="23" t="n">
        <v>221</v>
      </c>
      <c r="P2951" s="23" t="n"/>
      <c r="Q2951" s="23" t="n"/>
      <c r="R2951" s="25" t="inlineStr">
        <is>
          <t>В книге повествуется о Ханаане — зоне взаимодействия древнейших цивилизаций, находившейся на пересечении важных торговых путей, соединявших Месопотамию и Малую Азию с Египтом. Азимов, опираясь на богатый документальный материал, данные археологических исследований и анализ древних источников, воссоздает подробную и объективную картину появления и исчезновения могущественных империй, бесчисленных войн и зарождения двух мировых религий: иудаизма и христианства.</t>
        </is>
      </c>
      <c r="S2951" s="26">
        <f>HYPERLINK("http://www.cnpol.ru/covers/21595.jpg","фото на сайте")</f>
        <v/>
      </c>
    </row>
    <row r="2952" ht="50.1" customHeight="1" s="3">
      <c r="A2952" s="23" t="inlineStr">
        <is>
          <t>Н</t>
        </is>
      </c>
      <c r="B2952" s="24" t="inlineStr">
        <is>
          <t>21676</t>
        </is>
      </c>
      <c r="C2952" s="23" t="inlineStr">
        <is>
          <t>НПБ АЗИМОВ</t>
        </is>
      </c>
      <c r="D2952" s="23" t="inlineStr">
        <is>
          <t>Азимов А.</t>
        </is>
      </c>
      <c r="E2952" s="23" t="inlineStr">
        <is>
          <t>История Греции. От Древней Эллады до наших дней</t>
        </is>
      </c>
      <c r="F2952" s="23" t="inlineStr">
        <is>
          <t>        </t>
        </is>
      </c>
      <c r="G2952" s="23" t="n">
        <v>740</v>
      </c>
      <c r="H2952" s="23" t="n">
        <v>10</v>
      </c>
      <c r="I2952" s="23" t="n">
        <v>8</v>
      </c>
      <c r="J2952" s="23" t="inlineStr">
        <is>
          <t>978-5-9524-6410-0</t>
        </is>
      </c>
      <c r="K2952" s="23" t="inlineStr">
        <is>
          <t>76x90 1/32</t>
        </is>
      </c>
      <c r="L2952" s="23" t="inlineStr">
        <is>
          <t>тв</t>
        </is>
      </c>
      <c r="M2952" s="23" t="n">
        <v>396</v>
      </c>
      <c r="N2952" s="23" t="n">
        <v>2025</v>
      </c>
      <c r="O2952" s="23" t="n">
        <v>282</v>
      </c>
      <c r="P2952" s="23" t="n"/>
      <c r="Q2952" s="23" t="n"/>
      <c r="R2952" s="25" t="inlineStr">
        <is>
          <t>В этой книге Азимов рассказывает о самых впечатляющих событиях в истории Греции с древних времен до современности. О том, как создавались города-государства, проводились Олимпийские игры, давал советы Дельфийский оракул, состязались в своем искусстве музыканты, поэты, философы — расцветала прекрасная древняя культура._x000D_
Также автор повествует о падении Спарты, Фив, о великих битвах прошлого, в которых участвовала Греция, — Троянской войне, войне с Персией — и войнах ХХ века.</t>
        </is>
      </c>
      <c r="S2952" s="26">
        <f>HYPERLINK("http://www.cnpol.ru/covers/21676.jpg","фото на сайте")</f>
        <v/>
      </c>
    </row>
    <row r="2953" ht="50.1" customHeight="1" s="3">
      <c r="A2953" s="23" t="inlineStr">
        <is>
          <t>Н</t>
        </is>
      </c>
      <c r="B2953" s="24" t="inlineStr">
        <is>
          <t>21596</t>
        </is>
      </c>
      <c r="C2953" s="23" t="inlineStr">
        <is>
          <t>НПБ АЗИМОВ</t>
        </is>
      </c>
      <c r="D2953" s="23" t="inlineStr">
        <is>
          <t>Азимов А.</t>
        </is>
      </c>
      <c r="E2953" s="23" t="inlineStr">
        <is>
          <t>История Франции. От Карла Великого до Жанны д’Арк</t>
        </is>
      </c>
      <c r="F2953" s="23" t="inlineStr">
        <is>
          <t>        </t>
        </is>
      </c>
      <c r="G2953" s="23" t="n">
        <v>740</v>
      </c>
      <c r="H2953" s="23" t="n">
        <v>10</v>
      </c>
      <c r="I2953" s="23" t="n">
        <v>12</v>
      </c>
      <c r="J2953" s="23" t="inlineStr">
        <is>
          <t>978-5-9524-6347-9</t>
        </is>
      </c>
      <c r="K2953" s="23" t="inlineStr">
        <is>
          <t>76x90 1/32</t>
        </is>
      </c>
      <c r="L2953" s="23" t="inlineStr">
        <is>
          <t>тв</t>
        </is>
      </c>
      <c r="M2953" s="23" t="n">
        <v>270</v>
      </c>
      <c r="N2953" s="23" t="n">
        <v>2025</v>
      </c>
      <c r="O2953" s="23" t="n">
        <v>145</v>
      </c>
      <c r="P2953" s="23" t="n"/>
      <c r="Q2953" s="23" t="n"/>
      <c r="R2953" s="25" t="inlineStr">
        <is>
          <t>Повествование охватывает один из ключевых периодов французской истории — пять столетий Средневековья, время формирования Франции такой, какой мы знаем ее сегодня. Распавшаяся Франкская империя Карла Великого увязла в междоусобицах наследников и вражеских набегах. Крестовые походы, феодальные, династические и религиозные распри, противостояние рыцарей и городских простолюдинов… Страна долго шла к становлению централизованного государства. Эта эпоха завершилась Столетней войной, и Франция вошла в Новое время одной из ведущих европейских держав.</t>
        </is>
      </c>
      <c r="S2953" s="26">
        <f>HYPERLINK("http://www.cnpol.ru/covers/21596.jpg","фото на сайте")</f>
        <v/>
      </c>
    </row>
    <row r="2954" ht="50.1" customHeight="1" s="3">
      <c r="A2954" s="23" t="inlineStr">
        <is>
          <t>Н</t>
        </is>
      </c>
      <c r="B2954" s="24" t="inlineStr">
        <is>
          <t>21541</t>
        </is>
      </c>
      <c r="C2954" s="23" t="inlineStr">
        <is>
          <t>НПБ АЗИМОВ</t>
        </is>
      </c>
      <c r="D2954" s="23" t="inlineStr">
        <is>
          <t>Азимов А.</t>
        </is>
      </c>
      <c r="E2954" s="23" t="inlineStr">
        <is>
          <t>Константинополь. От легендарного Виза до династии Палеологов</t>
        </is>
      </c>
      <c r="F2954" s="23" t="inlineStr">
        <is>
          <t>        </t>
        </is>
      </c>
      <c r="G2954" s="23" t="n">
        <v>740</v>
      </c>
      <c r="H2954" s="23" t="n">
        <v>10</v>
      </c>
      <c r="I2954" s="23" t="n">
        <v>10</v>
      </c>
      <c r="J2954" s="23" t="inlineStr">
        <is>
          <t>978-5-9524-6348-6</t>
        </is>
      </c>
      <c r="K2954" s="23" t="inlineStr">
        <is>
          <t>76x90 1/32</t>
        </is>
      </c>
      <c r="L2954" s="23" t="inlineStr">
        <is>
          <t>тв</t>
        </is>
      </c>
      <c r="M2954" s="23" t="n">
        <v>364</v>
      </c>
      <c r="N2954" s="23" t="n">
        <v>2025</v>
      </c>
      <c r="O2954" s="23" t="n">
        <v>180</v>
      </c>
      <c r="P2954" s="23" t="n"/>
      <c r="Q2954" s="23" t="n"/>
      <c r="R2954" s="25" t="inlineStr">
        <is>
          <t>В этой книге А. Азимов пишет об одном из самых древних и прекрасных городов мира, основанном императором Константином. Его называли «золотым мостом между Европой и Западом», через столицу Востока шла торговля Западной Европы с Причерноморьем, Ираном, Индией, Китаем. Это был культурный центр со своим университетом, город, в котором процветали ремесла. Здесь набирал силу будущий христианский мир. На столицу Византии обращали завистливые взгляды европейские и восточные завоеватели, ему угрожали гунны, арабы, славяне, норманны, турки-сельджуки, его подвергали нападениям и длительным осадам. Но самым страшным испытанием были Крестовые походы, последний из них стал роковым для города.</t>
        </is>
      </c>
      <c r="S2954" s="26">
        <f>HYPERLINK("http://www.cnpol.ru/covers/21541.jpg","фото на сайте")</f>
        <v/>
      </c>
    </row>
    <row r="2955" ht="50.1" customHeight="1" s="3">
      <c r="A2955" s="23" t="inlineStr">
        <is>
          <t>Д</t>
        </is>
      </c>
      <c r="B2955" s="24" t="inlineStr">
        <is>
          <t>21421</t>
        </is>
      </c>
      <c r="C2955" s="23" t="inlineStr">
        <is>
          <t>НПБ АЗИМОВ</t>
        </is>
      </c>
      <c r="D2955" s="23" t="inlineStr">
        <is>
          <t>Азимов А.</t>
        </is>
      </c>
      <c r="E2955" s="23" t="inlineStr">
        <is>
          <t>Краткая история биологии. От алхимии до генетики</t>
        </is>
      </c>
      <c r="F2955" s="23" t="inlineStr">
        <is>
          <t>        </t>
        </is>
      </c>
      <c r="G2955" s="23" t="n">
        <v>740</v>
      </c>
      <c r="H2955" s="23" t="n">
        <v>10</v>
      </c>
      <c r="I2955" s="23" t="n">
        <v>14</v>
      </c>
      <c r="J2955" s="23" t="inlineStr">
        <is>
          <t>978-5-9524-6310-3</t>
        </is>
      </c>
      <c r="K2955" s="23" t="inlineStr">
        <is>
          <t>76x90 1/32</t>
        </is>
      </c>
      <c r="L2955" s="23" t="inlineStr">
        <is>
          <t>тв</t>
        </is>
      </c>
      <c r="M2955" s="23" t="n">
        <v>223</v>
      </c>
      <c r="N2955" s="23" t="n">
        <v>2025</v>
      </c>
      <c r="O2955" s="23" t="n">
        <v>120</v>
      </c>
      <c r="P2955" s="23" t="n"/>
      <c r="Q2955" s="23" t="n"/>
      <c r="R2955" s="25" t="inlineStr">
        <is>
          <t>В книге знаменитого фантаста, ученого с мировым именем А. Азимова ярко и увлекательно повествуется о зарождении и развитии интересной и сложной науки биологии от суеверий и предрассудков древности до современных фундаментальных теорий. Автор живо и доходчиво рассказывает о знаменитых ученых и их открытиях. А также о зарождении смежных с биологией наук и перспективных научных изысканиях.</t>
        </is>
      </c>
      <c r="S2955" s="26">
        <f>HYPERLINK("http://www.cnpol.ru/covers/21421.jpg","фото на сайте")</f>
        <v/>
      </c>
    </row>
    <row r="2956" ht="50.1" customHeight="1" s="3">
      <c r="A2956" s="23" t="inlineStr">
        <is>
          <t>Д</t>
        </is>
      </c>
      <c r="B2956" s="24" t="inlineStr">
        <is>
          <t>21378</t>
        </is>
      </c>
      <c r="C2956" s="23" t="inlineStr">
        <is>
          <t>НПБ АЗИМОВ</t>
        </is>
      </c>
      <c r="D2956" s="23" t="inlineStr">
        <is>
          <t>Азимов А.</t>
        </is>
      </c>
      <c r="E2956" s="23" t="inlineStr">
        <is>
          <t>Краткая история химии. От магического кристалла до атомного ядра</t>
        </is>
      </c>
      <c r="F2956" s="23" t="inlineStr">
        <is>
          <t>        </t>
        </is>
      </c>
      <c r="G2956" s="23" t="n">
        <v>740</v>
      </c>
      <c r="H2956" s="23" t="n">
        <v>10</v>
      </c>
      <c r="I2956" s="23" t="n">
        <v>10</v>
      </c>
      <c r="J2956" s="23" t="inlineStr">
        <is>
          <t>978-5-9524-6273-1</t>
        </is>
      </c>
      <c r="K2956" s="23" t="inlineStr">
        <is>
          <t>76x90 1/32</t>
        </is>
      </c>
      <c r="L2956" s="23" t="inlineStr">
        <is>
          <t>тв</t>
        </is>
      </c>
      <c r="M2956" s="23" t="n">
        <v>318</v>
      </c>
      <c r="N2956" s="23" t="n">
        <v>2024</v>
      </c>
      <c r="O2956" s="23" t="n">
        <v>248</v>
      </c>
      <c r="P2956" s="23" t="n"/>
      <c r="Q2956" s="23" t="n"/>
      <c r="R2956" s="25" t="inlineStr">
        <is>
          <t>В книге просто и доступно изложена история возникновения и развития химии. Автор приводит много интересных сведений о молекулах и атомах, изомерах и радикалах, об электролизе и катализе, валентности и радиоактивности, периодической системе Менделеева, популярно толкует суть сложных теоретических понятий. Читателей также ждет увлекательный экскурс в смежные отрасли знаний: физическую химию, химическую термодинамику, биохимию.</t>
        </is>
      </c>
      <c r="S2956" s="26">
        <f>HYPERLINK("http://www.cnpol.ru/covers/21378.jpg","фото на сайте")</f>
        <v/>
      </c>
    </row>
    <row r="2957" ht="50.1" customHeight="1" s="3">
      <c r="A2957" s="23" t="inlineStr">
        <is>
          <t>Д</t>
        </is>
      </c>
      <c r="B2957" s="24" t="inlineStr">
        <is>
          <t>21379</t>
        </is>
      </c>
      <c r="C2957" s="23" t="inlineStr">
        <is>
          <t>НПБ АЗИМОВ</t>
        </is>
      </c>
      <c r="D2957" s="23" t="inlineStr">
        <is>
          <t>Азимов А.</t>
        </is>
      </c>
      <c r="E2957" s="23" t="inlineStr">
        <is>
          <t>О времени, пространстве и других вещах. От египетских календарей до квантовой физики</t>
        </is>
      </c>
      <c r="F2957" s="23" t="inlineStr">
        <is>
          <t>        </t>
        </is>
      </c>
      <c r="G2957" s="23" t="n">
        <v>740</v>
      </c>
      <c r="H2957" s="23" t="n">
        <v>10</v>
      </c>
      <c r="I2957" s="23" t="n">
        <v>12</v>
      </c>
      <c r="J2957" s="23" t="inlineStr">
        <is>
          <t>978-5-9524-6274-8</t>
        </is>
      </c>
      <c r="K2957" s="23" t="inlineStr">
        <is>
          <t>70x90 1/32</t>
        </is>
      </c>
      <c r="L2957" s="23" t="inlineStr">
        <is>
          <t>тв</t>
        </is>
      </c>
      <c r="M2957" s="23" t="n">
        <v>270</v>
      </c>
      <c r="N2957" s="23" t="n">
        <v>2024</v>
      </c>
      <c r="O2957" s="23" t="n">
        <v>218</v>
      </c>
      <c r="P2957" s="23" t="n"/>
      <c r="Q2957" s="23" t="n"/>
      <c r="R2957" s="25" t="inlineStr">
        <is>
          <t>Автор книги рассказывает о появлении первых календарей и о том, как они изменялись, пока не превратились в тот, по которому мы сейчас живем. Вы узнаете много интересного и познавательного о метрических системах, денежных единицах и увлекательных парадоксах физики, химии и математики. Занимательные исторические примеры, иллюстрируя сухие факты, превращаются в яркие рассказы, благодаря живому и образному языку автора.</t>
        </is>
      </c>
      <c r="S2957" s="26">
        <f>HYPERLINK("http://www.cnpol.ru/covers/21379.jpg","фото на сайте")</f>
        <v/>
      </c>
    </row>
    <row r="2958" ht="50.1" customHeight="1" s="3">
      <c r="A2958" s="23" t="inlineStr">
        <is>
          <t>Н</t>
        </is>
      </c>
      <c r="B2958" s="24" t="inlineStr">
        <is>
          <t>21831</t>
        </is>
      </c>
      <c r="C2958" s="23" t="inlineStr">
        <is>
          <t>НПБ АЗИМОВ</t>
        </is>
      </c>
      <c r="D2958" s="23" t="inlineStr">
        <is>
          <t>Азимов А.</t>
        </is>
      </c>
      <c r="E2958" s="23" t="inlineStr">
        <is>
          <t>Популярная анатомия. Строение и функции человеческого тела</t>
        </is>
      </c>
      <c r="F2958" s="23" t="inlineStr">
        <is>
          <t>        </t>
        </is>
      </c>
      <c r="G2958" s="23" t="n">
        <v>740</v>
      </c>
      <c r="H2958" s="23" t="n">
        <v>10</v>
      </c>
      <c r="I2958" s="23" t="n">
        <v>14</v>
      </c>
      <c r="J2958" s="23" t="inlineStr">
        <is>
          <t>978-5-9524-6409-4</t>
        </is>
      </c>
      <c r="K2958" s="23" t="inlineStr">
        <is>
          <t>76x90 1/32</t>
        </is>
      </c>
      <c r="L2958" s="23" t="inlineStr">
        <is>
          <t>тв</t>
        </is>
      </c>
      <c r="M2958" s="23" t="n">
        <v>398</v>
      </c>
      <c r="N2958" s="23" t="n">
        <v>2025</v>
      </c>
      <c r="O2958" s="23" t="n">
        <v>273</v>
      </c>
      <c r="P2958" s="23" t="n"/>
      <c r="Q2958" s="23" t="n"/>
      <c r="R2958" s="25" t="inlineStr">
        <is>
          <t>Айзек Азимов подробно описывает строение и функции тела человека, которого он воспринимает как частицу биосферы. Увлекательно рассказывает о скелетном каркасе, мышцах, кровеносной и пищеварительной системах, а также о сердце, печени, легких, почках — органах, приводящих в действие и снабжающих энергией живой организм. Автор уделяет большое внимание роли репродуктивных органов и кожного покрова. Доходчиво разъясняет сложные термины. Книга снабжена интересными и наглядными рисунками.</t>
        </is>
      </c>
      <c r="S2958" s="26">
        <f>HYPERLINK("http://www.cnpol.ru/covers/21831.jpg","фото на сайте")</f>
        <v/>
      </c>
    </row>
    <row r="2959" ht="50.1" customHeight="1" s="3">
      <c r="A2959" s="23" t="inlineStr">
        <is>
          <t>Н</t>
        </is>
      </c>
      <c r="B2959" s="24" t="inlineStr">
        <is>
          <t>21783</t>
        </is>
      </c>
      <c r="C2959" s="23" t="inlineStr">
        <is>
          <t>НПБ АЗИМОВ</t>
        </is>
      </c>
      <c r="D2959" s="23" t="inlineStr">
        <is>
          <t>Азимов А.</t>
        </is>
      </c>
      <c r="E2959" s="23" t="inlineStr">
        <is>
          <t>Популярная физика. От архимедова рычага до квантовой механики</t>
        </is>
      </c>
      <c r="F2959" s="23" t="inlineStr">
        <is>
          <t>        </t>
        </is>
      </c>
      <c r="G2959" s="27" t="n">
        <v>1466</v>
      </c>
      <c r="H2959" s="23" t="n">
        <v>10</v>
      </c>
      <c r="I2959" s="23" t="n">
        <v>8</v>
      </c>
      <c r="J2959" s="23" t="inlineStr">
        <is>
          <t>978-5-9524-6432-2</t>
        </is>
      </c>
      <c r="K2959" s="23" t="inlineStr">
        <is>
          <t>60x90 1/16</t>
        </is>
      </c>
      <c r="L2959" s="23" t="inlineStr">
        <is>
          <t>тв</t>
        </is>
      </c>
      <c r="M2959" s="23" t="n">
        <v>752</v>
      </c>
      <c r="N2959" s="23" t="n">
        <v>2025</v>
      </c>
      <c r="O2959" s="23" t="n">
        <v>788</v>
      </c>
      <c r="P2959" s="23" t="n"/>
      <c r="Q2959" s="23" t="n"/>
      <c r="R2959" s="25" t="inlineStr">
        <is>
          <t>Эта книга состоит из трех частей и охватывает период истории физики от Древней Греции и до середины XX века. В последней части Азимов подробно освещает основное событие в XX столетии — открытие бесконечно малых частиц и волн, предлагает оригинальный взгляд на взаимодействие технического прогресса и общества в целом. Книга расширяет представления о науке, помогает понять и полюбить физику.</t>
        </is>
      </c>
      <c r="S2959" s="26">
        <f>HYPERLINK("http://www.cnpol.ru/covers/21783.jpg","фото на сайте")</f>
        <v/>
      </c>
    </row>
    <row r="2960" ht="50.1" customHeight="1" s="3">
      <c r="A2960" s="23" t="inlineStr">
        <is>
          <t>Д</t>
        </is>
      </c>
      <c r="B2960" s="24" t="inlineStr">
        <is>
          <t>21629</t>
        </is>
      </c>
      <c r="C2960" s="23" t="inlineStr">
        <is>
          <t>НПБ АЗИМОВ</t>
        </is>
      </c>
      <c r="D2960" s="23" t="inlineStr">
        <is>
          <t>Азимов А.</t>
        </is>
      </c>
      <c r="E2960" s="23" t="inlineStr">
        <is>
          <t>Путеводитель по Библии</t>
        </is>
      </c>
      <c r="F2960" s="23" t="inlineStr">
        <is>
          <t>        </t>
        </is>
      </c>
      <c r="G2960" s="27" t="n">
        <v>3090</v>
      </c>
      <c r="H2960" s="23" t="n">
        <v>10</v>
      </c>
      <c r="I2960" s="23" t="n">
        <v>3</v>
      </c>
      <c r="J2960" s="23" t="inlineStr">
        <is>
          <t>978-5-9524-6394-3</t>
        </is>
      </c>
      <c r="K2960" s="23" t="inlineStr">
        <is>
          <t>60x90 1/16</t>
        </is>
      </c>
      <c r="L2960" s="23" t="inlineStr">
        <is>
          <t>тв</t>
        </is>
      </c>
      <c r="M2960" s="23" t="n">
        <v>1182</v>
      </c>
      <c r="N2960" s="23" t="n">
        <v>2025</v>
      </c>
      <c r="O2960" s="23" t="n">
        <v>1224</v>
      </c>
      <c r="P2960" s="23" t="n"/>
      <c r="Q2960" s="23" t="n"/>
      <c r="R2960" s="25" t="inlineStr">
        <is>
          <t>Книга Азимова — настоящий путеводитель по древней земле, на которой более двух тысяч лет назад произошло событие, изменившее ход всемирной истории. Вы узнаете о Палестине времен Маккавеев и границах владений Ирода Великого. Пройдете путем Христа и апостолов в их земном служении. Азимов касается исторической географии и этнографии, не оставляя без внимания основные библейские сюжеты, идеи, образы и эпизоды, которые так органично вплелись в существование как отдельной личности, так и всего рода человеческого.</t>
        </is>
      </c>
      <c r="S2960" s="26">
        <f>HYPERLINK("http://www.cnpol.ru/covers/21629.jpg","фото на сайте")</f>
        <v/>
      </c>
    </row>
    <row r="2961" ht="50.1" customHeight="1" s="3">
      <c r="A2961" s="23" t="inlineStr">
        <is>
          <t>Н</t>
        </is>
      </c>
      <c r="B2961" s="24" t="inlineStr">
        <is>
          <t>21554</t>
        </is>
      </c>
      <c r="C2961" s="23" t="inlineStr">
        <is>
          <t>НПБ АЗИМОВ</t>
        </is>
      </c>
      <c r="D2961" s="23" t="inlineStr">
        <is>
          <t>Азимов А.</t>
        </is>
      </c>
      <c r="E2961" s="23" t="inlineStr">
        <is>
          <t>Путеводитель по Библии. Ветхий Завет</t>
        </is>
      </c>
      <c r="F2961" s="23" t="inlineStr">
        <is>
          <t>        </t>
        </is>
      </c>
      <c r="G2961" s="27" t="n">
        <v>1930</v>
      </c>
      <c r="H2961" s="23" t="n">
        <v>10</v>
      </c>
      <c r="I2961" s="23" t="n">
        <v>6</v>
      </c>
      <c r="J2961" s="23" t="inlineStr">
        <is>
          <t>978-5-9524-6345-5</t>
        </is>
      </c>
      <c r="K2961" s="23" t="inlineStr">
        <is>
          <t>60x90 1/16</t>
        </is>
      </c>
      <c r="L2961" s="23" t="inlineStr">
        <is>
          <t>тв</t>
        </is>
      </c>
      <c r="M2961" s="23" t="n">
        <v>639</v>
      </c>
      <c r="N2961" s="23" t="n">
        <v>2025</v>
      </c>
      <c r="O2961" s="23" t="n">
        <v>888</v>
      </c>
      <c r="P2961" s="23" t="n"/>
      <c r="Q2961" s="23" t="n"/>
      <c r="R2961" s="25" t="inlineStr">
        <is>
          <t>Книга Азимова — настоящий путеводитель по древнему библейскому миру, которому уже около трех тысяч лет, говорит об обычаях древних племен, прослеживает родословные царей и фараонов. Перед вами в строго хронологическом порядке предстанут Вавилон и Ассирия, Египет, Израиль и Иудея времен пророков, империя Давида и Соломона. В основном автор касается исторической географии и этнографии, но не оставляет без внимания библейские сюжеты, идеи, образы и эпизоды, которые так органично вплелись в существование как отдельной личности, так и всего рода человеческого.</t>
        </is>
      </c>
      <c r="S2961" s="26">
        <f>HYPERLINK("http://www.cnpol.ru/covers/21554.jpg","фото на сайте")</f>
        <v/>
      </c>
    </row>
    <row r="2962" ht="50.1" customHeight="1" s="3">
      <c r="A2962" s="23" t="inlineStr">
        <is>
          <t>Н</t>
        </is>
      </c>
      <c r="B2962" s="24" t="inlineStr">
        <is>
          <t>21555</t>
        </is>
      </c>
      <c r="C2962" s="23" t="inlineStr">
        <is>
          <t>НПБ АЗИМОВ</t>
        </is>
      </c>
      <c r="D2962" s="23" t="inlineStr">
        <is>
          <t>Азимов А.</t>
        </is>
      </c>
      <c r="E2962" s="23" t="inlineStr">
        <is>
          <t>Путеводитель по Библии. Новый Завет</t>
        </is>
      </c>
      <c r="F2962" s="23" t="inlineStr">
        <is>
          <t>        </t>
        </is>
      </c>
      <c r="G2962" s="27" t="n">
        <v>1710</v>
      </c>
      <c r="H2962" s="23" t="n">
        <v>10</v>
      </c>
      <c r="I2962" s="23" t="n">
        <v>8</v>
      </c>
      <c r="J2962" s="23" t="inlineStr">
        <is>
          <t>978-5-9524-6344-8</t>
        </is>
      </c>
      <c r="K2962" s="23" t="inlineStr">
        <is>
          <t>60x90 1/16</t>
        </is>
      </c>
      <c r="L2962" s="23" t="inlineStr">
        <is>
          <t>тв</t>
        </is>
      </c>
      <c r="M2962" s="23" t="n">
        <v>543</v>
      </c>
      <c r="N2962" s="23" t="n">
        <v>2025</v>
      </c>
      <c r="O2962" s="23" t="n">
        <v>799</v>
      </c>
      <c r="P2962" s="23" t="n"/>
      <c r="Q2962" s="23" t="n"/>
      <c r="R2962" s="25" t="inlineStr">
        <is>
          <t>Книга Азимова — настоящий путеводитель по древней земле, на которой более двух тысяч лет назад произошло событие, изменившее ход всемирной истории. Вы узнаете о Палестине времен Маккавеев и границах владений Ирода Великого. Пройдете путем Христа и апостолов в их земном служении. Азимов?касается исторической географии и этнографии, не оставляя без внимания основные библейские сюжеты, идеи, образы и эпизоды, которые так органично вплелись в существование как отдельной личности, так и всего рода человеческого.</t>
        </is>
      </c>
      <c r="S2962" s="26">
        <f>HYPERLINK("http://www.cnpol.ru/covers/21555.jpg","фото на сайте")</f>
        <v/>
      </c>
    </row>
    <row r="2963" ht="50.1" customHeight="1" s="3">
      <c r="A2963" s="23" t="inlineStr">
        <is>
          <t>Д</t>
        </is>
      </c>
      <c r="B2963" s="24" t="inlineStr">
        <is>
          <t>21642</t>
        </is>
      </c>
      <c r="C2963" s="23" t="inlineStr">
        <is>
          <t>НПБ АЗИМОВ</t>
        </is>
      </c>
      <c r="D2963" s="23" t="inlineStr">
        <is>
          <t>Азимов А.</t>
        </is>
      </c>
      <c r="E2963" s="23" t="inlineStr">
        <is>
          <t>Путеводитель по науке. От египетских пирамид до космических станций</t>
        </is>
      </c>
      <c r="F2963" s="23" t="inlineStr">
        <is>
          <t>        </t>
        </is>
      </c>
      <c r="G2963" s="27" t="n">
        <v>2015</v>
      </c>
      <c r="H2963" s="23" t="n">
        <v>10</v>
      </c>
      <c r="I2963" s="23" t="n">
        <v>6</v>
      </c>
      <c r="J2963" s="23" t="inlineStr">
        <is>
          <t>978-5-9524-6401-8</t>
        </is>
      </c>
      <c r="K2963" s="23" t="inlineStr">
        <is>
          <t>60x90 1/16</t>
        </is>
      </c>
      <c r="L2963" s="23" t="inlineStr">
        <is>
          <t>тв</t>
        </is>
      </c>
      <c r="M2963" s="23" t="n">
        <v>788</v>
      </c>
      <c r="N2963" s="23" t="n">
        <v>2025</v>
      </c>
      <c r="O2963" s="23" t="n">
        <v>666</v>
      </c>
      <c r="P2963" s="23" t="n"/>
      <c r="Q2963" s="23" t="n"/>
      <c r="R2963" s="25" t="inlineStr">
        <is>
          <t>В этой книге знаменитый писатель-фантаст и популяризатор науки рассказывает о великих изобретениях и открытиях ученых. Вы узнаете, как развивалась наука на протяжении всей истории человечества. Как был изобретен маятник и что такое цепная реакция. И как люди, используя накопленные знания, создали магнитную ленту, фотографию, транзистор и, наконец, водородную бомбу.</t>
        </is>
      </c>
      <c r="S2963" s="26">
        <f>HYPERLINK("http://www.cnpol.ru/covers/21642.jpg","фото на сайте")</f>
        <v/>
      </c>
    </row>
    <row r="2964" ht="50.1" customHeight="1" s="3">
      <c r="A2964" s="23" t="n"/>
      <c r="B2964" s="24" t="inlineStr">
        <is>
          <t>17779</t>
        </is>
      </c>
      <c r="C2964" s="23" t="inlineStr">
        <is>
          <t>НПБ АЗИМОВ</t>
        </is>
      </c>
      <c r="D2964" s="23" t="inlineStr">
        <is>
          <t>Азимов А.</t>
        </is>
      </c>
      <c r="E2964" s="23" t="inlineStr">
        <is>
          <t>Путеводитель по Шекспиру. Английские пьесы</t>
        </is>
      </c>
      <c r="F2964" s="23" t="inlineStr">
        <is>
          <t>        </t>
        </is>
      </c>
      <c r="G2964" s="27" t="n">
        <v>1519</v>
      </c>
      <c r="H2964" s="23" t="n">
        <v>10</v>
      </c>
      <c r="I2964" s="23" t="n">
        <v>6</v>
      </c>
      <c r="J2964" s="23" t="inlineStr">
        <is>
          <t>978-5-227-07140-8</t>
        </is>
      </c>
      <c r="K2964" s="23" t="inlineStr">
        <is>
          <t>60x84 1/16</t>
        </is>
      </c>
      <c r="L2964" s="23" t="inlineStr">
        <is>
          <t>тв</t>
        </is>
      </c>
      <c r="M2964" s="23" t="n">
        <v>816</v>
      </c>
      <c r="N2964" s="23" t="n">
        <v>2017</v>
      </c>
      <c r="O2964" s="23" t="n">
        <v>838</v>
      </c>
      <c r="P2964" s="23" t="n"/>
      <c r="Q2964" s="23" t="n"/>
      <c r="R2964" s="25" t="n"/>
      <c r="S2964" s="26">
        <f>HYPERLINK("http://www.cnpol.ru/covers/17779.jpg","фото на сайте")</f>
        <v/>
      </c>
    </row>
    <row r="2965" ht="50.1" customHeight="1" s="3">
      <c r="A2965" s="23" t="inlineStr">
        <is>
          <t>Н</t>
        </is>
      </c>
      <c r="B2965" s="24" t="inlineStr">
        <is>
          <t>21912</t>
        </is>
      </c>
      <c r="C2965" s="23" t="inlineStr">
        <is>
          <t>НПБ АЗИМОВ</t>
        </is>
      </c>
      <c r="D2965" s="23" t="inlineStr">
        <is>
          <t>Азимов А., Бойд У.</t>
        </is>
      </c>
      <c r="E2965" s="23" t="inlineStr">
        <is>
          <t>Расы и народы. Ген, мутация и эволюция человека</t>
        </is>
      </c>
      <c r="F2965" s="23" t="inlineStr">
        <is>
          <t>        </t>
        </is>
      </c>
      <c r="G2965" s="23" t="n">
        <v>740</v>
      </c>
      <c r="H2965" s="23" t="n">
        <v>10</v>
      </c>
      <c r="I2965" s="23" t="n">
        <v>16</v>
      </c>
      <c r="J2965" s="23" t="inlineStr">
        <is>
          <t>978-5-9524-6455-1</t>
        </is>
      </c>
      <c r="K2965" s="23" t="inlineStr">
        <is>
          <t>76x90 1/32</t>
        </is>
      </c>
      <c r="L2965" s="23" t="inlineStr">
        <is>
          <t>тв</t>
        </is>
      </c>
      <c r="M2965" s="23" t="n">
        <v>206</v>
      </c>
      <c r="N2965" s="23" t="n">
        <v>2025</v>
      </c>
      <c r="O2965" s="23" t="n">
        <v>240</v>
      </c>
      <c r="P2965" s="23" t="n"/>
      <c r="Q2965" s="23" t="n"/>
      <c r="R2965" s="25" t="inlineStr">
        <is>
          <t>Авторы исследуют основные принципы классификации человечества на расы и народы. Что объединяет и что разобщает жителей земли? Почему у голубоглазых родителей может родиться кареглазый ребенок? Всегда ли мутации приносят организму вред? Книга дает ответ на эти и многие другие вопросы, а также знакомит с характерными особенностями и проблемами расового деления.</t>
        </is>
      </c>
      <c r="S2965" s="26">
        <f>HYPERLINK("http://www.cnpol.ru/covers/21912.jpg","фото на сайте")</f>
        <v/>
      </c>
    </row>
    <row r="2966" ht="50.1" customHeight="1" s="3">
      <c r="A2966" s="23" t="inlineStr">
        <is>
          <t>Н</t>
        </is>
      </c>
      <c r="B2966" s="24" t="inlineStr">
        <is>
          <t>21911</t>
        </is>
      </c>
      <c r="C2966" s="23" t="inlineStr">
        <is>
          <t>НПБ АЗИМОВ</t>
        </is>
      </c>
      <c r="D2966" s="23" t="inlineStr">
        <is>
          <t>Азимов А.</t>
        </is>
      </c>
      <c r="E2966" s="23" t="inlineStr">
        <is>
          <t>Римская республика. От семи царей до республиканского правления</t>
        </is>
      </c>
      <c r="F2966" s="23" t="inlineStr">
        <is>
          <t>        </t>
        </is>
      </c>
      <c r="G2966" s="23" t="n">
        <v>740</v>
      </c>
      <c r="H2966" s="23" t="n">
        <v>10</v>
      </c>
      <c r="I2966" s="23" t="n">
        <v>12</v>
      </c>
      <c r="J2966" s="23" t="inlineStr">
        <is>
          <t>978-5-9524-6456-8</t>
        </is>
      </c>
      <c r="K2966" s="23" t="inlineStr">
        <is>
          <t>76x90 1/32</t>
        </is>
      </c>
      <c r="L2966" s="23" t="inlineStr">
        <is>
          <t>тв</t>
        </is>
      </c>
      <c r="M2966" s="23" t="n">
        <v>300</v>
      </c>
      <c r="N2966" s="23" t="n">
        <v>2025</v>
      </c>
      <c r="O2966" s="23" t="n">
        <v>234</v>
      </c>
      <c r="P2966" s="23" t="n"/>
      <c r="Q2966" s="23" t="n"/>
      <c r="R2966" s="25" t="inlineStr">
        <is>
          <t>Автор рассказывает о первом периоде римской истории: возникновении и укреплении могущества Древнего Рима, грандиозных триумфах и поражениях, об идеализме и подлых интригах. Кто такие этруски и откуда пришел в Италию этот загадочный народ? С какими проблемами столкнулись первые жители города и когда открывались двери Януса? Книга дает ответы на эти и другие вопросы, а также знакомит с главными героями повествования — военачальниками и политиками великой республики.</t>
        </is>
      </c>
      <c r="S2966" s="26">
        <f>HYPERLINK("http://www.cnpol.ru/covers/21911.jpg","фото на сайте")</f>
        <v/>
      </c>
    </row>
    <row r="2967" ht="50.1" customHeight="1" s="3">
      <c r="A2967" s="23" t="inlineStr">
        <is>
          <t>Н</t>
        </is>
      </c>
      <c r="B2967" s="24" t="inlineStr">
        <is>
          <t>22308</t>
        </is>
      </c>
      <c r="C2967" s="23" t="inlineStr">
        <is>
          <t>НПБ АЗИМОВ</t>
        </is>
      </c>
      <c r="D2967" s="23" t="inlineStr">
        <is>
          <t>Азимов А.</t>
        </is>
      </c>
      <c r="E2967" s="23" t="inlineStr">
        <is>
          <t>Слова в истории. Великие личности и знаменательные события</t>
        </is>
      </c>
      <c r="F2967" s="23" t="inlineStr">
        <is>
          <t>        </t>
        </is>
      </c>
      <c r="G2967" s="23" t="n">
        <v>733</v>
      </c>
      <c r="H2967" s="23" t="n">
        <v>10</v>
      </c>
      <c r="I2967" s="23" t="n">
        <v>8</v>
      </c>
      <c r="J2967" s="23" t="inlineStr">
        <is>
          <t>978-5-9524-2582-8</t>
        </is>
      </c>
      <c r="K2967" s="23" t="inlineStr">
        <is>
          <t>76x90 1/32</t>
        </is>
      </c>
      <c r="L2967" s="23" t="inlineStr">
        <is>
          <t>тв</t>
        </is>
      </c>
      <c r="M2967" s="23" t="n">
        <v>334</v>
      </c>
      <c r="N2967" s="23" t="n">
        <v>2007</v>
      </c>
      <c r="O2967" s="23" t="n">
        <v>253</v>
      </c>
      <c r="P2967" s="23" t="n"/>
      <c r="Q2967" s="23" t="n"/>
      <c r="R2967" s="25" t="inlineStr">
        <is>
          <t>Вы узнаете, как возникли те или иные исторические понятия и названия. Автор охватывает период от древних времен до современности. Рассказывает, как называли правителей и великих воинов, как имена становились нарицательными, как возникали слова, которые мы используем, порой не подозревая, какой интересный и долгий путь во времени они прошли...</t>
        </is>
      </c>
      <c r="S2967" s="26">
        <f>HYPERLINK("http://www.cnpol.ru/covers/22308.jpg","фото на сайте")</f>
        <v/>
      </c>
    </row>
    <row r="2968" ht="50.1" customHeight="1" s="3">
      <c r="A2968" s="23" t="inlineStr">
        <is>
          <t>Н</t>
        </is>
      </c>
      <c r="B2968" s="24" t="inlineStr">
        <is>
          <t>21993</t>
        </is>
      </c>
      <c r="C2968" s="23" t="inlineStr">
        <is>
          <t>НПБ АЗИМОВ</t>
        </is>
      </c>
      <c r="D2968" s="23" t="inlineStr">
        <is>
          <t>Азимов А.</t>
        </is>
      </c>
      <c r="E2968" s="23" t="inlineStr">
        <is>
          <t>Слова на карте. Географические названия и их смысл</t>
        </is>
      </c>
      <c r="F2968" s="23" t="inlineStr">
        <is>
          <t>        </t>
        </is>
      </c>
      <c r="G2968" s="23" t="n">
        <v>740</v>
      </c>
      <c r="H2968" s="23" t="n">
        <v>10</v>
      </c>
      <c r="I2968" s="23" t="n">
        <v>8</v>
      </c>
      <c r="J2968" s="23" t="inlineStr">
        <is>
          <t>978-5-9524-6551-0</t>
        </is>
      </c>
      <c r="K2968" s="23" t="inlineStr">
        <is>
          <t>76x90 1/32</t>
        </is>
      </c>
      <c r="L2968" s="23" t="inlineStr">
        <is>
          <t>тв</t>
        </is>
      </c>
      <c r="M2968" s="23" t="n">
        <v>367</v>
      </c>
      <c r="N2968" s="23" t="n">
        <v>2026</v>
      </c>
      <c r="O2968" s="23" t="n">
        <v>264</v>
      </c>
      <c r="P2968" s="23" t="n"/>
      <c r="Q2968" s="23" t="n"/>
      <c r="R2968" s="25" t="inlineStr">
        <is>
          <t>Эта книга почти топонимический атлас мира, который у Айзека Азимова получился сборником занимательных историй. Вы узнаете, почему Австралия несет в себе слово юг, а Австрия — восток и как за названием Нью-Джерси мог скрыться английский король, а за именем Филадельфия — египетский фараон. Множество мест на земле было названо в честь богов, святых, королей и президентов, политиков, воинов и важных событий. Прошлое откроет для вас чудеса и магию языка далеких эпох.</t>
        </is>
      </c>
      <c r="S2968" s="26">
        <f>HYPERLINK("http://www.cnpol.ru/covers/21993.jpg","фото на сайте")</f>
        <v/>
      </c>
    </row>
    <row r="2969" ht="50.1" customHeight="1" s="3">
      <c r="A2969" s="23" t="inlineStr">
        <is>
          <t>Н</t>
        </is>
      </c>
      <c r="B2969" s="24" t="inlineStr">
        <is>
          <t>22307</t>
        </is>
      </c>
      <c r="C2969" s="23" t="inlineStr">
        <is>
          <t>НПБ АЗИМОВ</t>
        </is>
      </c>
      <c r="D2969" s="23" t="inlineStr">
        <is>
          <t>Азимов А.</t>
        </is>
      </c>
      <c r="E2969" s="23" t="inlineStr">
        <is>
          <t>Темные века. Раннее Средневековье в хаосе войн</t>
        </is>
      </c>
      <c r="F2969" s="23" t="inlineStr">
        <is>
          <t>        </t>
        </is>
      </c>
      <c r="G2969" s="23" t="n">
        <v>740</v>
      </c>
      <c r="H2969" s="23" t="n">
        <v>10</v>
      </c>
      <c r="I2969" s="23" t="n">
        <v>8</v>
      </c>
      <c r="J2969" s="23" t="inlineStr">
        <is>
          <t>5-9524-1524-9</t>
        </is>
      </c>
      <c r="K2969" s="23" t="inlineStr">
        <is>
          <t>76x90 1/32</t>
        </is>
      </c>
      <c r="L2969" s="23" t="inlineStr">
        <is>
          <t>тв</t>
        </is>
      </c>
      <c r="M2969" s="23" t="n">
        <v>330</v>
      </c>
      <c r="N2969" s="23" t="n">
        <v>2005</v>
      </c>
      <c r="O2969" s="23" t="n">
        <v>255</v>
      </c>
      <c r="P2969" s="23" t="n"/>
      <c r="Q2969" s="23" t="n"/>
      <c r="R2969" s="25" t="inlineStr">
        <is>
          <t>В своей книге А. Азимов рассказывает о сложной и противоречивой эпохе, названной Темными веками. Автор повествует не только о Европе, но и о событиях, которые происходили в эти времена на Востоке, в Северной Африке и Азии. О том, как боролось с язычеством и ересями набирающее силу христианское учение, о яростном противостоянии церковных и светских властей, династических войнах, империи Каролингов и становлении многих европейских государств.</t>
        </is>
      </c>
      <c r="S2969" s="26">
        <f>HYPERLINK("http://www.cnpol.ru/covers/22307.jpg","фото на сайте")</f>
        <v/>
      </c>
    </row>
    <row r="2970" ht="50.1" customHeight="1" s="3">
      <c r="A2970" s="23" t="inlineStr">
        <is>
          <t>Н</t>
        </is>
      </c>
      <c r="B2970" s="24" t="inlineStr">
        <is>
          <t>21990</t>
        </is>
      </c>
      <c r="C2970" s="23" t="inlineStr">
        <is>
          <t>НПБ АЗИМОВ</t>
        </is>
      </c>
      <c r="D2970" s="23" t="inlineStr">
        <is>
          <t>Азимов А.</t>
        </is>
      </c>
      <c r="E2970" s="23" t="inlineStr">
        <is>
          <t>Человеческий мозг. От аксона до нейрона</t>
        </is>
      </c>
      <c r="F2970" s="23" t="inlineStr">
        <is>
          <t>        </t>
        </is>
      </c>
      <c r="G2970" s="23" t="n">
        <v>766</v>
      </c>
      <c r="H2970" s="23" t="n">
        <v>10</v>
      </c>
      <c r="I2970" s="23" t="n">
        <v>8</v>
      </c>
      <c r="J2970" s="23" t="inlineStr">
        <is>
          <t>978-5-9524-6552-7</t>
        </is>
      </c>
      <c r="K2970" s="23" t="inlineStr">
        <is>
          <t>76x90 1/32</t>
        </is>
      </c>
      <c r="L2970" s="23" t="inlineStr">
        <is>
          <t>тв</t>
        </is>
      </c>
      <c r="M2970" s="23" t="n">
        <v>461</v>
      </c>
      <c r="N2970" s="23" t="n">
        <v>2026</v>
      </c>
      <c r="O2970" s="23" t="n">
        <v>290</v>
      </c>
      <c r="P2970" s="23" t="n"/>
      <c r="Q2970" s="23" t="n"/>
      <c r="R2970" s="25" t="inlineStr">
        <is>
          <t>Из этой замечательной книги вы узнаете о строении и тайнах центральной нервной системы человека, об анатомии, физиологии и сложнейших биохимических процессах, протекающих в головном мозге. В книге много интересных и остроумных историй об открытиях и феноменах, гипотезах и перспективах науки психобиохимии.</t>
        </is>
      </c>
      <c r="S2970" s="26">
        <f>HYPERLINK("http://www.cnpol.ru/covers/21990.jpg","фото на сайте")</f>
        <v/>
      </c>
    </row>
    <row r="2971" ht="50.1" customHeight="1" s="3">
      <c r="A2971" s="23" t="n"/>
      <c r="B2971" s="24" t="inlineStr">
        <is>
          <t>19053</t>
        </is>
      </c>
      <c r="C2971" s="23" t="inlineStr">
        <is>
          <t>НТ</t>
        </is>
      </c>
      <c r="D2971" s="23" t="inlineStr">
        <is>
          <t>Горос О.В</t>
        </is>
      </c>
      <c r="E2971" s="23" t="inlineStr">
        <is>
          <t>А утром пришел Фо…</t>
        </is>
      </c>
      <c r="F2971" s="23" t="inlineStr">
        <is>
          <t>        </t>
        </is>
      </c>
      <c r="G2971" s="23" t="n">
        <v>554</v>
      </c>
      <c r="H2971" s="23" t="n">
        <v>10</v>
      </c>
      <c r="I2971" s="23" t="n">
        <v>12</v>
      </c>
      <c r="J2971" s="23" t="inlineStr">
        <is>
          <t>978-5-227-09024-9</t>
        </is>
      </c>
      <c r="K2971" s="23" t="inlineStr">
        <is>
          <t>84x108 1/32</t>
        </is>
      </c>
      <c r="L2971" s="23" t="inlineStr">
        <is>
          <t>тв</t>
        </is>
      </c>
      <c r="M2971" s="23" t="n">
        <v>352</v>
      </c>
      <c r="N2971" s="23" t="n">
        <v>2020</v>
      </c>
      <c r="O2971" s="23" t="n">
        <v>288</v>
      </c>
      <c r="P2971" s="23" t="n"/>
      <c r="Q2971" s="23" t="n"/>
      <c r="R2971" s="25" t="inlineStr">
        <is>
          <t>Мир меняется: в нем возникают чудовища, которых не встретишь даже в самых жутких кошмарах. Верить никому нельзя – даже под личиной друга может скрываться монстр. И теперь горстке солдат, оказавшихся в эпицентре катастрофы, предстоит не только выжить, но и остановить этот кошмар. Ведь под угрозой все человечество! Но для этого нужно понять, по каким законам живет новый, изменившийся мир...</t>
        </is>
      </c>
      <c r="S2971" s="26">
        <f>HYPERLINK("http://www.cnpol.ru/covers/19053.jpg","фото на сайте")</f>
        <v/>
      </c>
    </row>
    <row r="2972" ht="50.1" customHeight="1" s="3">
      <c r="A2972" s="23" t="n"/>
      <c r="B2972" s="24" t="inlineStr">
        <is>
          <t>19161</t>
        </is>
      </c>
      <c r="C2972" s="23" t="inlineStr">
        <is>
          <t>НТ</t>
        </is>
      </c>
      <c r="D2972" s="23" t="inlineStr">
        <is>
          <t>Подгальский В.</t>
        </is>
      </c>
      <c r="E2972" s="23" t="inlineStr">
        <is>
          <t>Агарта</t>
        </is>
      </c>
      <c r="F2972" s="23" t="inlineStr">
        <is>
          <t>        </t>
        </is>
      </c>
      <c r="G2972" s="23" t="n">
        <v>554</v>
      </c>
      <c r="H2972" s="23" t="n">
        <v>10</v>
      </c>
      <c r="I2972" s="23" t="n">
        <v>14</v>
      </c>
      <c r="J2972" s="23" t="inlineStr">
        <is>
          <t>978-5-227-09102-4</t>
        </is>
      </c>
      <c r="K2972" s="23" t="inlineStr">
        <is>
          <t>84x108 1/32</t>
        </is>
      </c>
      <c r="L2972" s="23" t="inlineStr">
        <is>
          <t>тв</t>
        </is>
      </c>
      <c r="M2972" s="23" t="n">
        <v>288</v>
      </c>
      <c r="N2972" s="23" t="n">
        <v>2020</v>
      </c>
      <c r="O2972" s="23" t="n">
        <v>260</v>
      </c>
      <c r="P2972" s="23" t="n"/>
      <c r="Q2972" s="23" t="n"/>
      <c r="R2972" s="25" t="inlineStr">
        <is>
          <t>Волшебный мир Пятого измерения – Агарта, не часто открывает врата для новых жителей. Таким счастливчиком оказался следователь Никита Огарков, погибший при выполнении служебного задания. Окончив «Школу совместного общежития и творчества различных миров и царств планеты Земля», он отправляется в параллельный мир Земли с целью найти «Книгу жизни и смерти». Бесценный артефакт, много веков хранимый в тибетском монастыре, исчез после посещения эсэсовцами. Для выполнения задания Никита отправляется в 1939 год и вселяется в тело курсанта Саратовского пограничного училища.</t>
        </is>
      </c>
      <c r="S2972" s="26">
        <f>HYPERLINK("http://www.cnpol.ru/covers/19161.jpg","фото на сайте")</f>
        <v/>
      </c>
    </row>
    <row r="2973" ht="50.1" customHeight="1" s="3">
      <c r="A2973" s="23" t="n"/>
      <c r="B2973" s="24" t="inlineStr">
        <is>
          <t>13731</t>
        </is>
      </c>
      <c r="C2973" s="23" t="inlineStr">
        <is>
          <t>НТ</t>
        </is>
      </c>
      <c r="D2973" s="23" t="inlineStr">
        <is>
          <t>Михеев М.А.</t>
        </is>
      </c>
      <c r="E2973" s="23" t="inlineStr">
        <is>
          <t>Адмирал галактической империи</t>
        </is>
      </c>
      <c r="F2973" s="23" t="inlineStr">
        <is>
          <t>        </t>
        </is>
      </c>
      <c r="G2973" s="23" t="n">
        <v>554</v>
      </c>
      <c r="H2973" s="23" t="n">
        <v>10</v>
      </c>
      <c r="I2973" s="23" t="n">
        <v>14</v>
      </c>
      <c r="J2973" s="23" t="inlineStr">
        <is>
          <t>978-5-227-03844-9</t>
        </is>
      </c>
      <c r="K2973" s="23" t="inlineStr">
        <is>
          <t>84x108 1/32</t>
        </is>
      </c>
      <c r="L2973" s="23" t="inlineStr">
        <is>
          <t>тв</t>
        </is>
      </c>
      <c r="M2973" s="23" t="n">
        <v>316</v>
      </c>
      <c r="N2973" s="23" t="n">
        <v>2012</v>
      </c>
      <c r="O2973" s="23" t="n">
        <v>276</v>
      </c>
      <c r="P2973" s="23" t="n"/>
      <c r="Q2973" s="23" t="n"/>
      <c r="R2973" s="25" t="inlineStr">
        <is>
          <t>Когда дилетант второй раз выживает там, где выжить невозможно, он на многое начинает смотреть иначе, но вновь готов выполнить взятую на себя миссию... Корабли возрождаемой империи продолжают бороздить просторы космоса, поднимая свой флаг над планетами, которые были обречены сепаратистами на хаос и вымирание. Судьба галактики зависит от того, какое решение примет наш соотечественник, назвавший себя адмиралом...</t>
        </is>
      </c>
      <c r="S2973" s="26">
        <f>HYPERLINK("http://www.cnpol.ru/covers/13731.jpg","фото на сайте")</f>
        <v/>
      </c>
    </row>
    <row r="2974" ht="50.1" customHeight="1" s="3">
      <c r="A2974" s="23" t="n"/>
      <c r="B2974" s="24" t="inlineStr">
        <is>
          <t>12655</t>
        </is>
      </c>
      <c r="C2974" s="23" t="inlineStr">
        <is>
          <t>НТ</t>
        </is>
      </c>
      <c r="D2974" s="23" t="inlineStr">
        <is>
          <t>Абельс Ж.</t>
        </is>
      </c>
      <c r="E2974" s="23" t="inlineStr">
        <is>
          <t>Академия демиургов</t>
        </is>
      </c>
      <c r="F2974" s="23" t="inlineStr">
        <is>
          <t>        </t>
        </is>
      </c>
      <c r="G2974" s="23" t="n">
        <v>554</v>
      </c>
      <c r="H2974" s="23" t="n">
        <v>10</v>
      </c>
      <c r="I2974" s="23" t="n">
        <v>16</v>
      </c>
      <c r="J2974" s="23" t="inlineStr">
        <is>
          <t>978-5-227-02777-1</t>
        </is>
      </c>
      <c r="K2974" s="23" t="inlineStr">
        <is>
          <t>84x108 1/32</t>
        </is>
      </c>
      <c r="L2974" s="23" t="inlineStr">
        <is>
          <t>тв</t>
        </is>
      </c>
      <c r="M2974" s="23" t="n">
        <v>319</v>
      </c>
      <c r="N2974" s="23" t="n">
        <v>2011</v>
      </c>
      <c r="O2974" s="23" t="n">
        <v>260</v>
      </c>
      <c r="P2974" s="23" t="n"/>
      <c r="Q2974" s="23" t="n"/>
      <c r="R2974" s="25" t="inlineStr">
        <is>
          <t>Митяй нашёл в далёком прошлом то, о чём даже и не мечтал в своём времени — людей, не знающих, что такое эгоизм, ложь, алчность, злоба и ненависть. Только это время и можно было назвать Золотым веком Человечества. Ведлы, не имевшие глубоких научных познаний, но и не знавшие пороков современного мира, охотно делились с ним всеми своими знаниями. Так же охотно они учились у Митяя всему, что знал и умел он. Вооружённый современными научными знаниями, став ведлом с говорящими камнями, молодой прогрессор стал отцом народа Говорящих Камней и теперь не только передавал охотникам каменного века знания, но и учил их ведловству по-новому._x000D_
 Первая же встреча с представителями внеземного разума, которая произошла более чем через полтора столетия, наглядно доказала преимущества ведловской цивилизации над обычной, научно-технической, и у Митяя появились ученики с планеты Талария. Прошло ещё почти полтора столетия, и, оставаясь всё тем же молодым парнем, Митяй покидает Землю и отправляется в иной, ни на что не похожий мир-сферу, чтобы начать своё обучение в академии демиургов. Там ему открываются многие тайны, и он узнаёт, где же именно провёл в постоянных трудах и заботах триста лет.</t>
        </is>
      </c>
      <c r="S2974" s="26">
        <f>HYPERLINK("http://www.cnpol.ru/covers/12655.jpg","фото на сайте")</f>
        <v/>
      </c>
    </row>
    <row r="2975" ht="50.1" customHeight="1" s="3">
      <c r="A2975" s="23" t="n"/>
      <c r="B2975" s="24" t="inlineStr">
        <is>
          <t>19434</t>
        </is>
      </c>
      <c r="C2975" s="23" t="inlineStr">
        <is>
          <t>НТ</t>
        </is>
      </c>
      <c r="D2975" s="23" t="inlineStr">
        <is>
          <t>Мальчушкин С.А</t>
        </is>
      </c>
      <c r="E2975" s="23" t="inlineStr">
        <is>
          <t>Амбиции</t>
        </is>
      </c>
      <c r="F2975" s="23" t="inlineStr">
        <is>
          <t>        </t>
        </is>
      </c>
      <c r="G2975" s="23" t="n">
        <v>554</v>
      </c>
      <c r="H2975" s="23" t="n">
        <v>10</v>
      </c>
      <c r="I2975" s="23" t="n">
        <v>14</v>
      </c>
      <c r="J2975" s="23" t="inlineStr">
        <is>
          <t>978-5-227-09171-0</t>
        </is>
      </c>
      <c r="K2975" s="23" t="inlineStr">
        <is>
          <t>84x108 1/32</t>
        </is>
      </c>
      <c r="L2975" s="23" t="inlineStr">
        <is>
          <t>тв</t>
        </is>
      </c>
      <c r="M2975" s="23" t="n">
        <v>320</v>
      </c>
      <c r="N2975" s="23" t="n">
        <v>2020</v>
      </c>
      <c r="O2975" s="23" t="n">
        <v>274</v>
      </c>
      <c r="P2975" s="23" t="n"/>
      <c r="Q2975" s="23" t="n"/>
      <c r="R2975" s="25" t="inlineStr">
        <is>
          <t>Человечество в космосе, но мы не меняемся. Тысячи лет назад, в быстром настоящем и отдаленном будущем мы боремся за территорию, ресурсы и влияние. Александр и Глеб, предприимчивые торговцы, предвидят конфликт великих держав. Чутье подсказывает им открывающиеся новые рынки — рынки оружия. Компаньоны отправляются в опасное для жизни путешествие. Удача, связи и харизма будут залогом успеха. Но так ли они удачливы, как им кажется?</t>
        </is>
      </c>
      <c r="S2975" s="26">
        <f>HYPERLINK("http://www.cnpol.ru/covers/19434.jpg","фото на сайте")</f>
        <v/>
      </c>
    </row>
    <row r="2976" ht="50.1" customHeight="1" s="3">
      <c r="A2976" s="23" t="n"/>
      <c r="B2976" s="24" t="inlineStr">
        <is>
          <t>19544</t>
        </is>
      </c>
      <c r="C2976" s="23" t="inlineStr">
        <is>
          <t>НТ</t>
        </is>
      </c>
      <c r="D2976" s="23" t="inlineStr">
        <is>
          <t>Магкеев Ч.М</t>
        </is>
      </c>
      <c r="E2976" s="23" t="inlineStr">
        <is>
          <t>Арина - дочь дракона</t>
        </is>
      </c>
      <c r="F2976" s="23" t="inlineStr">
        <is>
          <t>        </t>
        </is>
      </c>
      <c r="G2976" s="23" t="n">
        <v>554</v>
      </c>
      <c r="H2976" s="23" t="n">
        <v>10</v>
      </c>
      <c r="I2976" s="23" t="n">
        <v>14</v>
      </c>
      <c r="J2976" s="23" t="inlineStr">
        <is>
          <t>978-5-227-09391-2</t>
        </is>
      </c>
      <c r="K2976" s="23" t="inlineStr">
        <is>
          <t>84x108 1/32</t>
        </is>
      </c>
      <c r="L2976" s="23" t="inlineStr">
        <is>
          <t>тв</t>
        </is>
      </c>
      <c r="M2976" s="23" t="n">
        <v>287</v>
      </c>
      <c r="N2976" s="23" t="n">
        <v>2021</v>
      </c>
      <c r="O2976" s="23" t="n">
        <v>250</v>
      </c>
      <c r="P2976" s="23" t="n"/>
      <c r="Q2976" s="23" t="n"/>
      <c r="R2976" s="25" t="inlineStr">
        <is>
          <t>Девочка Арина устала быть сироткой и отправилась в другой мир на поиск своих родителей. Как она себя поведет, если вокруг Средневековье, а феодалы грызутся за власть? Обратится к старшему наставнику, и дядя научит плохому. Не толерантно, но действенно, тем более что девочка реально дочь дракона, которого пленили жрецы, и его нужно спасать...</t>
        </is>
      </c>
      <c r="S2976" s="26">
        <f>HYPERLINK("http://www.cnpol.ru/covers/19544.jpg","фото на сайте")</f>
        <v/>
      </c>
    </row>
    <row r="2977" ht="50.1" customHeight="1" s="3">
      <c r="A2977" s="23" t="n"/>
      <c r="B2977" s="24" t="inlineStr">
        <is>
          <t>16733</t>
        </is>
      </c>
      <c r="C2977" s="23" t="inlineStr">
        <is>
          <t>НТ</t>
        </is>
      </c>
      <c r="D2977" s="23" t="inlineStr">
        <is>
          <t>Поселягин В.Г</t>
        </is>
      </c>
      <c r="E2977" s="23" t="inlineStr">
        <is>
          <t>Архимаг</t>
        </is>
      </c>
      <c r="F2977" s="23" t="inlineStr">
        <is>
          <t>        </t>
        </is>
      </c>
      <c r="G2977" s="23" t="n">
        <v>554</v>
      </c>
      <c r="H2977" s="23" t="n">
        <v>10</v>
      </c>
      <c r="I2977" s="23" t="n">
        <v>10</v>
      </c>
      <c r="J2977" s="23" t="inlineStr">
        <is>
          <t>978-5-227-06774-6</t>
        </is>
      </c>
      <c r="K2977" s="23" t="inlineStr">
        <is>
          <t>84x108 1/32</t>
        </is>
      </c>
      <c r="L2977" s="23" t="inlineStr">
        <is>
          <t>тв</t>
        </is>
      </c>
      <c r="M2977" s="23" t="n">
        <v>288</v>
      </c>
      <c r="N2977" s="23" t="n">
        <v>2016</v>
      </c>
      <c r="O2977" s="23" t="n">
        <v>244</v>
      </c>
      <c r="P2977" s="23" t="n"/>
      <c r="Q2977" s="23" t="n"/>
      <c r="R2977" s="25" t="inlineStr">
        <is>
          <t>Ещё не всё потеряно, и маг граф Арники Сон ещё поборется за свою жизнь и за будущее одарённых детей на новой для него планете. Новые миры, неожиданные встречи и интересные решения проблем. Всё это будет, всё это впереди.</t>
        </is>
      </c>
      <c r="S2977" s="26">
        <f>HYPERLINK("http://www.cnpol.ru/covers/16733.jpg","фото на сайте")</f>
        <v/>
      </c>
    </row>
    <row r="2978" ht="50.1" customHeight="1" s="3">
      <c r="A2978" s="23" t="n"/>
      <c r="B2978" s="24" t="inlineStr">
        <is>
          <t>14506</t>
        </is>
      </c>
      <c r="C2978" s="23" t="inlineStr">
        <is>
          <t>НТ</t>
        </is>
      </c>
      <c r="D2978" s="23" t="inlineStr">
        <is>
          <t>Смит И.</t>
        </is>
      </c>
      <c r="E2978" s="23" t="inlineStr">
        <is>
          <t>Бастион Одесса</t>
        </is>
      </c>
      <c r="F2978" s="23" t="inlineStr">
        <is>
          <t>        </t>
        </is>
      </c>
      <c r="G2978" s="23" t="n">
        <v>554</v>
      </c>
      <c r="H2978" s="23" t="n">
        <v>10</v>
      </c>
      <c r="I2978" s="23" t="n">
        <v>12</v>
      </c>
      <c r="J2978" s="23" t="inlineStr">
        <is>
          <t>978-5-227-04509-6</t>
        </is>
      </c>
      <c r="K2978" s="23" t="inlineStr">
        <is>
          <t>84x108 1/32</t>
        </is>
      </c>
      <c r="L2978" s="23" t="inlineStr">
        <is>
          <t>тв</t>
        </is>
      </c>
      <c r="M2978" s="23" t="n">
        <v>382</v>
      </c>
      <c r="N2978" s="23" t="n">
        <v>2013</v>
      </c>
      <c r="O2978" s="23" t="n">
        <v>318</v>
      </c>
      <c r="P2978" s="23" t="n"/>
      <c r="Q2978" s="23" t="n"/>
      <c r="R2978" s="25" t="inlineStr">
        <is>
          <t>Наш современник-одессит втянут в магомеханическом мире Горта в противостояние с некромантами и гильдией убийц. Тихо вернуться домой не получится. Что ж, придётся немного изменить местный мир, используя знания Земли. А что? Ведь если не можешь остановить процесс, остаётся его возглавить!..</t>
        </is>
      </c>
      <c r="S2978" s="26">
        <f>HYPERLINK("http://www.cnpol.ru/covers/14506.jpg","фото на сайте")</f>
        <v/>
      </c>
    </row>
    <row r="2979" ht="50.1" customHeight="1" s="3">
      <c r="A2979" s="23" t="n"/>
      <c r="B2979" s="24" t="inlineStr">
        <is>
          <t>19896</t>
        </is>
      </c>
      <c r="C2979" s="23" t="inlineStr">
        <is>
          <t>НТ</t>
        </is>
      </c>
      <c r="D2979" s="23" t="inlineStr">
        <is>
          <t>Махавкин А.А</t>
        </is>
      </c>
      <c r="E2979" s="23" t="inlineStr">
        <is>
          <t>Бездна</t>
        </is>
      </c>
      <c r="F2979" s="23" t="inlineStr">
        <is>
          <t>        </t>
        </is>
      </c>
      <c r="G2979" s="23" t="n">
        <v>554</v>
      </c>
      <c r="H2979" s="23" t="n">
        <v>10</v>
      </c>
      <c r="I2979" s="23" t="n">
        <v>10</v>
      </c>
      <c r="J2979" s="23" t="inlineStr">
        <is>
          <t>978-5-227-09686-9</t>
        </is>
      </c>
      <c r="K2979" s="23" t="inlineStr">
        <is>
          <t>84x108 1/32</t>
        </is>
      </c>
      <c r="L2979" s="23" t="inlineStr">
        <is>
          <t>тв</t>
        </is>
      </c>
      <c r="M2979" s="23" t="n">
        <v>415</v>
      </c>
      <c r="N2979" s="23" t="n">
        <v>2021</v>
      </c>
      <c r="O2979" s="23" t="n">
        <v>330</v>
      </c>
      <c r="P2979" s="23" t="n"/>
      <c r="Q2979" s="23" t="n"/>
      <c r="R2979" s="25" t="inlineStr">
        <is>
          <t>Наладчик Джек, специалист по необычным расследованиям, взявшись за очередное дело, отправляется в отель, где проходит конференция Общества по разоблачению секретных организаций и объяснению необъяснимых явлений. А ночью в отель сквозь истончающуюся реальность проникают страшные кошмары из иного измерения...</t>
        </is>
      </c>
      <c r="S2979" s="26">
        <f>HYPERLINK("http://www.cnpol.ru/covers/19896.jpg","фото на сайте")</f>
        <v/>
      </c>
    </row>
    <row r="2980" ht="50.1" customHeight="1" s="3">
      <c r="A2980" s="23" t="n"/>
      <c r="B2980" s="24" t="inlineStr">
        <is>
          <t>12919</t>
        </is>
      </c>
      <c r="C2980" s="23" t="inlineStr">
        <is>
          <t>НТ</t>
        </is>
      </c>
      <c r="D2980" s="23" t="inlineStr">
        <is>
          <t>Шмат А.С.</t>
        </is>
      </c>
      <c r="E2980" s="23" t="inlineStr">
        <is>
          <t>Бейссел</t>
        </is>
      </c>
      <c r="F2980" s="23" t="inlineStr">
        <is>
          <t>        </t>
        </is>
      </c>
      <c r="G2980" s="23" t="n">
        <v>554</v>
      </c>
      <c r="H2980" s="23" t="n">
        <v>10</v>
      </c>
      <c r="I2980" s="23" t="n">
        <v>18</v>
      </c>
      <c r="J2980" s="23" t="inlineStr">
        <is>
          <t>978-5-227-03116-7</t>
        </is>
      </c>
      <c r="K2980" s="23" t="inlineStr">
        <is>
          <t>84x108 1/32</t>
        </is>
      </c>
      <c r="L2980" s="23" t="inlineStr">
        <is>
          <t>тв</t>
        </is>
      </c>
      <c r="M2980" s="23" t="n">
        <v>320</v>
      </c>
      <c r="N2980" s="23" t="n">
        <v>2011</v>
      </c>
      <c r="O2980" s="23" t="n">
        <v>284</v>
      </c>
      <c r="P2980" s="23" t="n"/>
      <c r="Q2980" s="23" t="n"/>
      <c r="R2980" s="25" t="inlineStr">
        <is>
          <t>Пришел в себя и ничего не помнишь? Не беда, это дело поправимо. Обнаружил, что у тебя тело черта? Что ж, бывает и хуже, ведь главное, что оно есть! Тебя вновь хотят лишить разума и ко всему ты обнаруживаешь себя не на родной планете? Похоже, пора прошвырнуться по Галактике - на инопланетян посмотреть, себя показать… Может, что интересного узнаешь… А в придачу вот вам живой разумный звездолет, разудалая команда и пси-силы!</t>
        </is>
      </c>
      <c r="S2980" s="26">
        <f>HYPERLINK("http://www.cnpol.ru/covers/12919.jpg","фото на сайте")</f>
        <v/>
      </c>
    </row>
    <row r="2981" ht="50.1" customHeight="1" s="3">
      <c r="A2981" s="23" t="n"/>
      <c r="B2981" s="24" t="inlineStr">
        <is>
          <t>17645</t>
        </is>
      </c>
      <c r="C2981" s="23" t="inlineStr">
        <is>
          <t>НТ</t>
        </is>
      </c>
      <c r="D2981" s="23" t="inlineStr">
        <is>
          <t>Поселягин В.Г</t>
        </is>
      </c>
      <c r="E2981" s="23" t="inlineStr">
        <is>
          <t>Берсерк</t>
        </is>
      </c>
      <c r="F2981" s="23" t="inlineStr">
        <is>
          <t>        </t>
        </is>
      </c>
      <c r="G2981" s="23" t="n">
        <v>554</v>
      </c>
      <c r="H2981" s="23" t="n">
        <v>10</v>
      </c>
      <c r="I2981" s="23" t="n">
        <v>14</v>
      </c>
      <c r="J2981" s="23" t="inlineStr">
        <is>
          <t>978-5-227-07697-7</t>
        </is>
      </c>
      <c r="K2981" s="23" t="inlineStr">
        <is>
          <t>84x108 1/32</t>
        </is>
      </c>
      <c r="L2981" s="23" t="inlineStr">
        <is>
          <t>тв</t>
        </is>
      </c>
      <c r="M2981" s="23" t="n">
        <v>288</v>
      </c>
      <c r="N2981" s="23" t="n">
        <v>2017</v>
      </c>
      <c r="O2981" s="23" t="n">
        <v>256</v>
      </c>
      <c r="P2981" s="23" t="n"/>
      <c r="Q2981" s="23" t="n"/>
      <c r="R2981" s="25" t="inlineStr">
        <is>
          <t>Что ожидает нас после смерти? Гипотезы выстраиваются разные, но Максим Ларин теперь знает точно: смерть — это возвращение к началу, и знает он это на собственном примере.</t>
        </is>
      </c>
      <c r="S2981" s="26">
        <f>HYPERLINK("http://www.cnpol.ru/covers/17645.jpg","фото на сайте")</f>
        <v/>
      </c>
    </row>
    <row r="2982" ht="50.1" customHeight="1" s="3">
      <c r="A2982" s="23" t="n"/>
      <c r="B2982" s="24" t="inlineStr">
        <is>
          <t>18824</t>
        </is>
      </c>
      <c r="C2982" s="23" t="inlineStr">
        <is>
          <t>НТ</t>
        </is>
      </c>
      <c r="D2982" s="23" t="inlineStr">
        <is>
          <t>Шушеньков А.</t>
        </is>
      </c>
      <c r="E2982" s="23" t="inlineStr">
        <is>
          <t>Бесконечная жизнь майора Кафкина</t>
        </is>
      </c>
      <c r="F2982" s="23" t="inlineStr">
        <is>
          <t>        </t>
        </is>
      </c>
      <c r="G2982" s="23" t="n">
        <v>554</v>
      </c>
      <c r="H2982" s="23" t="n">
        <v>10</v>
      </c>
      <c r="I2982" s="23" t="n">
        <v>14</v>
      </c>
      <c r="J2982" s="23" t="inlineStr">
        <is>
          <t>978-5-227-08822-2</t>
        </is>
      </c>
      <c r="K2982" s="23" t="inlineStr">
        <is>
          <t>84x108 1/32</t>
        </is>
      </c>
      <c r="L2982" s="23" t="inlineStr">
        <is>
          <t>тв</t>
        </is>
      </c>
      <c r="M2982" s="23" t="n">
        <v>288</v>
      </c>
      <c r="N2982" s="23" t="n">
        <v>2019</v>
      </c>
      <c r="O2982" s="23" t="n">
        <v>252</v>
      </c>
      <c r="P2982" s="23" t="n"/>
      <c r="Q2982" s="23" t="n"/>
      <c r="R2982" s="25" t="inlineStr">
        <is>
          <t>Отставной майор стройбата Кафкин хотел заниматься огородничеством, а не путешествовать в различных ипостасях верхом на стреле времени. Но Судьба­злодейка, еще и через черную дыру, бросила его из Будущего в параллельную Вселенную! Зачем? Ловить на Ямайке беглого олигарха… А оттуда — в первоначальный образ отставника засунула, чтобы вновь отведать гималайский эликсир и вступить на бесконечные круги бессмертия!</t>
        </is>
      </c>
      <c r="S2982" s="26">
        <f>HYPERLINK("http://www.cnpol.ru/covers/18824.jpg","фото на сайте")</f>
        <v/>
      </c>
    </row>
    <row r="2983" ht="50.1" customHeight="1" s="3">
      <c r="A2983" s="23" t="n"/>
      <c r="B2983" s="24" t="inlineStr">
        <is>
          <t>12620</t>
        </is>
      </c>
      <c r="C2983" s="23" t="inlineStr">
        <is>
          <t>НТ</t>
        </is>
      </c>
      <c r="D2983" s="23" t="inlineStr">
        <is>
          <t>Райн Ю.</t>
        </is>
      </c>
      <c r="E2983" s="23" t="inlineStr">
        <is>
          <t>Бестиарий спального района</t>
        </is>
      </c>
      <c r="F2983" s="23" t="inlineStr">
        <is>
          <t>        </t>
        </is>
      </c>
      <c r="G2983" s="23" t="n">
        <v>554</v>
      </c>
      <c r="H2983" s="23" t="n">
        <v>10</v>
      </c>
      <c r="I2983" s="23" t="n">
        <v>16</v>
      </c>
      <c r="J2983" s="23" t="inlineStr">
        <is>
          <t>978-5-227-02783-2</t>
        </is>
      </c>
      <c r="K2983" s="23" t="inlineStr">
        <is>
          <t>84x108 1/32</t>
        </is>
      </c>
      <c r="L2983" s="23" t="inlineStr">
        <is>
          <t>тв</t>
        </is>
      </c>
      <c r="M2983" s="23" t="n">
        <v>319</v>
      </c>
      <c r="N2983" s="23" t="n">
        <v>2011</v>
      </c>
      <c r="O2983" s="23" t="n">
        <v>264</v>
      </c>
      <c r="P2983" s="23" t="n"/>
      <c r="Q2983" s="23" t="n"/>
      <c r="R2983" s="25" t="inlineStr">
        <is>
          <t>Обычный спальный район огромного города. Гастарбайтеры метут двор, мент привычно собирает дань, сантехник починяет трубы. Вроде бы заурядные жители окраины большого города. Для нас — людей. А друг для друга они джинн, утерявший мощь, шиш, утопленник. Настанет день — и сойдутся они вместе, чтобы вернуть джинну его страшную силу.</t>
        </is>
      </c>
      <c r="S2983" s="26">
        <f>HYPERLINK("http://www.cnpol.ru/covers/12620.jpg","фото на сайте")</f>
        <v/>
      </c>
    </row>
    <row r="2984" ht="50.1" customHeight="1" s="3">
      <c r="A2984" s="23" t="n"/>
      <c r="B2984" s="24" t="inlineStr">
        <is>
          <t>12150</t>
        </is>
      </c>
      <c r="C2984" s="23" t="inlineStr">
        <is>
          <t>НТ</t>
        </is>
      </c>
      <c r="D2984" s="23" t="inlineStr">
        <is>
          <t>Чужин И.А.</t>
        </is>
      </c>
      <c r="E2984" s="23" t="inlineStr">
        <is>
          <t>Битва за Танол</t>
        </is>
      </c>
      <c r="F2984" s="23" t="inlineStr">
        <is>
          <t>        </t>
        </is>
      </c>
      <c r="G2984" s="23" t="n">
        <v>554</v>
      </c>
      <c r="H2984" s="23" t="n">
        <v>10</v>
      </c>
      <c r="I2984" s="23" t="n">
        <v>16</v>
      </c>
      <c r="J2984" s="23" t="inlineStr">
        <is>
          <t>978-5-227-02284-4</t>
        </is>
      </c>
      <c r="K2984" s="23" t="inlineStr">
        <is>
          <t>84x108 1/32</t>
        </is>
      </c>
      <c r="L2984" s="23" t="inlineStr">
        <is>
          <t>тв</t>
        </is>
      </c>
      <c r="M2984" s="23" t="n">
        <v>351</v>
      </c>
      <c r="N2984" s="23" t="n">
        <v>2010</v>
      </c>
      <c r="O2984" s="23" t="n">
        <v>312</v>
      </c>
      <c r="P2984" s="23" t="n"/>
      <c r="Q2984" s="23" t="n"/>
      <c r="R2984" s="25" t="inlineStr">
        <is>
          <t>"Встав во главе клана хуманов, простой парень Игорь Столяров превратился в могучего воина и мага, которому нет равных под небом Геона, и теперь его называют князем Ингаром. Принцесса Викана ждет своего суженого в мрачном монастыре на далеком острове, а на Таноле — родине хуманов идет страшная битва на уничтожение.
Снова сердце Ингара разрывается между любовью и долгом. Сумеет ли он встретиться с любимой и спасти свой народ от гибели? Для князя Ингара, кажется, нет невозможного — он соединяет геонскую магию с земными знаниями, спасая друзей. Победа уже близка, но судьба вновь преподносит кровавые сюрпризы.
"</t>
        </is>
      </c>
      <c r="S2984" s="26">
        <f>HYPERLINK("http://www.cnpol.ru/covers/12150.jpg","фото на сайте")</f>
        <v/>
      </c>
    </row>
    <row r="2985" ht="50.1" customHeight="1" s="3">
      <c r="A2985" s="23" t="n"/>
      <c r="B2985" s="24" t="inlineStr">
        <is>
          <t>18434</t>
        </is>
      </c>
      <c r="C2985" s="23" t="inlineStr">
        <is>
          <t>НТ</t>
        </is>
      </c>
      <c r="D2985" s="23" t="inlineStr">
        <is>
          <t>Крапивко К.</t>
        </is>
      </c>
      <c r="E2985" s="23" t="inlineStr">
        <is>
          <t>Бог пива</t>
        </is>
      </c>
      <c r="F2985" s="23" t="inlineStr">
        <is>
          <t>        </t>
        </is>
      </c>
      <c r="G2985" s="23" t="n">
        <v>554</v>
      </c>
      <c r="H2985" s="23" t="n">
        <v>10</v>
      </c>
      <c r="I2985" s="23" t="n">
        <v>14</v>
      </c>
      <c r="J2985" s="23" t="inlineStr">
        <is>
          <t>978-5-227-08432-3</t>
        </is>
      </c>
      <c r="K2985" s="23" t="inlineStr">
        <is>
          <t>84x108 1/32</t>
        </is>
      </c>
      <c r="L2985" s="23" t="inlineStr">
        <is>
          <t>тв</t>
        </is>
      </c>
      <c r="M2985" s="23" t="n">
        <v>288</v>
      </c>
      <c r="N2985" s="23" t="n">
        <v>2018</v>
      </c>
      <c r="O2985" s="23" t="n">
        <v>254</v>
      </c>
      <c r="P2985" s="23" t="n"/>
      <c r="Q2985" s="23" t="n"/>
      <c r="R2985" s="25" t="inlineStr">
        <is>
          <t>Со старинными рукописями надо обращаться осторожно! Ведущий разработчик популярной компьютерной игры «Кольцо миров», разумеется, знал об этом, но допустил ошибку. Теперь ему предстоит путешествие в другой мир и встречи с необычными существами: языческими богами, демонами, драконами и, разумеется, с самыми странными из всех — с людьми… Герою необходимо выжить и вернуться домой, используя возможности таинственного изначального языка. Впрочем, ему повезло – на своем пути он встретил бога пива…</t>
        </is>
      </c>
      <c r="S2985" s="26">
        <f>HYPERLINK("http://www.cnpol.ru/covers/18434.jpg","фото на сайте")</f>
        <v/>
      </c>
    </row>
    <row r="2986" ht="50.1" customHeight="1" s="3">
      <c r="A2986" s="23" t="n"/>
      <c r="B2986" s="24" t="inlineStr">
        <is>
          <t>16975</t>
        </is>
      </c>
      <c r="C2986" s="23" t="inlineStr">
        <is>
          <t>НТ</t>
        </is>
      </c>
      <c r="D2986" s="23" t="inlineStr">
        <is>
          <t>Сахаров В.И.</t>
        </is>
      </c>
      <c r="E2986" s="23" t="inlineStr">
        <is>
          <t>Большой погром</t>
        </is>
      </c>
      <c r="F2986" s="23" t="inlineStr">
        <is>
          <t>        </t>
        </is>
      </c>
      <c r="G2986" s="23" t="n">
        <v>554</v>
      </c>
      <c r="H2986" s="23" t="n">
        <v>10</v>
      </c>
      <c r="I2986" s="23" t="n">
        <v>12</v>
      </c>
      <c r="J2986" s="23" t="inlineStr">
        <is>
          <t>978-5-227-07059-3</t>
        </is>
      </c>
      <c r="K2986" s="23" t="inlineStr">
        <is>
          <t>84x108 1/32</t>
        </is>
      </c>
      <c r="L2986" s="23" t="inlineStr">
        <is>
          <t>тв</t>
        </is>
      </c>
      <c r="M2986" s="23" t="n">
        <v>352</v>
      </c>
      <c r="N2986" s="23" t="n">
        <v>2016</v>
      </c>
      <c r="O2986" s="23" t="n">
        <v>288</v>
      </c>
      <c r="P2986" s="23" t="n"/>
      <c r="Q2986" s="23" t="n"/>
      <c r="R2986" s="25" t="inlineStr">
        <is>
          <t>Война продолжается. Вновь католики собирают огромные армии крестоносцев и пытаются разгромить Венедский союз. Снова горят города и вытаптываются посевы, плачут женщины и дети, а мужчины с оружием в руках встречают врагов и погибают в сражениях. Чтобы выстоять, венедам нужна помощь союзников, и витязь Вадим Сокол приводит из степей половцев и чёрных клобуков, а с берегов Днепра — русских дружинников. Карающий меч возмездия обрушивается на Польшу и Священную Римскую империю. Войска противоборствующих сторон сталкиваются, и начинается битва, которая определит — жить венедам на своих землях или бежать.</t>
        </is>
      </c>
      <c r="S2986" s="26">
        <f>HYPERLINK("http://www.cnpol.ru/covers/16975.jpg","фото на сайте")</f>
        <v/>
      </c>
    </row>
    <row r="2987" ht="50.1" customHeight="1" s="3">
      <c r="A2987" s="23" t="n"/>
      <c r="B2987" s="24" t="inlineStr">
        <is>
          <t>17792</t>
        </is>
      </c>
      <c r="C2987" s="23" t="inlineStr">
        <is>
          <t>НТ</t>
        </is>
      </c>
      <c r="D2987" s="23" t="inlineStr">
        <is>
          <t>Поселягин В.Г</t>
        </is>
      </c>
      <c r="E2987" s="23" t="inlineStr">
        <is>
          <t>Братишка</t>
        </is>
      </c>
      <c r="F2987" s="23" t="inlineStr">
        <is>
          <t>        </t>
        </is>
      </c>
      <c r="G2987" s="23" t="n">
        <v>554</v>
      </c>
      <c r="H2987" s="23" t="n">
        <v>10</v>
      </c>
      <c r="I2987" s="23" t="n">
        <v>14</v>
      </c>
      <c r="J2987" s="23" t="inlineStr">
        <is>
          <t>978-5-227-07775-2</t>
        </is>
      </c>
      <c r="K2987" s="23" t="inlineStr">
        <is>
          <t>84x108 1/32</t>
        </is>
      </c>
      <c r="L2987" s="23" t="inlineStr">
        <is>
          <t>тв</t>
        </is>
      </c>
      <c r="M2987" s="23" t="n">
        <v>288</v>
      </c>
      <c r="N2987" s="23" t="n">
        <v>2017</v>
      </c>
      <c r="O2987" s="23" t="n">
        <v>258</v>
      </c>
      <c r="P2987" s="23" t="n"/>
      <c r="Q2987" s="23" t="n"/>
      <c r="R2987" s="25" t="inlineStr">
        <is>
          <t>Война - страшное дело, очень страшное, но, как известно, победа куётся в тылу. Тыл, казалось бы, такой надёжный, но тыл для семьи Сашки - это он сам, поэтому оставить надолго своих младших братишек и сестрёнок он просто не мог, являясь надёжной опорой для матери. Но ведь так хочется на передовую, на фронт. Однако и в тылу свой фронт.</t>
        </is>
      </c>
      <c r="S2987" s="26">
        <f>HYPERLINK("http://www.cnpol.ru/covers/17792.jpg","фото на сайте")</f>
        <v/>
      </c>
    </row>
    <row r="2988" ht="50.1" customHeight="1" s="3">
      <c r="A2988" s="23" t="n"/>
      <c r="B2988" s="24" t="inlineStr">
        <is>
          <t>18231</t>
        </is>
      </c>
      <c r="C2988" s="23" t="inlineStr">
        <is>
          <t>НТ</t>
        </is>
      </c>
      <c r="D2988" s="23" t="inlineStr">
        <is>
          <t>Поселягин В.Г</t>
        </is>
      </c>
      <c r="E2988" s="23" t="inlineStr">
        <is>
          <t>Бродяга</t>
        </is>
      </c>
      <c r="F2988" s="23" t="inlineStr">
        <is>
          <t>        </t>
        </is>
      </c>
      <c r="G2988" s="23" t="n">
        <v>554</v>
      </c>
      <c r="H2988" s="23" t="n">
        <v>10</v>
      </c>
      <c r="I2988" s="23" t="n">
        <v>14</v>
      </c>
      <c r="J2988" s="23" t="inlineStr">
        <is>
          <t>978-5-227-08321-0</t>
        </is>
      </c>
      <c r="K2988" s="23" t="inlineStr">
        <is>
          <t>84x108 1/32</t>
        </is>
      </c>
      <c r="L2988" s="23" t="inlineStr">
        <is>
          <t>тв</t>
        </is>
      </c>
      <c r="M2988" s="23" t="n">
        <v>288</v>
      </c>
      <c r="N2988" s="23" t="n">
        <v>2018</v>
      </c>
      <c r="O2988" s="23" t="n">
        <v>258</v>
      </c>
      <c r="P2988" s="23" t="n"/>
      <c r="Q2988" s="23" t="n"/>
      <c r="R2988" s="25" t="inlineStr">
        <is>
          <t>В этот раз Борису повезло, хотя тут мнение спорное: он оказался на Земле в своём старом теле. Однако возникла проблема уже выживания на родной планете, и теперь предстоит поиск возможности вернуться на Хлою. Но стоит лишь один вопрос: а был ли он на самом деле в том мире или это бред его воображения, затуманенный множеством электроразрядов при аварии в машине времени? Будущее не предопределено.</t>
        </is>
      </c>
      <c r="S2988" s="26">
        <f>HYPERLINK("http://www.cnpol.ru/covers/18231.jpg","фото на сайте")</f>
        <v/>
      </c>
    </row>
    <row r="2989" ht="50.1" customHeight="1" s="3">
      <c r="A2989" s="23" t="n"/>
      <c r="B2989" s="24" t="inlineStr">
        <is>
          <t>18027</t>
        </is>
      </c>
      <c r="C2989" s="23" t="inlineStr">
        <is>
          <t>НТ</t>
        </is>
      </c>
      <c r="D2989" s="23" t="inlineStr">
        <is>
          <t>Кувайкова А.А.</t>
        </is>
      </c>
      <c r="E2989" s="23" t="inlineStr">
        <is>
          <t>В ловушке сна: Маранта</t>
        </is>
      </c>
      <c r="F2989" s="23" t="inlineStr">
        <is>
          <t>        </t>
        </is>
      </c>
      <c r="G2989" s="23" t="n">
        <v>554</v>
      </c>
      <c r="H2989" s="23" t="n">
        <v>10</v>
      </c>
      <c r="I2989" s="23" t="n">
        <v>12</v>
      </c>
      <c r="J2989" s="23" t="inlineStr">
        <is>
          <t>978-5-227-08116-2</t>
        </is>
      </c>
      <c r="K2989" s="23" t="inlineStr">
        <is>
          <t>84x108 1/32</t>
        </is>
      </c>
      <c r="L2989" s="23" t="inlineStr">
        <is>
          <t>тв</t>
        </is>
      </c>
      <c r="M2989" s="23" t="n">
        <v>384</v>
      </c>
      <c r="N2989" s="23" t="n">
        <v>2018</v>
      </c>
      <c r="O2989" s="23" t="n">
        <v>302</v>
      </c>
      <c r="P2989" s="23" t="n"/>
      <c r="Q2989" s="23" t="n"/>
      <c r="R2989" s="25" t="inlineStr">
        <is>
          <t>Хеллоуин... Что это: старинный языческий праздник или повод для масштабной гулянки? Карина, обычная современная девушка, не раздумывая, выбрала второй вариант, даже не догадываясь, что эта ночь станет решающей в её судьбе. Но почему именно она вдруг оказалась в чужом теле и в чуждом ей мире? Какую цель преследовала загадочная Ловец и, в конце концов, как девушке вернуться обратно? И что делать, если платой за заветный билетик домой станет... жизнь другого человека?</t>
        </is>
      </c>
      <c r="S2989" s="26">
        <f>HYPERLINK("http://www.cnpol.ru/covers/18027.jpg","фото на сайте")</f>
        <v/>
      </c>
    </row>
    <row r="2990" ht="50.1" customHeight="1" s="3">
      <c r="A2990" s="23" t="n"/>
      <c r="B2990" s="24" t="inlineStr">
        <is>
          <t>15800</t>
        </is>
      </c>
      <c r="C2990" s="23" t="inlineStr">
        <is>
          <t>НТ</t>
        </is>
      </c>
      <c r="D2990" s="23" t="inlineStr">
        <is>
          <t>Комаров А.</t>
        </is>
      </c>
      <c r="E2990" s="23" t="inlineStr">
        <is>
          <t>В поисках истины</t>
        </is>
      </c>
      <c r="F2990" s="23" t="inlineStr">
        <is>
          <t>        </t>
        </is>
      </c>
      <c r="G2990" s="23" t="n">
        <v>554</v>
      </c>
      <c r="H2990" s="23" t="n">
        <v>10</v>
      </c>
      <c r="I2990" s="23" t="n">
        <v>12</v>
      </c>
      <c r="J2990" s="23" t="inlineStr">
        <is>
          <t>978-5-227-05706-8</t>
        </is>
      </c>
      <c r="K2990" s="23" t="inlineStr">
        <is>
          <t>84x108 1/32</t>
        </is>
      </c>
      <c r="L2990" s="23" t="inlineStr">
        <is>
          <t>тв</t>
        </is>
      </c>
      <c r="M2990" s="23" t="n">
        <v>350</v>
      </c>
      <c r="N2990" s="23" t="n">
        <v>2015</v>
      </c>
      <c r="O2990" s="23" t="n">
        <v>286</v>
      </c>
      <c r="P2990" s="23" t="n"/>
      <c r="Q2990" s="23" t="n"/>
      <c r="R2990" s="25" t="inlineStr">
        <is>
          <t>На безымянной планете фронтира подходит к концу экспериментальная программа ментального развития. Успех команды энтузиастов приходится не по вкусу влиятельным силам одного из ведущих государств галактики. Казалось бы, внезапное нападение пиратов окончательно уничтожает горстку учёных, посмевших встать на пути интересов крупнейших корпораций. Но в живых остаётся сын номинального лидера колонии. Юноша не желает забывать о случившемся, ведя собственное расследование... На фоне тревож­ных событий внутри альянса разумных рас свою игру начинает совершенно непредсказуемая фигура...</t>
        </is>
      </c>
      <c r="S2990" s="26">
        <f>HYPERLINK("http://www.cnpol.ru/covers/15800.jpg","фото на сайте")</f>
        <v/>
      </c>
    </row>
    <row r="2991" ht="50.1" customHeight="1" s="3">
      <c r="A2991" s="23" t="n"/>
      <c r="B2991" s="24" t="inlineStr">
        <is>
          <t>19451</t>
        </is>
      </c>
      <c r="C2991" s="23" t="inlineStr">
        <is>
          <t>НТ</t>
        </is>
      </c>
      <c r="D2991" s="23" t="inlineStr">
        <is>
          <t>Никитин Е.С</t>
        </is>
      </c>
      <c r="E2991" s="23" t="inlineStr">
        <is>
          <t>В тени экватора</t>
        </is>
      </c>
      <c r="F2991" s="23" t="inlineStr">
        <is>
          <t>        </t>
        </is>
      </c>
      <c r="G2991" s="23" t="n">
        <v>554</v>
      </c>
      <c r="H2991" s="23" t="n">
        <v>10</v>
      </c>
      <c r="I2991" s="23" t="n">
        <v>14</v>
      </c>
      <c r="J2991" s="23" t="inlineStr">
        <is>
          <t>978-5-227-09342-4</t>
        </is>
      </c>
      <c r="K2991" s="23" t="inlineStr">
        <is>
          <t>84x108 1/32</t>
        </is>
      </c>
      <c r="L2991" s="23" t="inlineStr">
        <is>
          <t>тв</t>
        </is>
      </c>
      <c r="M2991" s="23" t="n">
        <v>287</v>
      </c>
      <c r="N2991" s="23" t="n">
        <v>2021</v>
      </c>
      <c r="O2991" s="23" t="n">
        <v>270</v>
      </c>
      <c r="P2991" s="23" t="n"/>
      <c r="Q2991" s="23" t="n"/>
      <c r="R2991" s="25" t="inlineStr">
        <is>
          <t>В центре тропической Африки, в бассейне реки Конго, таится загадочное Ликвальское болото. Оно скрыто от посторонних глаз густым покровом непроходимых джунглей. Еще ни одному европейцу, ни одной экспедиции, отправившейся туда, не удалось вернуться назад. По слухам, там водятся динозавры, а инопланетные цивилизации создали свою базу. Лишь Михаилу Кремневу, молодому военному переводчику, угодившего в Ликвальское болото после авиакатастрофы, спустя два года удалось вернуться. Какую тайну хранят в себе эти места, как удалось Михаилу уцелеть в африканских джунглях? Какие приключения он пережил?</t>
        </is>
      </c>
      <c r="S2991" s="26">
        <f>HYPERLINK("http://www.cnpol.ru/covers/19451.jpg","фото на сайте")</f>
        <v/>
      </c>
    </row>
    <row r="2992" ht="50.1" customHeight="1" s="3">
      <c r="A2992" s="23" t="n"/>
      <c r="B2992" s="24" t="inlineStr">
        <is>
          <t>17534</t>
        </is>
      </c>
      <c r="C2992" s="23" t="inlineStr">
        <is>
          <t>НТ</t>
        </is>
      </c>
      <c r="D2992" s="23" t="inlineStr">
        <is>
          <t>Поселягин В.Г</t>
        </is>
      </c>
      <c r="E2992" s="23" t="inlineStr">
        <is>
          <t>Варяг</t>
        </is>
      </c>
      <c r="F2992" s="23" t="inlineStr">
        <is>
          <t>        </t>
        </is>
      </c>
      <c r="G2992" s="23" t="n">
        <v>554</v>
      </c>
      <c r="H2992" s="23" t="n">
        <v>10</v>
      </c>
      <c r="I2992" s="23" t="n">
        <v>14</v>
      </c>
      <c r="J2992" s="23" t="inlineStr">
        <is>
          <t>978-5-227-07606-9</t>
        </is>
      </c>
      <c r="K2992" s="23" t="inlineStr">
        <is>
          <t>84x108 1/32</t>
        </is>
      </c>
      <c r="L2992" s="23" t="inlineStr">
        <is>
          <t>тв</t>
        </is>
      </c>
      <c r="M2992" s="23" t="n">
        <v>288</v>
      </c>
      <c r="N2992" s="23" t="n">
        <v>2017</v>
      </c>
      <c r="O2992" s="23" t="n">
        <v>254</v>
      </c>
      <c r="P2992" s="23" t="n"/>
      <c r="Q2992" s="23" t="n"/>
      <c r="R2992" s="25" t="inlineStr">
        <is>
          <t>Снова свобода и впереди снова приключения. В этот раз Максим Ларин оказался в старой Индии, а потом и в Древней Руси. Встречи с пиратами, бои на море и на суше, а также увлекательные путешествия — вот что его ждёт, но самое интересное будет в конце пути…</t>
        </is>
      </c>
      <c r="S2992" s="26">
        <f>HYPERLINK("http://www.cnpol.ru/covers/17534.jpg","фото на сайте")</f>
        <v/>
      </c>
    </row>
    <row r="2993" ht="50.1" customHeight="1" s="3">
      <c r="A2993" s="23" t="n"/>
      <c r="B2993" s="24" t="inlineStr">
        <is>
          <t>16911</t>
        </is>
      </c>
      <c r="C2993" s="23" t="inlineStr">
        <is>
          <t>НТ</t>
        </is>
      </c>
      <c r="D2993" s="23" t="inlineStr">
        <is>
          <t>Сахаров В.И.</t>
        </is>
      </c>
      <c r="E2993" s="23" t="inlineStr">
        <is>
          <t>Ведун</t>
        </is>
      </c>
      <c r="F2993" s="23" t="inlineStr">
        <is>
          <t>        </t>
        </is>
      </c>
      <c r="G2993" s="23" t="n">
        <v>554</v>
      </c>
      <c r="H2993" s="23" t="n">
        <v>10</v>
      </c>
      <c r="I2993" s="23" t="n">
        <v>10</v>
      </c>
      <c r="J2993" s="23" t="inlineStr">
        <is>
          <t>978-5-227-06279-6</t>
        </is>
      </c>
      <c r="K2993" s="23" t="inlineStr">
        <is>
          <t>84x108 1/32</t>
        </is>
      </c>
      <c r="L2993" s="23" t="inlineStr">
        <is>
          <t>тв</t>
        </is>
      </c>
      <c r="M2993" s="23" t="n">
        <v>320</v>
      </c>
      <c r="N2993" s="23" t="n">
        <v>2016</v>
      </c>
      <c r="O2993" s="23" t="n">
        <v>256</v>
      </c>
      <c r="P2993" s="23" t="n"/>
      <c r="Q2993" s="23" t="n"/>
      <c r="R2993" s="25" t="inlineStr">
        <is>
          <t>Он был никому не нужным инвалидом, которому казалось, что жизнь его подходит к финалу. Но судьба даровала ему второй шанс начать всё с начала, и отставной офицер ФСБ Вадим Соколов оказывается в прошлом. Двенадцатый век. Он снова молод и силён. Однако куда направиться, и что он должен делать? Можно стать первооткрывателем и воином, купцом и феодалом. Но Сокол выбирает иной путь и становится ведуном, предназначение которого — остановить Крестовый поход против славян и разгромить врагов своего народа. Причём не просто выкопать могилу для крестоносцев, а повернуть вспять весь исторический процесс и дать возможность тем, кого считаешь своими, с меньшими потерями пережить Ночь Сварога.</t>
        </is>
      </c>
      <c r="S2993" s="26">
        <f>HYPERLINK("http://www.cnpol.ru/covers/16911.jpg","фото на сайте")</f>
        <v/>
      </c>
    </row>
    <row r="2994" ht="50.1" customHeight="1" s="3">
      <c r="A2994" s="23" t="n"/>
      <c r="B2994" s="24" t="inlineStr">
        <is>
          <t>18401</t>
        </is>
      </c>
      <c r="C2994" s="23" t="inlineStr">
        <is>
          <t>НТ</t>
        </is>
      </c>
      <c r="D2994" s="23" t="inlineStr">
        <is>
          <t>Неклюдов В.</t>
        </is>
      </c>
      <c r="E2994" s="23" t="inlineStr">
        <is>
          <t>Вектор силы</t>
        </is>
      </c>
      <c r="F2994" s="23" t="inlineStr">
        <is>
          <t>        </t>
        </is>
      </c>
      <c r="G2994" s="23" t="n">
        <v>554</v>
      </c>
      <c r="H2994" s="23" t="n">
        <v>10</v>
      </c>
      <c r="I2994" s="23" t="n">
        <v>10</v>
      </c>
      <c r="J2994" s="23" t="inlineStr">
        <is>
          <t>978-5-227-08405-7</t>
        </is>
      </c>
      <c r="K2994" s="23" t="inlineStr">
        <is>
          <t>84x108 1/32</t>
        </is>
      </c>
      <c r="L2994" s="23" t="inlineStr">
        <is>
          <t>тв</t>
        </is>
      </c>
      <c r="M2994" s="23" t="n">
        <v>448</v>
      </c>
      <c r="N2994" s="23" t="n">
        <v>2018</v>
      </c>
      <c r="O2994" s="23" t="n">
        <v>350</v>
      </c>
      <c r="P2994" s="23" t="n"/>
      <c r="Q2994" s="23" t="n"/>
      <c r="R2994" s="25" t="inlineStr">
        <is>
          <t>Казалось бы, все дела сделаны, неприятности закончились, финансовые проблемы остались в прошлом, и вам дали полтора месяца отпуска. Разглядывая старые фотографии, вы решаете слетать на свою родную Землю, к друзьям, живущим в другой стране. Но кто мог предположить, что по пути вам придётся спасать американское рыболовное судно, попавшее в страшный шторм. И природные катаклизмы сыграют очередную шутку именно с вами. Без искусственного интеллекта, практически без защитных артефактов и оружия вас забросит через спонтанный портал неизвестно куда. Возможно, вам придётся пройти десятки миров, чтобы вернуться домой. Но хватит ли сил, здоровья и удачи, чтобы не пропасть в бурном водовороте событий далёких и не всегда дружелюбных к пришельцам цивилизаций?</t>
        </is>
      </c>
      <c r="S2994" s="26">
        <f>HYPERLINK("http://www.cnpol.ru/covers/18401.jpg","фото на сайте")</f>
        <v/>
      </c>
    </row>
    <row r="2995" ht="50.1" customHeight="1" s="3">
      <c r="A2995" s="23" t="n"/>
      <c r="B2995" s="24" t="inlineStr">
        <is>
          <t>12746</t>
        </is>
      </c>
      <c r="C2995" s="23" t="inlineStr">
        <is>
          <t>НТ</t>
        </is>
      </c>
      <c r="D2995" s="23" t="inlineStr">
        <is>
          <t>Абельс Ж.</t>
        </is>
      </c>
      <c r="E2995" s="23" t="inlineStr">
        <is>
          <t>Великая звезда мироздания</t>
        </is>
      </c>
      <c r="F2995" s="23" t="inlineStr">
        <is>
          <t>        </t>
        </is>
      </c>
      <c r="G2995" s="23" t="n">
        <v>554</v>
      </c>
      <c r="H2995" s="23" t="n">
        <v>10</v>
      </c>
      <c r="I2995" s="23" t="n">
        <v>14</v>
      </c>
      <c r="J2995" s="23" t="inlineStr">
        <is>
          <t>978-5-227-02814-3</t>
        </is>
      </c>
      <c r="K2995" s="23" t="inlineStr">
        <is>
          <t>84x108 1/32</t>
        </is>
      </c>
      <c r="L2995" s="23" t="inlineStr">
        <is>
          <t>тв</t>
        </is>
      </c>
      <c r="M2995" s="23" t="n">
        <v>319</v>
      </c>
      <c r="N2995" s="23" t="n">
        <v>2011</v>
      </c>
      <c r="O2995" s="23" t="n">
        <v>276</v>
      </c>
      <c r="P2995" s="23" t="n"/>
      <c r="Q2995" s="23" t="n"/>
      <c r="R2995" s="25" t="inlineStr">
        <is>
          <t>Митяй стал демиургом и, вернувшись на Землю, уже успел многое сделать для своей планеты и, главное, для Матери-Земли. Теперь перед ним стоит другая, куда более сложная задача — сразиться с чёрными демиургами, постоянно атакующими Мегавселенную. Он уже подготовил отряд прекрасных бойцов, но понимает, что этого мало. Чтобы усилить их, он создаёт новый центр подготовки и с помощью Матери-Земли воскрешает бывшего преступника, который становится её Хранителем и помощником Митяя. Вместе они передают отряду воинов-демиургов новые знания и вскоре отправляются за переделы мироздания. Как и подозревал юный демиург, на самом деле всё происходит совсем не так, как представлялось очень многим его соратникам. За пределами Мегавселенной они находят новых друзей и совместными усилиями не только отражают непрекращающуюся миллиарды лет атаку Тьмы, но и снимают осаду с множества других Мегавселенных. И снова перед Митяем встают новые задачи, самой главной из которых остаётся борьба с чёрными демиургами, но вначале он вместе с множеством друзей-демиургов решает другие, куда более неотложные...</t>
        </is>
      </c>
      <c r="S2995" s="26">
        <f>HYPERLINK("http://www.cnpol.ru/covers/12746.jpg","фото на сайте")</f>
        <v/>
      </c>
    </row>
    <row r="2996" ht="50.1" customHeight="1" s="3">
      <c r="A2996" s="23" t="n"/>
      <c r="B2996" s="24" t="inlineStr">
        <is>
          <t>19170</t>
        </is>
      </c>
      <c r="C2996" s="23" t="inlineStr">
        <is>
          <t>НТ</t>
        </is>
      </c>
      <c r="D2996" s="23" t="inlineStr">
        <is>
          <t>Соловей Д.</t>
        </is>
      </c>
      <c r="E2996" s="23" t="inlineStr">
        <is>
          <t>Вернуть или вернуться?</t>
        </is>
      </c>
      <c r="F2996" s="23" t="inlineStr">
        <is>
          <t>        </t>
        </is>
      </c>
      <c r="G2996" s="23" t="n">
        <v>554</v>
      </c>
      <c r="H2996" s="23" t="n">
        <v>10</v>
      </c>
      <c r="I2996" s="23" t="n">
        <v>14</v>
      </c>
      <c r="J2996" s="23" t="inlineStr">
        <is>
          <t>978-5-227-09098-0</t>
        </is>
      </c>
      <c r="K2996" s="23" t="inlineStr">
        <is>
          <t>84x108 1/32</t>
        </is>
      </c>
      <c r="L2996" s="23" t="inlineStr">
        <is>
          <t>тв</t>
        </is>
      </c>
      <c r="M2996" s="23" t="n">
        <v>320</v>
      </c>
      <c r="N2996" s="23" t="n">
        <v>2020</v>
      </c>
      <c r="O2996" s="23" t="n">
        <v>274</v>
      </c>
      <c r="P2996" s="23" t="n"/>
      <c r="Q2996" s="23" t="n"/>
      <c r="R2996" s="25" t="inlineStr">
        <is>
          <t>Россия. Конец XIX века. Не гремят ещё революции, жив Александр III, Лев Толстой уже написал «Войну и мир», а Рудольф Дизель ещё не запатентовал свой двигатель... Главный герой, поддавшись на уговоры друга, покупает дом в старой части Краснодара и… открывает временной портал в 1887 год. До Октябрьской революции ещё тридцать лет. Есть время что­то изменить в истории…</t>
        </is>
      </c>
      <c r="S2996" s="26">
        <f>HYPERLINK("http://www.cnpol.ru/covers/19170.jpg","фото на сайте")</f>
        <v/>
      </c>
    </row>
    <row r="2997" ht="50.1" customHeight="1" s="3">
      <c r="A2997" s="23" t="n"/>
      <c r="B2997" s="24" t="inlineStr">
        <is>
          <t>18487</t>
        </is>
      </c>
      <c r="C2997" s="23" t="inlineStr">
        <is>
          <t>НТ</t>
        </is>
      </c>
      <c r="D2997" s="23" t="inlineStr">
        <is>
          <t>Евтушенко А.</t>
        </is>
      </c>
      <c r="E2997" s="23" t="inlineStr">
        <is>
          <t>Вечная кровь</t>
        </is>
      </c>
      <c r="F2997" s="23" t="inlineStr">
        <is>
          <t>        </t>
        </is>
      </c>
      <c r="G2997" s="23" t="n">
        <v>554</v>
      </c>
      <c r="H2997" s="23" t="n">
        <v>10</v>
      </c>
      <c r="I2997" s="23" t="n">
        <v>14</v>
      </c>
      <c r="J2997" s="23" t="inlineStr">
        <is>
          <t>978-5-227-08505-4</t>
        </is>
      </c>
      <c r="K2997" s="23" t="inlineStr">
        <is>
          <t>84x108 1/32</t>
        </is>
      </c>
      <c r="L2997" s="23" t="inlineStr">
        <is>
          <t>тв</t>
        </is>
      </c>
      <c r="M2997" s="23" t="n">
        <v>320</v>
      </c>
      <c r="N2997" s="23" t="n">
        <v>2019</v>
      </c>
      <c r="O2997" s="23" t="n">
        <v>272</v>
      </c>
      <c r="P2997" s="23" t="n"/>
      <c r="Q2997" s="23" t="n"/>
      <c r="R2997" s="25" t="inlineStr">
        <is>
          <t>Частным сыщикам Андрею Сыскарю и Ирине Москвитиной из нашего времени, а также охотнику за нечистью Симаю Удаче из 1722 года и репортеру газеты  «Вечерние известия» из Российской империи 1910 года предстоит разгадать тайну перехода в другое измерение и вступить в схватку со Злом, рожденным еще во времена легендарной Атлантиды. И все это в удивительном городе, которого нет ни на одной карте мира.</t>
        </is>
      </c>
      <c r="S2997" s="26">
        <f>HYPERLINK("http://www.cnpol.ru/covers/18487.jpg","фото на сайте")</f>
        <v/>
      </c>
    </row>
    <row r="2998" ht="50.1" customHeight="1" s="3">
      <c r="A2998" s="23" t="n"/>
      <c r="B2998" s="24" t="inlineStr">
        <is>
          <t>16596</t>
        </is>
      </c>
      <c r="C2998" s="23" t="inlineStr">
        <is>
          <t>НТ</t>
        </is>
      </c>
      <c r="D2998" s="23" t="inlineStr">
        <is>
          <t>Колесник Л., Нестерова Н.</t>
        </is>
      </c>
      <c r="E2998" s="23" t="inlineStr">
        <is>
          <t>Витязь. Содружество невозможных</t>
        </is>
      </c>
      <c r="F2998" s="23" t="inlineStr">
        <is>
          <t>        </t>
        </is>
      </c>
      <c r="G2998" s="23" t="n">
        <v>554</v>
      </c>
      <c r="H2998" s="23" t="n">
        <v>10</v>
      </c>
      <c r="I2998" s="23" t="n">
        <v>10</v>
      </c>
      <c r="J2998" s="23" t="inlineStr">
        <is>
          <t>978-5-227-06480-6</t>
        </is>
      </c>
      <c r="K2998" s="23" t="inlineStr">
        <is>
          <t>84x108 1/32</t>
        </is>
      </c>
      <c r="L2998" s="23" t="inlineStr">
        <is>
          <t>тв</t>
        </is>
      </c>
      <c r="M2998" s="23" t="n">
        <v>384</v>
      </c>
      <c r="N2998" s="23" t="n">
        <v>2016</v>
      </c>
      <c r="O2998" s="23" t="n">
        <v>326</v>
      </c>
      <c r="P2998" s="23" t="n"/>
      <c r="Q2998" s="23" t="n"/>
      <c r="R2998" s="25" t="inlineStr">
        <is>
          <t>Дивный народ Тайтингиля гибнет, и златой витязь решает изменить предначертанную судьбу эльфов. Драконий камень отправляет его в странный город, где люди ставят во главу угла деньги и удовольствия, где воздух пахнет гарью от бесконных повозок, а гномы маскируются под обычных портных. Это — современная Москва. Здесь, в суетном мегаполисе, Тайтингилю предстоит схватка с чудовищем — Цемрой, Темнейшей дочерью хаоса.Витязя ждут опасный враг и невероятная любовь, надежные друзья и поразительные приключения, путешествия по нашему миру... последний из драконов, Альваринпаэллир, Багрянец Небес, дремлющий в северном озере! Содружество невозможных — не только союз эльфа, перерожденного орка и инопланетянина. Это единство различных литературных жанров (фэнтези, космической фантастики, любовного романа), настоящая современная приключенческая проза. _x000D_
Вперед, за границы миров и привычных рамок — «Содружество невозможных» ждет вас!</t>
        </is>
      </c>
      <c r="S2998" s="26">
        <f>HYPERLINK("http://www.cnpol.ru/covers/16596.jpg","фото на сайте")</f>
        <v/>
      </c>
    </row>
    <row r="2999" ht="50.1" customHeight="1" s="3">
      <c r="A2999" s="23" t="n"/>
      <c r="B2999" s="24" t="inlineStr">
        <is>
          <t>17672</t>
        </is>
      </c>
      <c r="C2999" s="23" t="inlineStr">
        <is>
          <t>НТ</t>
        </is>
      </c>
      <c r="D2999" s="23" t="inlineStr">
        <is>
          <t>Колесник Л., Нестерова Н.</t>
        </is>
      </c>
      <c r="E2999" s="23" t="inlineStr">
        <is>
          <t>Витязь. Тенета тьмы</t>
        </is>
      </c>
      <c r="F2999" s="23" t="inlineStr">
        <is>
          <t>        </t>
        </is>
      </c>
      <c r="G2999" s="23" t="n">
        <v>554</v>
      </c>
      <c r="H2999" s="23" t="n">
        <v>10</v>
      </c>
      <c r="I2999" s="23" t="n">
        <v>10</v>
      </c>
      <c r="J2999" s="23" t="inlineStr">
        <is>
          <t>978-5-227-07647-2</t>
        </is>
      </c>
      <c r="K2999" s="23" t="inlineStr">
        <is>
          <t>84x108 1/32</t>
        </is>
      </c>
      <c r="L2999" s="23" t="inlineStr">
        <is>
          <t>тв</t>
        </is>
      </c>
      <c r="M2999" s="23" t="n">
        <v>416</v>
      </c>
      <c r="N2999" s="23" t="n">
        <v>2017</v>
      </c>
      <c r="O2999" s="23" t="n">
        <v>330</v>
      </c>
      <c r="P2999" s="23" t="n"/>
      <c r="Q2999" s="23" t="n"/>
      <c r="R2999" s="25" t="inlineStr">
        <is>
          <t>Орк, эльф и инопланетянин. Какая судьба свела их вместе? Конечно, война — мир надо защитить от чудовищного потомства Матери Хаоса — Цемры…_x000D_
Каким будет воинство, встающее под их флаги? Какова окажется любовь под этими флагами?_x000D_
Попав в волшебный мир, на родину эльфа Тайтингиля, троим друзьям сначала надо найти друг друга, а затем, воссоединившись, убедить народы Эалы объединиться и выступить против общего врага. А тем временем и женщины, которые любят наших героев, всеми силами стремятся их отыскать, а значит, найти способ пересечь границу миров...</t>
        </is>
      </c>
      <c r="S2999" s="26">
        <f>HYPERLINK("http://www.cnpol.ru/covers/17672.jpg","фото на сайте")</f>
        <v/>
      </c>
    </row>
    <row r="3000" ht="50.1" customHeight="1" s="3">
      <c r="A3000" s="23" t="n"/>
      <c r="B3000" s="24" t="inlineStr">
        <is>
          <t>19027</t>
        </is>
      </c>
      <c r="C3000" s="23" t="inlineStr">
        <is>
          <t>НТ</t>
        </is>
      </c>
      <c r="D3000" s="23" t="inlineStr">
        <is>
          <t>Герцовский Г.А</t>
        </is>
      </c>
      <c r="E3000" s="23" t="inlineStr">
        <is>
          <t>Владей миром!</t>
        </is>
      </c>
      <c r="F3000" s="23" t="inlineStr">
        <is>
          <t>        </t>
        </is>
      </c>
      <c r="G3000" s="23" t="n">
        <v>554</v>
      </c>
      <c r="H3000" s="23" t="n">
        <v>10</v>
      </c>
      <c r="I3000" s="23" t="n">
        <v>14</v>
      </c>
      <c r="J3000" s="23" t="inlineStr">
        <is>
          <t>978-5-227-08957-1</t>
        </is>
      </c>
      <c r="K3000" s="23" t="inlineStr">
        <is>
          <t>84x108 1/32</t>
        </is>
      </c>
      <c r="L3000" s="23" t="inlineStr">
        <is>
          <t>тв</t>
        </is>
      </c>
      <c r="M3000" s="23" t="n">
        <v>288</v>
      </c>
      <c r="N3000" s="23" t="n">
        <v>2020</v>
      </c>
      <c r="O3000" s="23" t="n">
        <v>250</v>
      </c>
      <c r="P3000" s="23" t="n"/>
      <c r="Q3000" s="23" t="n"/>
      <c r="R3000" s="25" t="inlineStr">
        <is>
          <t>Новый мир, новые правила, новые опасности. Со всем этим предстоит столкнуться главному герою, обычному парню, второкурснику факультета журналистики. Хватит ли духу у фантазера и шутника противостоять фантастическим монстрам и нешуточной магии? А завоевать сердце красавицы? Или даже двух? Сможет ли он возглавить армию волшебных существ, чтобы свергнуть того, кто ужаснее самих монстров? Или случится что­то другое, например, главный герой откроет еще один мир? Новый мир внутри самого себя?</t>
        </is>
      </c>
      <c r="S3000" s="26">
        <f>HYPERLINK("http://www.cnpol.ru/covers/19027.jpg","фото на сайте")</f>
        <v/>
      </c>
    </row>
    <row r="3001" ht="50.1" customHeight="1" s="3">
      <c r="A3001" s="23" t="n"/>
      <c r="B3001" s="24" t="inlineStr">
        <is>
          <t>20269</t>
        </is>
      </c>
      <c r="C3001" s="23" t="inlineStr">
        <is>
          <t>НТ</t>
        </is>
      </c>
      <c r="D3001" s="23" t="inlineStr">
        <is>
          <t>Архангельская М.В.</t>
        </is>
      </c>
      <c r="E3001" s="23" t="inlineStr">
        <is>
          <t>Внутренний дворец</t>
        </is>
      </c>
      <c r="F3001" s="23" t="inlineStr">
        <is>
          <t>        </t>
        </is>
      </c>
      <c r="G3001" s="23" t="n">
        <v>554</v>
      </c>
      <c r="H3001" s="23" t="n">
        <v>10</v>
      </c>
      <c r="I3001" s="23" t="n">
        <v>14</v>
      </c>
      <c r="J3001" s="23" t="inlineStr">
        <is>
          <t>978-5-227-10007-8</t>
        </is>
      </c>
      <c r="K3001" s="23" t="inlineStr">
        <is>
          <t>84x108 1/32</t>
        </is>
      </c>
      <c r="L3001" s="23" t="inlineStr">
        <is>
          <t>тв</t>
        </is>
      </c>
      <c r="M3001" s="23" t="n">
        <v>319</v>
      </c>
      <c r="N3001" s="23" t="n">
        <v>2022</v>
      </c>
      <c r="O3001" s="23" t="n">
        <v>276</v>
      </c>
      <c r="P3001" s="23" t="n"/>
      <c r="Q3001" s="23" t="n"/>
      <c r="R3001" s="25" t="inlineStr">
        <is>
          <t>Гибель под колёсами грузовика стала для Натальи началом новой жизни в другом мире. Здесь она — диковинка, варварка из далёкой неведомой страны, которую преподносят в качестве подарка императрице могущественной империи. Пытаясь приспособиться к жизни служанки в императорском дворце, Наталья случайно спасает единственного сына императора и императрицы. Наследный принц проявляет интерес к необычной девушке, совершенно не спрашивая, рада она этому и хочет ли становиться одной из наложниц его гарема. Сможет ли его любовь оградить Наталью от интриг и мести других его наложниц?</t>
        </is>
      </c>
      <c r="S3001" s="26">
        <f>HYPERLINK("http://www.cnpol.ru/covers/20269.jpg","фото на сайте")</f>
        <v/>
      </c>
    </row>
    <row r="3002" ht="50.1" customHeight="1" s="3">
      <c r="A3002" s="23" t="n"/>
      <c r="B3002" s="24" t="inlineStr">
        <is>
          <t>17720</t>
        </is>
      </c>
      <c r="C3002" s="23" t="inlineStr">
        <is>
          <t>НТ</t>
        </is>
      </c>
      <c r="D3002" s="23" t="inlineStr">
        <is>
          <t>Авраменко А., Гетто В.</t>
        </is>
      </c>
      <c r="E3002" s="23" t="inlineStr">
        <is>
          <t>Во имя империи!</t>
        </is>
      </c>
      <c r="F3002" s="23" t="inlineStr">
        <is>
          <t>        </t>
        </is>
      </c>
      <c r="G3002" s="23" t="n">
        <v>554</v>
      </c>
      <c r="H3002" s="23" t="n">
        <v>10</v>
      </c>
      <c r="I3002" s="23" t="n">
        <v>14</v>
      </c>
      <c r="J3002" s="23" t="inlineStr">
        <is>
          <t>978-5-227-07736-3</t>
        </is>
      </c>
      <c r="K3002" s="23" t="inlineStr">
        <is>
          <t>84x108 1/32</t>
        </is>
      </c>
      <c r="L3002" s="23" t="inlineStr">
        <is>
          <t>тв</t>
        </is>
      </c>
      <c r="M3002" s="23" t="n">
        <v>288</v>
      </c>
      <c r="N3002" s="23" t="n">
        <v>2017</v>
      </c>
      <c r="O3002" s="23" t="n">
        <v>276</v>
      </c>
      <c r="P3002" s="23" t="n"/>
      <c r="Q3002" s="23" t="n"/>
      <c r="R3002" s="25" t="inlineStr">
        <is>
          <t>Спокойная сытая жизнь. Проблемы остались далеко, в другом мире и на другой планете. Самые сильные. Самые умные. Самые богатые в новой жизни. Живи и радуйся. Но… Опять это проклятое «но»!.. Ты спокойно спишь в своём доме, за окном лишь пение ночных птиц да ровный свет обеих лун. А в это время где-то идёт война. Самая страшная, какую только можно представить — гражданская война, перешедшая в открытую интервенцию с геноцидом. Гибнут миллионы людей. Женщины, старики, дети. Нет пощады никому. Голод. Эпидемии. Целые губернии вымирают до последнего человека. Но почему? Что заставило население целого мира сойти с ума и погрузиться в хаос братоубийственной войны? Где скрываются ответы на вопросы? Твоя совесть не даст тебе жить в благополучии и покое, когда вокруг творится подобный кошмар. Потому что ты — русский. И твоя судьба — вновь спасти целую планету…</t>
        </is>
      </c>
      <c r="S3002" s="26">
        <f>HYPERLINK("http://www.cnpol.ru/covers/17720.jpg","фото на сайте")</f>
        <v/>
      </c>
    </row>
    <row r="3003" ht="50.1" customHeight="1" s="3">
      <c r="A3003" s="23" t="n"/>
      <c r="B3003" s="24" t="inlineStr">
        <is>
          <t>18782</t>
        </is>
      </c>
      <c r="C3003" s="23" t="inlineStr">
        <is>
          <t>НТ</t>
        </is>
      </c>
      <c r="D3003" s="23" t="inlineStr">
        <is>
          <t>Марченко Г.Б.</t>
        </is>
      </c>
      <c r="E3003" s="23" t="inlineStr">
        <is>
          <t>Возвращение</t>
        </is>
      </c>
      <c r="F3003" s="23" t="inlineStr">
        <is>
          <t>        </t>
        </is>
      </c>
      <c r="G3003" s="23" t="n">
        <v>554</v>
      </c>
      <c r="H3003" s="23" t="n">
        <v>10</v>
      </c>
      <c r="I3003" s="23" t="n">
        <v>14</v>
      </c>
      <c r="J3003" s="23" t="inlineStr">
        <is>
          <t>978-5-227-08762-1</t>
        </is>
      </c>
      <c r="K3003" s="23" t="inlineStr">
        <is>
          <t>84x108 1/32</t>
        </is>
      </c>
      <c r="L3003" s="23" t="inlineStr">
        <is>
          <t>тв</t>
        </is>
      </c>
      <c r="M3003" s="23" t="n">
        <v>320</v>
      </c>
      <c r="N3003" s="23" t="n">
        <v>2019</v>
      </c>
      <c r="O3003" s="23" t="n">
        <v>278</v>
      </c>
      <c r="P3003" s="23" t="n"/>
      <c r="Q3003" s="23" t="n"/>
      <c r="R3003" s="25" t="inlineStr">
        <is>
          <t>Прошли годы. Не без участия Ефима Сорокина, он же Фил Бёрд, послевоенная Европа приобрела совсем другой вид. Сам же герой — вполне успешный бизнесмен. Однако, зайдя как­то в бар с помощником директора ФБР, умудрился влипнуть в историю, в результате которой мексиканским наркокартелем были похищены его дочь и беременная жена. Приходится платить большой выкуп, но недаром Ефим когда­то снял в Голливуде фильм «Месть подаётся холодной». Вот и наш герой решает жестоко отомстить похитителям…</t>
        </is>
      </c>
      <c r="S3003" s="26">
        <f>HYPERLINK("http://www.cnpol.ru/covers/18782.jpg","фото на сайте")</f>
        <v/>
      </c>
    </row>
    <row r="3004" ht="50.1" customHeight="1" s="3">
      <c r="A3004" s="23" t="n"/>
      <c r="B3004" s="24" t="inlineStr">
        <is>
          <t>15587</t>
        </is>
      </c>
      <c r="C3004" s="23" t="inlineStr">
        <is>
          <t>НТ</t>
        </is>
      </c>
      <c r="D3004" s="23" t="inlineStr">
        <is>
          <t>Раков Н.М.</t>
        </is>
      </c>
      <c r="E3004" s="23" t="inlineStr">
        <is>
          <t>Война теней</t>
        </is>
      </c>
      <c r="F3004" s="23" t="inlineStr">
        <is>
          <t>        </t>
        </is>
      </c>
      <c r="G3004" s="23" t="n">
        <v>554</v>
      </c>
      <c r="H3004" s="23" t="n">
        <v>10</v>
      </c>
      <c r="I3004" s="23" t="n">
        <v>16</v>
      </c>
      <c r="J3004" s="23" t="inlineStr">
        <is>
          <t>978-5-227-05464-7</t>
        </is>
      </c>
      <c r="K3004" s="23" t="inlineStr">
        <is>
          <t>84x108 1/32</t>
        </is>
      </c>
      <c r="L3004" s="23" t="inlineStr">
        <is>
          <t>тв</t>
        </is>
      </c>
      <c r="M3004" s="23" t="n">
        <v>285</v>
      </c>
      <c r="N3004" s="23" t="n">
        <v>2014</v>
      </c>
      <c r="O3004" s="23" t="n">
        <v>232</v>
      </c>
      <c r="P3004" s="23" t="n"/>
      <c r="Q3004" s="23" t="n"/>
      <c r="R3004" s="25" t="inlineStr">
        <is>
          <t>Майор, сотрудник оперативного отдела засекреченной государственной организации Бюро, занимающейся изучением аномальных зон и явлений, попадает в одну такую начинающую образовываться зону в сибирской тайге. Пытаясь выяснить причины её возникновения, он выходит на след террористов, подготовивших взрыв на законсервированной секретной лаборатории, работавшей над созданием боевых вирусов. С помощью армейских частей теракт удаётся частично локализовать, но оба эти события — только отвлекающие манёвры проведения основной операции врага. Следы террористов ведут на Кавказ, Украину, к фанатикам­ваххабитам и спецслужбам США, но прямых доказательств их участия в террористической операции нет. Это была тайная война с невидимым противником — война теней.</t>
        </is>
      </c>
      <c r="S3004" s="26">
        <f>HYPERLINK("http://www.cnpol.ru/covers/15587.jpg","фото на сайте")</f>
        <v/>
      </c>
    </row>
    <row r="3005" ht="50.1" customHeight="1" s="3">
      <c r="A3005" s="23" t="n"/>
      <c r="B3005" s="24" t="inlineStr">
        <is>
          <t>16446</t>
        </is>
      </c>
      <c r="C3005" s="23" t="inlineStr">
        <is>
          <t>НТ</t>
        </is>
      </c>
      <c r="D3005" s="23" t="inlineStr">
        <is>
          <t>Авраменко А., Гетто В.</t>
        </is>
      </c>
      <c r="E3005" s="23" t="inlineStr">
        <is>
          <t>Волк. Поля надежды</t>
        </is>
      </c>
      <c r="F3005" s="23" t="inlineStr">
        <is>
          <t>        </t>
        </is>
      </c>
      <c r="G3005" s="23" t="n">
        <v>554</v>
      </c>
      <c r="H3005" s="23" t="n">
        <v>10</v>
      </c>
      <c r="I3005" s="23" t="n">
        <v>12</v>
      </c>
      <c r="J3005" s="23" t="inlineStr">
        <is>
          <t>978-5-227-06384-7</t>
        </is>
      </c>
      <c r="K3005" s="23" t="inlineStr">
        <is>
          <t>84x108 1/32</t>
        </is>
      </c>
      <c r="L3005" s="23" t="inlineStr">
        <is>
          <t>тв</t>
        </is>
      </c>
      <c r="M3005" s="23" t="n">
        <v>352</v>
      </c>
      <c r="N3005" s="23" t="n">
        <v>2016</v>
      </c>
      <c r="O3005" s="23" t="n">
        <v>286</v>
      </c>
      <c r="P3005" s="23" t="n"/>
      <c r="Q3005" s="23" t="n"/>
      <c r="R3005" s="25" t="inlineStr">
        <is>
          <t>Казалось бы, всё складывается как нельзя лучше: наконец­то его на­шли товарищи, и есть возможность вернуться на родину. Но… Опять это проклятое «но»! Честь, совесть, долг. То, что делает нас настоящими людьми. Собственная честь, которую он не собирается ронять ни перед кем, ни­когда не спящая совесть, заставляющая поступить именно так, а не иначе. И — долг. Перед новой родиной, перед теми, кого Атти дель Парда повёл за собой, научил новому, кто строит с ним новый мир, в котором жить намного лучше, чем в старом. А ещё есть любимая жена и дочери, мама, друзья, соратники, товарищи. Те, кто верит и надеется на Волка Парды. Но самое главное — надежда на то, что он, император захолустной планеты, сможет наконец прекратить бушующую много лет в галактике кровавую войну…</t>
        </is>
      </c>
      <c r="S3005" s="26">
        <f>HYPERLINK("http://www.cnpol.ru/covers/16446.jpg","фото на сайте")</f>
        <v/>
      </c>
    </row>
    <row r="3006" ht="50.1" customHeight="1" s="3">
      <c r="A3006" s="23" t="n"/>
      <c r="B3006" s="24" t="inlineStr">
        <is>
          <t>16929</t>
        </is>
      </c>
      <c r="C3006" s="23" t="inlineStr">
        <is>
          <t>НТ</t>
        </is>
      </c>
      <c r="D3006" s="23" t="inlineStr">
        <is>
          <t>Авраменко А., Гетто В.</t>
        </is>
      </c>
      <c r="E3006" s="23" t="inlineStr">
        <is>
          <t>Волк. Решение</t>
        </is>
      </c>
      <c r="F3006" s="23" t="inlineStr">
        <is>
          <t>        </t>
        </is>
      </c>
      <c r="G3006" s="23" t="n">
        <v>554</v>
      </c>
      <c r="H3006" s="23" t="n">
        <v>10</v>
      </c>
      <c r="I3006" s="23" t="n">
        <v>12</v>
      </c>
      <c r="J3006" s="23" t="inlineStr">
        <is>
          <t>978-5-227-07028-9</t>
        </is>
      </c>
      <c r="K3006" s="23" t="inlineStr">
        <is>
          <t>84x108 1/32</t>
        </is>
      </c>
      <c r="L3006" s="23" t="inlineStr">
        <is>
          <t>тв</t>
        </is>
      </c>
      <c r="M3006" s="23" t="n">
        <v>288</v>
      </c>
      <c r="N3006" s="23" t="n">
        <v>2016</v>
      </c>
      <c r="O3006" s="23" t="n">
        <v>238</v>
      </c>
      <c r="P3006" s="23" t="n"/>
      <c r="Q3006" s="23" t="n"/>
      <c r="R3006" s="25" t="inlineStr">
        <is>
          <t>В галактике бушует война, беспощадная и жестокая. Союз Трёх народов дерётся из последних сил с самым безжалостным врагом за всю историю существования Руси. Потери огромны, напряжены все силы, но сдаться — значит умереть. Надежды на мирный исход, договориться нет. Следовательно, предстоит сражаться до последней капли крови, до последнего вздоха. Но когда наступает последний час, даже мёртвые возвращаются, чтобы встать в строй… И Александр Кузнецов, считавшийся погибшим на взорванной врагами планете, вернулся, чтобы покарать тех, кто жаждет уничтожить его Родину…</t>
        </is>
      </c>
      <c r="S3006" s="26">
        <f>HYPERLINK("http://www.cnpol.ru/covers/16929.jpg","фото на сайте")</f>
        <v/>
      </c>
    </row>
    <row r="3007" ht="50.1" customHeight="1" s="3">
      <c r="A3007" s="23" t="n"/>
      <c r="B3007" s="24" t="inlineStr">
        <is>
          <t>15901</t>
        </is>
      </c>
      <c r="C3007" s="23" t="inlineStr">
        <is>
          <t>НТ</t>
        </is>
      </c>
      <c r="D3007" s="23" t="inlineStr">
        <is>
          <t>Авраменко А., Гетто В.</t>
        </is>
      </c>
      <c r="E3007" s="23" t="inlineStr">
        <is>
          <t>Волк. Стая</t>
        </is>
      </c>
      <c r="F3007" s="23" t="inlineStr">
        <is>
          <t>        </t>
        </is>
      </c>
      <c r="G3007" s="23" t="n">
        <v>554</v>
      </c>
      <c r="H3007" s="23" t="n">
        <v>10</v>
      </c>
      <c r="I3007" s="23" t="n">
        <v>14</v>
      </c>
      <c r="J3007" s="23" t="inlineStr">
        <is>
          <t>978-5-227-05853-9</t>
        </is>
      </c>
      <c r="K3007" s="23" t="inlineStr">
        <is>
          <t>84x108 1/32</t>
        </is>
      </c>
      <c r="L3007" s="23" t="inlineStr">
        <is>
          <t>тв</t>
        </is>
      </c>
      <c r="M3007" s="23" t="n">
        <v>320</v>
      </c>
      <c r="N3007" s="23" t="n">
        <v>2015</v>
      </c>
      <c r="O3007" s="23" t="n">
        <v>262</v>
      </c>
      <c r="P3007" s="23" t="n"/>
      <c r="Q3007" s="23" t="n"/>
      <c r="R3007" s="25" t="inlineStr">
        <is>
          <t>Фиори переживает один из тяжелейших периодов своего существования. Гражданская война на уничтожение, вторгшиеся в пределы страны захватчики из сопредельных стран, экономическая блокада... Атти дель Парда, опираясь на верных соратников, прилагает все силы, чтобы восстановить мир и спокойствие в стране, уничтожить предателей и интервентов. В круг его друзей входит новый человек, простой подмастерье, проявивший невероятные таланты. Но прошлое таинственного Серга Стела окружает тайна. Военный гений, великолепный стратег, уникальный инженер - множество талантов в одном лице. Но кто же он на самом деле, этот средневековый гений, носящий заслуженное прозвище Ужас Рёко?</t>
        </is>
      </c>
      <c r="S3007" s="26">
        <f>HYPERLINK("http://www.cnpol.ru/covers/15901.jpg","фото на сайте")</f>
        <v/>
      </c>
    </row>
    <row r="3008" ht="50.1" customHeight="1" s="3">
      <c r="A3008" s="23" t="n"/>
      <c r="B3008" s="24" t="inlineStr">
        <is>
          <t>16659</t>
        </is>
      </c>
      <c r="C3008" s="23" t="inlineStr">
        <is>
          <t>НТ</t>
        </is>
      </c>
      <c r="D3008" s="23" t="inlineStr">
        <is>
          <t>Авраменко А., Гетто В.</t>
        </is>
      </c>
      <c r="E3008" s="23" t="inlineStr">
        <is>
          <t>Волк. Студент</t>
        </is>
      </c>
      <c r="F3008" s="23" t="inlineStr">
        <is>
          <t>        </t>
        </is>
      </c>
      <c r="G3008" s="23" t="n">
        <v>554</v>
      </c>
      <c r="H3008" s="23" t="n">
        <v>10</v>
      </c>
      <c r="I3008" s="23" t="n">
        <v>10</v>
      </c>
      <c r="J3008" s="23" t="inlineStr">
        <is>
          <t>978-5-227-06732-6</t>
        </is>
      </c>
      <c r="K3008" s="23" t="inlineStr">
        <is>
          <t>84x108 1/32</t>
        </is>
      </c>
      <c r="L3008" s="23" t="inlineStr">
        <is>
          <t>тв</t>
        </is>
      </c>
      <c r="M3008" s="23" t="n">
        <v>320</v>
      </c>
      <c r="N3008" s="23" t="n">
        <v>2016</v>
      </c>
      <c r="O3008" s="23" t="n">
        <v>272</v>
      </c>
      <c r="P3008" s="23" t="n"/>
      <c r="Q3008" s="23" t="n"/>
      <c r="R3008" s="25" t="inlineStr">
        <is>
          <t>Наступил долгожданный мир между империей Русь и кланами высоких и истинных. Обе стороны настороженно присматриваются друг к другу, но всеми силами стараются сохранить так нужный обеим державам мир. Потому что подданные императора и вождя вождей измотаны долгой войной, а экономика кланов находится на грани краха. Но соседи Руси уже плетут тёмные и страшные замыслы. И Сергей Неистовый принимает нелёгкое решение — отправить своего племянника в кланы, чтобы подтвердить ­незыблемость договорённостей между русичами и саури… Университет Чемье — самое престижное учебное заведение. Одно только упоминание об учёбе в нём меняет социальный статус собеседника. Выпускники Чемье — элита элит саури. Но сейчас кланы потрясены — впервые за тысячи лет существования университет принял двух студентов по обмену, и оба не относятся к саури! Более того, это извечные враги кланов! И хотя наступил мир, пролитая кровь не забывается. И Александру Кузнецову придётся приложить немало усилий, прежде чем удастся показать высокомерным саури, что русич никогда не сдаётся.</t>
        </is>
      </c>
      <c r="S3008" s="26">
        <f>HYPERLINK("http://www.cnpol.ru/covers/16659.jpg","фото на сайте")</f>
        <v/>
      </c>
    </row>
    <row r="3009" ht="50.1" customHeight="1" s="3">
      <c r="A3009" s="23" t="n"/>
      <c r="B3009" s="24" t="inlineStr">
        <is>
          <t>18592</t>
        </is>
      </c>
      <c r="C3009" s="23" t="inlineStr">
        <is>
          <t>НТ</t>
        </is>
      </c>
      <c r="D3009" s="23" t="inlineStr">
        <is>
          <t>Загородний А., Тихонова Т.</t>
        </is>
      </c>
      <c r="E3009" s="23" t="inlineStr">
        <is>
          <t>Вопль археоптерикса</t>
        </is>
      </c>
      <c r="F3009" s="23" t="inlineStr">
        <is>
          <t>        </t>
        </is>
      </c>
      <c r="G3009" s="23" t="n">
        <v>554</v>
      </c>
      <c r="H3009" s="23" t="n">
        <v>10</v>
      </c>
      <c r="I3009" s="23" t="n">
        <v>14</v>
      </c>
      <c r="J3009" s="23" t="inlineStr">
        <is>
          <t>978-5-227-08570-2</t>
        </is>
      </c>
      <c r="K3009" s="23" t="inlineStr">
        <is>
          <t>84x108 1/32</t>
        </is>
      </c>
      <c r="L3009" s="23" t="inlineStr">
        <is>
          <t>тв</t>
        </is>
      </c>
      <c r="M3009" s="23" t="n">
        <v>288</v>
      </c>
      <c r="N3009" s="23" t="n">
        <v>2019</v>
      </c>
      <c r="O3009" s="23" t="n">
        <v>254</v>
      </c>
      <c r="P3009" s="23" t="n"/>
      <c r="Q3009" s="23" t="n"/>
      <c r="R3009" s="25" t="inlineStr">
        <is>
          <t>Приказ —  отбомбиться по логову фашистов новым секретным оружием, тем самым покончив с войной, и – назад, в эскадрилью. Но в небе появляется «юнкерс», который не оставляет шансов. А даже когда падаешь, все равно надеешься не разбиться, починить машину и вернуться. Но чтобы оказаться посреди джунглей и динозавров на берегу мелового моря?! Пять человек в мире без людей. Два летчика, крестьянин, физик и радист. Экипаж. Боевая единица в мире, где нет войны, в мире, где если взлетишь, то в небо, которое не удастся покинуть — если физик не запустит свою машину времени. Но для этого нужна взлетная полоса, и не мешало бы просто выжить…</t>
        </is>
      </c>
      <c r="S3009" s="26">
        <f>HYPERLINK("http://www.cnpol.ru/covers/18592.jpg","фото на сайте")</f>
        <v/>
      </c>
    </row>
    <row r="3010" ht="50.1" customHeight="1" s="3">
      <c r="A3010" s="23" t="n"/>
      <c r="B3010" s="24" t="inlineStr">
        <is>
          <t>15817</t>
        </is>
      </c>
      <c r="C3010" s="23" t="inlineStr">
        <is>
          <t>НТ</t>
        </is>
      </c>
      <c r="D3010" s="23" t="inlineStr">
        <is>
          <t>Сахаров В.И.</t>
        </is>
      </c>
      <c r="E3010" s="23" t="inlineStr">
        <is>
          <t>Восточный фронт</t>
        </is>
      </c>
      <c r="F3010" s="23" t="inlineStr">
        <is>
          <t>        </t>
        </is>
      </c>
      <c r="G3010" s="23" t="n">
        <v>554</v>
      </c>
      <c r="H3010" s="23" t="n">
        <v>10</v>
      </c>
      <c r="I3010" s="23" t="n">
        <v>12</v>
      </c>
      <c r="J3010" s="23" t="inlineStr">
        <is>
          <t>978-5-227-05814-0</t>
        </is>
      </c>
      <c r="K3010" s="23" t="inlineStr">
        <is>
          <t>84x108 1/32</t>
        </is>
      </c>
      <c r="L3010" s="23" t="inlineStr">
        <is>
          <t>тв</t>
        </is>
      </c>
      <c r="M3010" s="23" t="n">
        <v>352</v>
      </c>
      <c r="N3010" s="23" t="n">
        <v>2015</v>
      </c>
      <c r="O3010" s="23" t="n">
        <v>278</v>
      </c>
      <c r="P3010" s="23" t="n"/>
      <c r="Q3010" s="23" t="n"/>
      <c r="R3010" s="25" t="inlineStr">
        <is>
          <t>Империя под ударом. Враги со всех сторон, а силы на исходе. Респуб­ликанцы на востоке. Ассиры на юге. Теократ Шаир­Каш на востоке. Пираты грабят побережье и сжигают города. А тут ещё великий герцог Ратина при поддержке эльфов поднимает мятеж, и, если его не подавить сейчас, государство остверов развалится. Император бросает все силы на борьбу с измен­никами, а его полки на Восточном фронте сменяют войска северных феодалов и дружины Ройхо. И вновь граф Уркварт покидает родину. Снова отправляется на войну и даже не представляет, насколько силён его противник. Ведь против имперцев выступили не только республиканцы, но и демоны. Однако не пристало паладину Кама­Нио бежать от врага, тем более когда рядом ламия и легендарный Иллир Анхо. А потому вперёд, граф Ройхо! Меч и магия с тобой, а демоны хоть и сильны, но не бессмертны.</t>
        </is>
      </c>
      <c r="S3010" s="26">
        <f>HYPERLINK("http://www.cnpol.ru/covers/15817.jpg","фото на сайте")</f>
        <v/>
      </c>
    </row>
    <row r="3011" ht="50.1" customHeight="1" s="3">
      <c r="A3011" s="23" t="n"/>
      <c r="B3011" s="24" t="inlineStr">
        <is>
          <t>19171</t>
        </is>
      </c>
      <c r="C3011" s="23" t="inlineStr">
        <is>
          <t>НТ</t>
        </is>
      </c>
      <c r="D3011" s="23" t="inlineStr">
        <is>
          <t>Некрасов А.</t>
        </is>
      </c>
      <c r="E3011" s="23" t="inlineStr">
        <is>
          <t>Вперед, русичи!</t>
        </is>
      </c>
      <c r="F3011" s="23" t="inlineStr">
        <is>
          <t>        </t>
        </is>
      </c>
      <c r="G3011" s="23" t="n">
        <v>554</v>
      </c>
      <c r="H3011" s="23" t="n">
        <v>10</v>
      </c>
      <c r="I3011" s="23" t="n">
        <v>14</v>
      </c>
      <c r="J3011" s="23" t="inlineStr">
        <is>
          <t>978-5-227-09099-7</t>
        </is>
      </c>
      <c r="K3011" s="23" t="inlineStr">
        <is>
          <t>84x108 1/32</t>
        </is>
      </c>
      <c r="L3011" s="23" t="inlineStr">
        <is>
          <t>тв</t>
        </is>
      </c>
      <c r="M3011" s="23" t="n">
        <v>320</v>
      </c>
      <c r="N3011" s="23" t="n">
        <v>2020</v>
      </c>
      <c r="O3011" s="23" t="n">
        <v>276</v>
      </c>
      <c r="P3011" s="23" t="n"/>
      <c r="Q3011" s="23" t="n"/>
      <c r="R3011" s="25" t="inlineStr">
        <is>
          <t>Летняя вечерняя прогулка с девушкой по берегу Волги с самого начала складывалась не так, как ожидал Павел. Он никак не мог представить, что его Даша вдруг  исчезнет, растворившись в глубине веков. А ему придется ринуться на ее поиски. Прямо так, в костюме металлиста, с магнитофоном в руках, очутиться… на Куликовом поле. Рискуя, не раз оказываясь перед нелегким выбором, порой впадая в отчаяние, будь то в плену у разбойников, в подземельях грозного царя или на тихоокеанском острове, Павел отчаянно движется вперед. Хотя с каждым шагом надежд на успешное завершение поисков становится все меньше…</t>
        </is>
      </c>
      <c r="S3011" s="26">
        <f>HYPERLINK("http://www.cnpol.ru/covers/19171.jpg","фото на сайте")</f>
        <v/>
      </c>
    </row>
    <row r="3012" ht="50.1" customHeight="1" s="3">
      <c r="A3012" s="23" t="n"/>
      <c r="B3012" s="24" t="inlineStr">
        <is>
          <t>17900</t>
        </is>
      </c>
      <c r="C3012" s="23" t="inlineStr">
        <is>
          <t>НТ</t>
        </is>
      </c>
      <c r="D3012" s="23" t="inlineStr">
        <is>
          <t>Марченко Г.Б.</t>
        </is>
      </c>
      <c r="E3012" s="23" t="inlineStr">
        <is>
          <t>Вращая колесо Сансары</t>
        </is>
      </c>
      <c r="F3012" s="23" t="inlineStr">
        <is>
          <t>        </t>
        </is>
      </c>
      <c r="G3012" s="23" t="n">
        <v>554</v>
      </c>
      <c r="H3012" s="23" t="n">
        <v>10</v>
      </c>
      <c r="I3012" s="23" t="n">
        <v>14</v>
      </c>
      <c r="J3012" s="23" t="inlineStr">
        <is>
          <t>978-5-227-08014-1</t>
        </is>
      </c>
      <c r="K3012" s="23" t="inlineStr">
        <is>
          <t>84x108 1/32</t>
        </is>
      </c>
      <c r="L3012" s="23" t="inlineStr">
        <is>
          <t>тв</t>
        </is>
      </c>
      <c r="M3012" s="23" t="n">
        <v>287</v>
      </c>
      <c r="N3012" s="23" t="n">
        <v>2018</v>
      </c>
      <c r="O3012" s="23" t="n">
        <v>250</v>
      </c>
      <c r="P3012" s="23" t="n"/>
      <c r="Q3012" s="23" t="n"/>
      <c r="R3012" s="25" t="inlineStr">
        <is>
          <t>Егор Мальцев успевает не только играть в футбол и заниматься музыкой, но и решать проблемы на личном фронте. Однако всё же главная его цель - выступить на чемпионате мира по футболу 1966 года. Том самом, на котором сборная СССР сумела занять четвёртое место, самое высокое в своей истории. Но сможет ли наша команда, ведомая Егором Мальцевым, на этот раз удивить весь футбольный мир? Во всяком случае, герой приложит к этому максимум усилий.</t>
        </is>
      </c>
      <c r="S3012" s="26">
        <f>HYPERLINK("http://www.cnpol.ru/covers/17900.jpg","фото на сайте")</f>
        <v/>
      </c>
    </row>
    <row r="3013" ht="50.1" customHeight="1" s="3">
      <c r="A3013" s="23" t="n"/>
      <c r="B3013" s="24" t="inlineStr">
        <is>
          <t>19496</t>
        </is>
      </c>
      <c r="C3013" s="23" t="inlineStr">
        <is>
          <t>НТ</t>
        </is>
      </c>
      <c r="D3013" s="23" t="inlineStr">
        <is>
          <t>Карташов Г.</t>
        </is>
      </c>
      <c r="E3013" s="23" t="inlineStr">
        <is>
          <t>Время - словно капля янтаря</t>
        </is>
      </c>
      <c r="F3013" s="23" t="inlineStr">
        <is>
          <t>        </t>
        </is>
      </c>
      <c r="G3013" s="23" t="n">
        <v>554</v>
      </c>
      <c r="H3013" s="23" t="n">
        <v>10</v>
      </c>
      <c r="I3013" s="23" t="n">
        <v>14</v>
      </c>
      <c r="J3013" s="23" t="inlineStr">
        <is>
          <t>978-5-227-09360-8</t>
        </is>
      </c>
      <c r="K3013" s="23" t="inlineStr">
        <is>
          <t>84x108 1/32</t>
        </is>
      </c>
      <c r="L3013" s="23" t="inlineStr">
        <is>
          <t>тв</t>
        </is>
      </c>
      <c r="M3013" s="23" t="n">
        <v>287</v>
      </c>
      <c r="N3013" s="23" t="n">
        <v>2021</v>
      </c>
      <c r="O3013" s="23" t="n">
        <v>250</v>
      </c>
      <c r="P3013" s="23" t="n"/>
      <c r="Q3013" s="23" t="n"/>
      <c r="R3013" s="25" t="inlineStr">
        <is>
          <t>Мое счастливое время закончилось 1 июля 2001 года. Дочь погибла, когда ей было всего двенадцать. Попытка добиться справедливости обернулась сфабрикованным обвинением и тюрьмой. Ушла жена, отвернулись друзья и знакомые, о любимой работе не стоило и мечтать. Но когда я решил, что будущего больше нет, судьба подарила мне шанс еще раз прожить прошлое. Вернуться туда и все исправить, отыскать другой вариант событий, счастливый и правильный. Ведь это так легко, когда знаешь, чем обернутся твои поступки...</t>
        </is>
      </c>
      <c r="S3013" s="26">
        <f>HYPERLINK("http://www.cnpol.ru/covers/19496.jpg","фото на сайте")</f>
        <v/>
      </c>
    </row>
    <row r="3014" ht="50.1" customHeight="1" s="3">
      <c r="A3014" s="23" t="n"/>
      <c r="B3014" s="24" t="inlineStr">
        <is>
          <t>14198</t>
        </is>
      </c>
      <c r="C3014" s="23" t="inlineStr">
        <is>
          <t>НТ</t>
        </is>
      </c>
      <c r="D3014" s="23" t="inlineStr">
        <is>
          <t>Царегородцев Б.</t>
        </is>
      </c>
      <c r="E3014" s="23" t="inlineStr">
        <is>
          <t>Время больших побед</t>
        </is>
      </c>
      <c r="F3014" s="23" t="inlineStr">
        <is>
          <t>        </t>
        </is>
      </c>
      <c r="G3014" s="23" t="n">
        <v>554</v>
      </c>
      <c r="H3014" s="23" t="n">
        <v>10</v>
      </c>
      <c r="I3014" s="23" t="n">
        <v>16</v>
      </c>
      <c r="J3014" s="23" t="inlineStr">
        <is>
          <t>978-5-227-04301-6</t>
        </is>
      </c>
      <c r="K3014" s="23" t="inlineStr">
        <is>
          <t>84x108 1/32</t>
        </is>
      </c>
      <c r="L3014" s="23" t="inlineStr">
        <is>
          <t>тв</t>
        </is>
      </c>
      <c r="M3014" s="23" t="n">
        <v>288</v>
      </c>
      <c r="N3014" s="23" t="n">
        <v>2013</v>
      </c>
      <c r="O3014" s="23" t="n">
        <v>252</v>
      </c>
      <c r="P3014" s="23" t="n"/>
      <c r="Q3014" s="23" t="n"/>
      <c r="R3014" s="25" t="inlineStr">
        <is>
          <t>Атомная подводная лодка К-119 "Морской волк" почти на треть в обновленном составе вновь вышла в боевой поход. Перед ее командиром капитаном Лазаревым стоит задача сорвать переброску немецких войск. Выполняя это задание вместе с кораблями Северного флота, он разбивает самую мощную эскадру кригсмарине. При этом специалисты подлодки внедряют новые образцы боевой техники. И наконец-то товарищ Сталин познакомится с подводником из будущего.</t>
        </is>
      </c>
      <c r="S3014" s="26">
        <f>HYPERLINK("http://www.cnpol.ru/covers/14198.jpg","фото на сайте")</f>
        <v/>
      </c>
    </row>
    <row r="3015" ht="50.1" customHeight="1" s="3">
      <c r="A3015" s="23" t="n"/>
      <c r="B3015" s="24" t="inlineStr">
        <is>
          <t>17994</t>
        </is>
      </c>
      <c r="C3015" s="23" t="inlineStr">
        <is>
          <t>НТ</t>
        </is>
      </c>
      <c r="D3015" s="23" t="inlineStr">
        <is>
          <t>Юрченко С.</t>
        </is>
      </c>
      <c r="E3015" s="23" t="inlineStr">
        <is>
          <t>Время для инженера Времени</t>
        </is>
      </c>
      <c r="F3015" s="23" t="inlineStr">
        <is>
          <t>        </t>
        </is>
      </c>
      <c r="G3015" s="23" t="n">
        <v>554</v>
      </c>
      <c r="H3015" s="23" t="n">
        <v>10</v>
      </c>
      <c r="I3015" s="23" t="n">
        <v>14</v>
      </c>
      <c r="J3015" s="23" t="inlineStr">
        <is>
          <t>978-5-227-08105-6</t>
        </is>
      </c>
      <c r="K3015" s="23" t="inlineStr">
        <is>
          <t>84x108 1/32</t>
        </is>
      </c>
      <c r="L3015" s="23" t="inlineStr">
        <is>
          <t>тв</t>
        </is>
      </c>
      <c r="M3015" s="23" t="n">
        <v>320</v>
      </c>
      <c r="N3015" s="23" t="n">
        <v>2018</v>
      </c>
      <c r="O3015" s="23" t="n">
        <v>262</v>
      </c>
      <c r="P3015" s="23" t="n"/>
      <c r="Q3015" s="23" t="n"/>
      <c r="R3015" s="25" t="inlineStr">
        <is>
          <t>Будьте осторожны, ступая на дорогу. Даже если она ведёт всего лишь в многопользовательскую ролевую игру. Ибо Жаждущие боги смеются над планами смертных, даже если этих богов и вовсе нет... Хотя кто знает, что есть и чего нет там, где властвуют сталь и магия?</t>
        </is>
      </c>
      <c r="S3015" s="26">
        <f>HYPERLINK("http://www.cnpol.ru/covers/17994.jpg","фото на сайте")</f>
        <v/>
      </c>
    </row>
    <row r="3016" ht="50.1" customHeight="1" s="3">
      <c r="A3016" s="23" t="n"/>
      <c r="B3016" s="24" t="inlineStr">
        <is>
          <t>16560</t>
        </is>
      </c>
      <c r="C3016" s="23" t="inlineStr">
        <is>
          <t>НТ</t>
        </is>
      </c>
      <c r="D3016" s="23" t="inlineStr">
        <is>
          <t>Масленков И.В.</t>
        </is>
      </c>
      <c r="E3016" s="23" t="inlineStr">
        <is>
          <t>Всевидящее око</t>
        </is>
      </c>
      <c r="F3016" s="23" t="inlineStr">
        <is>
          <t>        </t>
        </is>
      </c>
      <c r="G3016" s="23" t="n">
        <v>554</v>
      </c>
      <c r="H3016" s="23" t="n">
        <v>10</v>
      </c>
      <c r="I3016" s="23" t="n">
        <v>12</v>
      </c>
      <c r="J3016" s="23" t="inlineStr">
        <is>
          <t>978-5-227-06520-9</t>
        </is>
      </c>
      <c r="K3016" s="23" t="inlineStr">
        <is>
          <t>84x108 1/32</t>
        </is>
      </c>
      <c r="L3016" s="23" t="inlineStr">
        <is>
          <t>тв</t>
        </is>
      </c>
      <c r="M3016" s="23" t="n">
        <v>384</v>
      </c>
      <c r="N3016" s="23" t="n">
        <v>2016</v>
      </c>
      <c r="O3016" s="23" t="n">
        <v>306</v>
      </c>
      <c r="P3016" s="23" t="n"/>
      <c r="Q3016" s="23" t="n"/>
      <c r="R3016" s="25" t="inlineStr">
        <is>
          <t>Боги древности коварны, мелочны и жестоки. Они не знают пощады, им неведомо милосердие. Только безумец способен им противостоять и, если не выиграть битву, то, по крайней мере, выйти из неё непобеждённым. Но Алексей, чёрный следопыт из нашего времени, не опускает руки, не впадает в уныние. Любовь даёт ему силы, и борьба продолжается, вечная борьба, потому что именно она и является основой мироздания.</t>
        </is>
      </c>
      <c r="S3016" s="26">
        <f>HYPERLINK("http://www.cnpol.ru/covers/16560.jpg","фото на сайте")</f>
        <v/>
      </c>
    </row>
    <row r="3017" ht="50.1" customHeight="1" s="3">
      <c r="A3017" s="23" t="n"/>
      <c r="B3017" s="24" t="inlineStr">
        <is>
          <t>16023</t>
        </is>
      </c>
      <c r="C3017" s="23" t="inlineStr">
        <is>
          <t>НТ</t>
        </is>
      </c>
      <c r="D3017" s="23" t="inlineStr">
        <is>
          <t>Горбонос С.А.</t>
        </is>
      </c>
      <c r="E3017" s="23" t="inlineStr">
        <is>
          <t>Вторая жизнь</t>
        </is>
      </c>
      <c r="F3017" s="23" t="inlineStr">
        <is>
          <t>        </t>
        </is>
      </c>
      <c r="G3017" s="23" t="n">
        <v>554</v>
      </c>
      <c r="H3017" s="23" t="n">
        <v>10</v>
      </c>
      <c r="I3017" s="23" t="n">
        <v>14</v>
      </c>
      <c r="J3017" s="23" t="inlineStr">
        <is>
          <t>978-5-227-05967-3</t>
        </is>
      </c>
      <c r="K3017" s="23" t="inlineStr">
        <is>
          <t>84x108 1/32</t>
        </is>
      </c>
      <c r="L3017" s="23" t="inlineStr">
        <is>
          <t>тв</t>
        </is>
      </c>
      <c r="M3017" s="23" t="n">
        <v>286</v>
      </c>
      <c r="N3017" s="23" t="n">
        <v>2015</v>
      </c>
      <c r="O3017" s="23" t="n">
        <v>256</v>
      </c>
      <c r="P3017" s="23" t="n"/>
      <c r="Q3017" s="23" t="n"/>
      <c r="R3017" s="25" t="inlineStr">
        <is>
          <t>Что есть игры? Это чистая квинтэссенция приключения. Развлечение с доставкой на дом. А ещё это борьба. Борьба за первенство, борьба за лидерство. Ведь игра — это не реальность. Но реальны игроки, которых взбудоражило появление новой игры. Новаторские технологии и, главное, погружение в настоящую виртуальность. Это подкупало. Такой должна была стать ожидаемая всеми «Vita Seconda». В игру попадает человек, который изначально смотрит на мир чуточку иначе, под другим углом зрения. И выбирает игровой класс, считающийся совершенно мирным, — друида. Хранители природы не могут себя защитить — глупость, которую опровергает новый игрок. Кем он станет, друид с именем Вереск? Неприметным кустарником под ступнями сильных нового мира или же, быть может, предсмертным вереском для того, кто осмелился поднять руку на тех, кого решил защитить неожиданный хранитель?</t>
        </is>
      </c>
      <c r="S3017" s="26">
        <f>HYPERLINK("http://www.cnpol.ru/covers/16023.jpg","фото на сайте")</f>
        <v/>
      </c>
    </row>
    <row r="3018" ht="50.1" customHeight="1" s="3">
      <c r="A3018" s="23" t="n"/>
      <c r="B3018" s="24" t="inlineStr">
        <is>
          <t>19112</t>
        </is>
      </c>
      <c r="C3018" s="23" t="inlineStr">
        <is>
          <t>НТ</t>
        </is>
      </c>
      <c r="D3018" s="23" t="inlineStr">
        <is>
          <t>Либих А.</t>
        </is>
      </c>
      <c r="E3018" s="23" t="inlineStr">
        <is>
          <t>Выжить в лесу Междумирья</t>
        </is>
      </c>
      <c r="F3018" s="23" t="inlineStr">
        <is>
          <t>        </t>
        </is>
      </c>
      <c r="G3018" s="23" t="n">
        <v>554</v>
      </c>
      <c r="H3018" s="23" t="n">
        <v>10</v>
      </c>
      <c r="I3018" s="23" t="n">
        <v>14</v>
      </c>
      <c r="J3018" s="23" t="inlineStr">
        <is>
          <t>978-5-227-09071-3</t>
        </is>
      </c>
      <c r="K3018" s="23" t="inlineStr">
        <is>
          <t>84x108 1/32</t>
        </is>
      </c>
      <c r="L3018" s="23" t="inlineStr">
        <is>
          <t>тв</t>
        </is>
      </c>
      <c r="M3018" s="23" t="n">
        <v>288</v>
      </c>
      <c r="N3018" s="23" t="n">
        <v>2020</v>
      </c>
      <c r="O3018" s="23" t="n">
        <v>258</v>
      </c>
      <c r="P3018" s="23" t="n"/>
      <c r="Q3018" s="23" t="n"/>
      <c r="R3018" s="25" t="inlineStr">
        <is>
          <t>В таинственном Междумирье решается, будет ли жить человек, который в реальном мире тяжело ранен или болен. Здесь нет одиночества, даже тихий, замкнутый человек внезапно оказывается в гуще событий, от него зависит судьба других людей и существ из волшебных стран. Все дороги ведут к лесному замку — к гордой фее: почему­то именно у нее находят приют те, кому больше некуда идти. В жестоком мире, в котором придется сражаться с хищниками и чудовищами, героям суждено узнать любовь, и пусть добро не всегда сильнее зла, но жизнь чудесна рядом с теми, кто тебе дорог…</t>
        </is>
      </c>
      <c r="S3018" s="26">
        <f>HYPERLINK("http://www.cnpol.ru/covers/19112.jpg","фото на сайте")</f>
        <v/>
      </c>
    </row>
    <row r="3019" ht="50.1" customHeight="1" s="3">
      <c r="A3019" s="23" t="n"/>
      <c r="B3019" s="24" t="inlineStr">
        <is>
          <t>17761</t>
        </is>
      </c>
      <c r="C3019" s="23" t="inlineStr">
        <is>
          <t>НТ</t>
        </is>
      </c>
      <c r="D3019" s="23" t="inlineStr">
        <is>
          <t>Муравьев К.Н</t>
        </is>
      </c>
      <c r="E3019" s="23" t="inlineStr">
        <is>
          <t>Где-то там...</t>
        </is>
      </c>
      <c r="F3019" s="23" t="inlineStr">
        <is>
          <t>        </t>
        </is>
      </c>
      <c r="G3019" s="23" t="n">
        <v>554</v>
      </c>
      <c r="H3019" s="23" t="n">
        <v>10</v>
      </c>
      <c r="I3019" s="23" t="n">
        <v>12</v>
      </c>
      <c r="J3019" s="23" t="inlineStr">
        <is>
          <t>978-5-227-07348-8</t>
        </is>
      </c>
      <c r="K3019" s="23" t="inlineStr">
        <is>
          <t>84x108 1/32</t>
        </is>
      </c>
      <c r="L3019" s="23" t="inlineStr">
        <is>
          <t>тв</t>
        </is>
      </c>
      <c r="M3019" s="23" t="n">
        <v>352</v>
      </c>
      <c r="N3019" s="23" t="n">
        <v>2017</v>
      </c>
      <c r="O3019" s="23" t="n">
        <v>288</v>
      </c>
      <c r="P3019" s="23" t="n"/>
      <c r="Q3019" s="23" t="n"/>
      <c r="R3019" s="25" t="inlineStr">
        <is>
          <t>Молодой человек волей случая и рвения стажёра-оператора телепортационных установок попадает в странный и необычный мир, где каждый может оказаться либо другом, либо врагом. Где помощь может прийти отовсюду, от маленького забавного зверька и от таинственного огромного костяного демона. Где магия органично вошла в жизнь существ, вплелась в структуру этого таинственного мира. Мира, находящегося за гранью привычной реальности и лежащего в глубине неизведанного пространства, куда забросила судьба нашего соотечественника. Мира, находящегося где-то там...</t>
        </is>
      </c>
      <c r="S3019" s="26">
        <f>HYPERLINK("http://www.cnpol.ru/covers/17761.jpg","фото на сайте")</f>
        <v/>
      </c>
    </row>
    <row r="3020" ht="50.1" customHeight="1" s="3">
      <c r="A3020" s="23" t="n"/>
      <c r="B3020" s="24" t="inlineStr">
        <is>
          <t>19374</t>
        </is>
      </c>
      <c r="C3020" s="23" t="inlineStr">
        <is>
          <t>НТ</t>
        </is>
      </c>
      <c r="D3020" s="23" t="inlineStr">
        <is>
          <t>Горохов А.А</t>
        </is>
      </c>
      <c r="E3020" s="23" t="inlineStr">
        <is>
          <t>Герой поневоле</t>
        </is>
      </c>
      <c r="F3020" s="23" t="inlineStr">
        <is>
          <t>        </t>
        </is>
      </c>
      <c r="G3020" s="23" t="n">
        <v>554</v>
      </c>
      <c r="H3020" s="23" t="n">
        <v>10</v>
      </c>
      <c r="I3020" s="23" t="n">
        <v>14</v>
      </c>
      <c r="J3020" s="23" t="inlineStr">
        <is>
          <t>978-5-227-09228-1</t>
        </is>
      </c>
      <c r="K3020" s="23" t="inlineStr">
        <is>
          <t>84x108 1/32</t>
        </is>
      </c>
      <c r="L3020" s="23" t="inlineStr">
        <is>
          <t>тв</t>
        </is>
      </c>
      <c r="M3020" s="23" t="n">
        <v>288</v>
      </c>
      <c r="N3020" s="23" t="n">
        <v>2020</v>
      </c>
      <c r="O3020" s="23" t="n">
        <v>254</v>
      </c>
      <c r="P3020" s="23" t="n"/>
      <c r="Q3020" s="23" t="n"/>
      <c r="R3020" s="25" t="inlineStr">
        <is>
          <t>Черные и Белые ангелы ведут извечную борьбу за судьбу Земли в то время, как теневое правительство жаждет заполучить инопланетное оружие для установления безраздельной власти. Российские спецслужбы обязаны отыскать сбитый во время войны НЛО, чтобы суметь хоть что­то противопоставить этим коварным планам, ведь на помощь красоток из тайного общества «Врил» рассчитывать не приходится. По воле случая втянутым в круговорот событий оказывается простой экспедитор Глеб Таран. Причем до этого он уже успел умереть…</t>
        </is>
      </c>
      <c r="S3020" s="26">
        <f>HYPERLINK("http://www.cnpol.ru/covers/19374.jpg","фото на сайте")</f>
        <v/>
      </c>
    </row>
    <row r="3021" ht="50.1" customHeight="1" s="3">
      <c r="A3021" s="23" t="n"/>
      <c r="B3021" s="24" t="inlineStr">
        <is>
          <t>15964</t>
        </is>
      </c>
      <c r="C3021" s="23" t="inlineStr">
        <is>
          <t>НТ</t>
        </is>
      </c>
      <c r="D3021" s="23" t="inlineStr">
        <is>
          <t>Михеев М., Ковалевская Е.</t>
        </is>
      </c>
      <c r="E3021" s="23" t="inlineStr">
        <is>
          <t>Герой чужой войны</t>
        </is>
      </c>
      <c r="F3021" s="23" t="inlineStr">
        <is>
          <t>        </t>
        </is>
      </c>
      <c r="G3021" s="23" t="n">
        <v>554</v>
      </c>
      <c r="H3021" s="23" t="n">
        <v>10</v>
      </c>
      <c r="I3021" s="23" t="n">
        <v>12</v>
      </c>
      <c r="J3021" s="23" t="inlineStr">
        <is>
          <t>978-5-227-05937-6</t>
        </is>
      </c>
      <c r="K3021" s="23" t="inlineStr">
        <is>
          <t>84x108 1/32</t>
        </is>
      </c>
      <c r="L3021" s="23" t="inlineStr">
        <is>
          <t>тв</t>
        </is>
      </c>
      <c r="M3021" s="23" t="n">
        <v>350</v>
      </c>
      <c r="N3021" s="23" t="n">
        <v>2015</v>
      </c>
      <c r="O3021" s="23" t="n">
        <v>282</v>
      </c>
      <c r="P3021" s="23" t="n"/>
      <c r="Q3021" s="23" t="n"/>
      <c r="R3021" s="25" t="inlineStr">
        <is>
          <t>На протяжении десятков поколений человечество осваивало Вселенную, но единой она так и не стала. Галактика бурлила, как котел, государства создавались и распадались, а звездные войны стали обыденностью… Командор Демин — верный солдат империи, цель которого — служить своему отечеству. Сашка — одна из самых талантливых пилотов конфедерации, и смысл ее жизни — в полете. Смогут ли они понять друг друга и предотвратить войну, когда столкновение двух сверхдержав — империи и конфедерации — по прихоти алчных политиков, а также тех, кто незримо подталкивает их к этому, стало трагической неизбежностью?</t>
        </is>
      </c>
      <c r="S3021" s="26">
        <f>HYPERLINK("http://www.cnpol.ru/covers/15964.jpg","фото на сайте")</f>
        <v/>
      </c>
    </row>
    <row r="3022" ht="50.1" customHeight="1" s="3">
      <c r="A3022" s="23" t="n"/>
      <c r="B3022" s="24" t="inlineStr">
        <is>
          <t>17760</t>
        </is>
      </c>
      <c r="C3022" s="23" t="inlineStr">
        <is>
          <t>НТ</t>
        </is>
      </c>
      <c r="D3022" s="23" t="inlineStr">
        <is>
          <t>Муравьев К.Н</t>
        </is>
      </c>
      <c r="E3022" s="23" t="inlineStr">
        <is>
          <t>Город древних</t>
        </is>
      </c>
      <c r="F3022" s="23" t="inlineStr">
        <is>
          <t>        </t>
        </is>
      </c>
      <c r="G3022" s="23" t="n">
        <v>554</v>
      </c>
      <c r="H3022" s="23" t="n">
        <v>10</v>
      </c>
      <c r="I3022" s="23" t="n">
        <v>10</v>
      </c>
      <c r="J3022" s="23" t="inlineStr">
        <is>
          <t>978-5-227-07347-1</t>
        </is>
      </c>
      <c r="K3022" s="23" t="inlineStr">
        <is>
          <t>84x108 1/32</t>
        </is>
      </c>
      <c r="L3022" s="23" t="inlineStr">
        <is>
          <t>тв</t>
        </is>
      </c>
      <c r="M3022" s="23" t="n">
        <v>448</v>
      </c>
      <c r="N3022" s="23" t="n">
        <v>2017</v>
      </c>
      <c r="O3022" s="23" t="n">
        <v>338</v>
      </c>
      <c r="P3022" s="23" t="n"/>
      <c r="Q3022" s="23" t="n"/>
      <c r="R3022" s="25" t="inlineStr">
        <is>
          <t>Приключения нашего современника в новом и загадочном мире продолжаются. Он уже немного окреп и освоился. Однако обстоятельства вынудили его покинуть обжитое место. Впереди просторы Гигантского Леса и развалины города древних магов, тайна его величия и мгновенного па­дения. Впереди самый опасный враг, которого не смогли усмирить даже великие маги древности. Впереди встреча с той, кто может изменить жизнь нашего героя и показать ему новую цель. Но его дорога не будет лёгкой. Перед ним встанут орды нежити и мёртвых магов, стражей мёртвого города. Города, что скрывает в себе одну из самых важных тайн этого мира: откуда в нём появились маги?</t>
        </is>
      </c>
      <c r="S3022" s="26">
        <f>HYPERLINK("http://www.cnpol.ru/covers/17760.jpg","фото на сайте")</f>
        <v/>
      </c>
    </row>
    <row r="3023" ht="50.1" customHeight="1" s="3">
      <c r="A3023" s="23" t="n"/>
      <c r="B3023" s="24" t="inlineStr">
        <is>
          <t>19454</t>
        </is>
      </c>
      <c r="C3023" s="23" t="inlineStr">
        <is>
          <t>НТ</t>
        </is>
      </c>
      <c r="D3023" s="23" t="inlineStr">
        <is>
          <t>Граймс С., Вертефей Ж.</t>
        </is>
      </c>
      <c r="E3023" s="23" t="inlineStr">
        <is>
          <t>Гость внутри</t>
        </is>
      </c>
      <c r="F3023" s="23" t="inlineStr">
        <is>
          <t>        </t>
        </is>
      </c>
      <c r="G3023" s="23" t="n">
        <v>554</v>
      </c>
      <c r="H3023" s="23" t="n">
        <v>10</v>
      </c>
      <c r="I3023" s="23" t="n">
        <v>14</v>
      </c>
      <c r="J3023" s="23" t="inlineStr">
        <is>
          <t>978-5-227-09269-4</t>
        </is>
      </c>
      <c r="K3023" s="23" t="inlineStr">
        <is>
          <t>84x108 1/32</t>
        </is>
      </c>
      <c r="L3023" s="23" t="inlineStr">
        <is>
          <t>тв</t>
        </is>
      </c>
      <c r="M3023" s="23" t="n">
        <v>287</v>
      </c>
      <c r="N3023" s="23" t="n">
        <v>2021</v>
      </c>
      <c r="O3023" s="23" t="n">
        <v>252</v>
      </c>
      <c r="P3023" s="23" t="n"/>
      <c r="Q3023" s="23" t="n"/>
      <c r="R3023" s="25" t="inlineStr">
        <is>
          <t>Девяностые годы прошлого века. Алексей Беляев возвращается из армии в родной Питер и понимает, что за два года совершенно выпал из жизни. Любимая девушка не дождалась. Друзья заняты своими делами, работы нет, с родителями взаимное недопонимание. Не сумев вписаться в новую жизнь, Алексей уходит из дома и решает плыть по течению. Но судьба играет с Беляевым злую шутку, подбрасывая ему новые и новые сюрпризы. Он проходит через криминальный мир Питера, погружается в оккультный мир, опускается на самое дно, ниже которого только девять кругов ада. А по пятам идет нечто еще более жуткое, чем сам ад.</t>
        </is>
      </c>
      <c r="S3023" s="26">
        <f>HYPERLINK("http://www.cnpol.ru/covers/19454.jpg","фото на сайте")</f>
        <v/>
      </c>
    </row>
    <row r="3024" ht="50.1" customHeight="1" s="3">
      <c r="A3024" s="23" t="n"/>
      <c r="B3024" s="24" t="inlineStr">
        <is>
          <t>19054</t>
        </is>
      </c>
      <c r="C3024" s="23" t="inlineStr">
        <is>
          <t>НТ</t>
        </is>
      </c>
      <c r="D3024" s="23" t="inlineStr">
        <is>
          <t>Сандаковский А.А</t>
        </is>
      </c>
      <c r="E3024" s="23" t="inlineStr">
        <is>
          <t>Государство Сократа</t>
        </is>
      </c>
      <c r="F3024" s="23" t="inlineStr">
        <is>
          <t>        </t>
        </is>
      </c>
      <c r="G3024" s="23" t="n">
        <v>554</v>
      </c>
      <c r="H3024" s="23" t="n">
        <v>10</v>
      </c>
      <c r="I3024" s="23" t="n">
        <v>14</v>
      </c>
      <c r="J3024" s="23" t="inlineStr">
        <is>
          <t>978-5-227-08981-6</t>
        </is>
      </c>
      <c r="K3024" s="23" t="inlineStr">
        <is>
          <t>84x108 1/32</t>
        </is>
      </c>
      <c r="L3024" s="23" t="inlineStr">
        <is>
          <t>тв</t>
        </is>
      </c>
      <c r="M3024" s="23" t="n">
        <v>288</v>
      </c>
      <c r="N3024" s="23" t="n">
        <v>2020</v>
      </c>
      <c r="O3024" s="23" t="n">
        <v>238</v>
      </c>
      <c r="P3024" s="23" t="n"/>
      <c r="Q3024" s="23" t="n"/>
      <c r="R3024" s="25" t="inlineStr">
        <is>
          <t>Молодой юрист из провинциального российского городка попадает в сложную ситуацию — представители другой стороны судебного спора предлагают ему крупную сумму денег за «слив» дела клиента. Он борется с соблазном и отказывается от взятки, тем самым навлекая на себя беду. В результате подстроенного несчастного случая теряет сознание, а когда приходит в себя, то обнаруживает, что находится в чужой стране в параллельной реальности в теле… двенадцатилетнего мальчика. В этой стране нет коррупции, а высшими ценностями являются добродетель, закон и справедливость.</t>
        </is>
      </c>
      <c r="S3024" s="26">
        <f>HYPERLINK("http://www.cnpol.ru/covers/19054.jpg","фото на сайте")</f>
        <v/>
      </c>
    </row>
    <row r="3025" ht="50.1" customHeight="1" s="3">
      <c r="A3025" s="23" t="n"/>
      <c r="B3025" s="24" t="inlineStr">
        <is>
          <t>16856</t>
        </is>
      </c>
      <c r="C3025" s="23" t="inlineStr">
        <is>
          <t>НТ</t>
        </is>
      </c>
      <c r="D3025" s="23" t="inlineStr">
        <is>
          <t>Поселягин В.Г</t>
        </is>
      </c>
      <c r="E3025" s="23" t="inlineStr">
        <is>
          <t>Гранд-мастер</t>
        </is>
      </c>
      <c r="F3025" s="23" t="inlineStr">
        <is>
          <t>        </t>
        </is>
      </c>
      <c r="G3025" s="23" t="n">
        <v>554</v>
      </c>
      <c r="H3025" s="23" t="n">
        <v>10</v>
      </c>
      <c r="I3025" s="23" t="n">
        <v>14</v>
      </c>
      <c r="J3025" s="23" t="inlineStr">
        <is>
          <t>978-5-227-06851-4</t>
        </is>
      </c>
      <c r="K3025" s="23" t="inlineStr">
        <is>
          <t>84x108 1/32</t>
        </is>
      </c>
      <c r="L3025" s="23" t="inlineStr">
        <is>
          <t>тв</t>
        </is>
      </c>
      <c r="M3025" s="23" t="n">
        <v>288</v>
      </c>
      <c r="N3025" s="23" t="n">
        <v>2016</v>
      </c>
      <c r="O3025" s="23" t="n">
        <v>254</v>
      </c>
      <c r="P3025" s="23" t="n"/>
      <c r="Q3025" s="23" t="n"/>
      <c r="R3025" s="25" t="inlineStr">
        <is>
          <t>Простое желание развеяться и подзаработать привело мага Арни Ки Сона к тому, что он потерял практически всё... Удастся ли ему вернуть потерянное? Учеников, имущество и... себя?</t>
        </is>
      </c>
      <c r="S3025" s="26">
        <f>HYPERLINK("http://www.cnpol.ru/covers/16856.jpg","фото на сайте")</f>
        <v/>
      </c>
    </row>
    <row r="3026" ht="50.1" customHeight="1" s="3">
      <c r="A3026" s="23" t="n"/>
      <c r="B3026" s="24" t="inlineStr">
        <is>
          <t>15016</t>
        </is>
      </c>
      <c r="C3026" s="23" t="inlineStr">
        <is>
          <t>НТ</t>
        </is>
      </c>
      <c r="D3026" s="23" t="inlineStr">
        <is>
          <t>Сахаров В.И.</t>
        </is>
      </c>
      <c r="E3026" s="23" t="inlineStr">
        <is>
          <t>Граф Мечников</t>
        </is>
      </c>
      <c r="F3026" s="23" t="inlineStr">
        <is>
          <t>        </t>
        </is>
      </c>
      <c r="G3026" s="23" t="n">
        <v>554</v>
      </c>
      <c r="H3026" s="23" t="n">
        <v>10</v>
      </c>
      <c r="I3026" s="23" t="n">
        <v>12</v>
      </c>
      <c r="J3026" s="23" t="inlineStr">
        <is>
          <t>978-5-227-04988-9</t>
        </is>
      </c>
      <c r="K3026" s="23" t="inlineStr">
        <is>
          <t>82x108 1/32</t>
        </is>
      </c>
      <c r="L3026" s="23" t="inlineStr">
        <is>
          <t>тв</t>
        </is>
      </c>
      <c r="M3026" s="23" t="n">
        <v>317</v>
      </c>
      <c r="N3026" s="23" t="n">
        <v>2014</v>
      </c>
      <c r="O3026" s="23" t="n">
        <v>262</v>
      </c>
      <c r="P3026" s="23" t="n"/>
      <c r="Q3026" s="23" t="n"/>
      <c r="R3026" s="25" t="inlineStr">
        <is>
          <t>Получен новый приказ диктатора ККФ Симакова, и граф Александр Мечников вновь оставляет родину и пускается в путь. Он и его дружинники вместе с переселенцами и семьями должны колонизировать берега одичавшего Пиренейского полуострова. Задача сложная, поскольку Испания — вотчина людоедских племён, которые не рады чужакам. Но граф отступать не собирается, а его воины верят в свои силы. Поэтому вскоре на Пиренеях появляется кубанский форт. Русские корабли совершают набеги на Англию и торговые походы на Балтику и в Северное море. Поисковики собирают оружие и ценные трофеи, которые остались под развалинами городов. Дипломаты ведут переговоры и производят наём скандинавских викингов и питерских повольников. Строители восстанавливают инфраструктуру и возводят укрепления. И когда орды дикарей подобно всесокрушающему смерчу накатываются на земли графа, он встречает их так, как</t>
        </is>
      </c>
      <c r="S3026" s="26">
        <f>HYPERLINK("http://www.cnpol.ru/covers/15016.jpg","фото на сайте")</f>
        <v/>
      </c>
    </row>
    <row r="3027" ht="50.1" customHeight="1" s="3">
      <c r="A3027" s="23" t="n"/>
      <c r="B3027" s="24" t="inlineStr">
        <is>
          <t>19666</t>
        </is>
      </c>
      <c r="C3027" s="23" t="inlineStr">
        <is>
          <t>НТ</t>
        </is>
      </c>
      <c r="D3027" s="23" t="inlineStr">
        <is>
          <t>Саликов А.</t>
        </is>
      </c>
      <c r="E3027" s="23" t="inlineStr">
        <is>
          <t>Дальневосточная опора прочная…</t>
        </is>
      </c>
      <c r="F3027" s="23" t="inlineStr">
        <is>
          <t>        </t>
        </is>
      </c>
      <c r="G3027" s="23" t="n">
        <v>554</v>
      </c>
      <c r="H3027" s="23" t="n">
        <v>10</v>
      </c>
      <c r="I3027" s="23" t="n">
        <v>14</v>
      </c>
      <c r="J3027" s="23" t="inlineStr">
        <is>
          <t>978-5-227-09498-8</t>
        </is>
      </c>
      <c r="K3027" s="23" t="inlineStr">
        <is>
          <t>84x108 1/32</t>
        </is>
      </c>
      <c r="L3027" s="23" t="inlineStr">
        <is>
          <t>тв</t>
        </is>
      </c>
      <c r="M3027" s="23" t="n">
        <v>288</v>
      </c>
      <c r="N3027" s="23" t="n">
        <v>2021</v>
      </c>
      <c r="O3027" s="23" t="n">
        <v>254</v>
      </c>
      <c r="P3027" s="23" t="n"/>
      <c r="Q3027" s="23" t="n"/>
      <c r="R3027" s="25" t="inlineStr">
        <is>
          <t>Не по своей воле в теле умершего от гриппа подростка оказывается битый жизнью наш современник. А жил тот паренёк в СССР в середине 20­х годов XX века. До начала войны чуть больше 10 лет, но не сидит ещё товарищ Сталин в Кремле. Зато там хватает тех, кто считает Россию кучей хвороста для костра мировой революции, кому плевать на то, что будет после. И клятый возраст! — ну не воспринимают серьёзно молодого парня взрослые мужики, потому и приходится действовать маленькими шажочками, стараясь не привлекать к себе внимания. Вот только для того, чтобы сократить наши потери в будущей войне, нужно выйти из спасительной тени и идти вперёд, не боясь никого и ничего.</t>
        </is>
      </c>
      <c r="S3027" s="26">
        <f>HYPERLINK("http://www.cnpol.ru/covers/19666.jpg","фото на сайте")</f>
        <v/>
      </c>
    </row>
    <row r="3028" ht="50.1" customHeight="1" s="3">
      <c r="A3028" s="23" t="n"/>
      <c r="B3028" s="24" t="inlineStr">
        <is>
          <t>17259</t>
        </is>
      </c>
      <c r="C3028" s="23" t="inlineStr">
        <is>
          <t>НТ</t>
        </is>
      </c>
      <c r="D3028" s="23" t="inlineStr">
        <is>
          <t>Муравьев К.Н</t>
        </is>
      </c>
      <c r="E3028" s="23" t="inlineStr">
        <is>
          <t>Дальняя застава</t>
        </is>
      </c>
      <c r="F3028" s="23" t="inlineStr">
        <is>
          <t>        </t>
        </is>
      </c>
      <c r="G3028" s="23" t="n">
        <v>554</v>
      </c>
      <c r="H3028" s="23" t="n">
        <v>10</v>
      </c>
      <c r="I3028" s="23" t="n">
        <v>12</v>
      </c>
      <c r="J3028" s="23" t="inlineStr">
        <is>
          <t>978-5-227-07336-5</t>
        </is>
      </c>
      <c r="K3028" s="23" t="inlineStr">
        <is>
          <t>84x108 1/32</t>
        </is>
      </c>
      <c r="L3028" s="23" t="inlineStr">
        <is>
          <t>тв</t>
        </is>
      </c>
      <c r="M3028" s="23" t="n">
        <v>320</v>
      </c>
      <c r="N3028" s="23" t="n">
        <v>2017</v>
      </c>
      <c r="O3028" s="23" t="n">
        <v>258</v>
      </c>
      <c r="P3028" s="23" t="n"/>
      <c r="Q3028" s="23" t="n"/>
      <c r="R3028" s="25" t="inlineStr">
        <is>
          <t>Если ты оказался в чужом и необычном мире, сумел не погибнуть по пути сюда, и даже смог как­то устроиться на новом месте, это ещё не значит, что всё уже позади. Это лишь означает, что ты успел увернуться от первого выпада, который приготовила тебе судьба. И скоро сможешь убедиться в этом. Ведь этот первый выпад чаще всего является проверочным. Тебя прощупывают. Стараются найти твои слабости и болевые точки. И потому — готовься. Даже простая и не слишком обременительная поездка может оказаться настоящим испытанием и борьбой за выживание. Но тебе не привыкать. Ведь в этом мире твоё, казалось бы, простое и обычное имя не зря переводится как Живучий.</t>
        </is>
      </c>
      <c r="S3028" s="26">
        <f>HYPERLINK("http://www.cnpol.ru/covers/17259.jpg","фото на сайте")</f>
        <v/>
      </c>
    </row>
    <row r="3029" ht="50.1" customHeight="1" s="3">
      <c r="A3029" s="23" t="n"/>
      <c r="B3029" s="24" t="inlineStr">
        <is>
          <t>18720</t>
        </is>
      </c>
      <c r="C3029" s="23" t="inlineStr">
        <is>
          <t>НТ</t>
        </is>
      </c>
      <c r="D3029" s="23" t="inlineStr">
        <is>
          <t>Каземирский Р.</t>
        </is>
      </c>
      <c r="E3029" s="23" t="inlineStr">
        <is>
          <t>Девятьсот восемьдесят восьмой</t>
        </is>
      </c>
      <c r="F3029" s="23" t="inlineStr">
        <is>
          <t>        </t>
        </is>
      </c>
      <c r="G3029" s="23" t="n">
        <v>554</v>
      </c>
      <c r="H3029" s="23" t="n">
        <v>10</v>
      </c>
      <c r="I3029" s="23" t="n">
        <v>14</v>
      </c>
      <c r="J3029" s="23" t="inlineStr">
        <is>
          <t>978-5-227-08706-5</t>
        </is>
      </c>
      <c r="K3029" s="23" t="inlineStr">
        <is>
          <t>84x108 1/32</t>
        </is>
      </c>
      <c r="L3029" s="23" t="inlineStr">
        <is>
          <t>тв</t>
        </is>
      </c>
      <c r="M3029" s="23" t="n">
        <v>288</v>
      </c>
      <c r="N3029" s="23" t="n">
        <v>2019</v>
      </c>
      <c r="O3029" s="23" t="n">
        <v>254</v>
      </c>
      <c r="P3029" s="23" t="n"/>
      <c r="Q3029" s="23" t="n"/>
      <c r="R3029" s="25" t="inlineStr">
        <is>
          <t>Древняя Русь никогда не была специализацией Марселя Ивановича. Но именно в этот период его забросила чья­то злая воля. Славянские волхвы еще представляют собой грозную силу, лихие люди на дорогах творят все, что им вздумается, любая ошибка может стоить жизни. Как уцелеть городскому жителю в таких условиях? Особенно если он как две капли воды похож на посланника греческой церкви, которому предстоит склонить князя Владимира в православную веру.</t>
        </is>
      </c>
      <c r="S3029" s="26">
        <f>HYPERLINK("http://www.cnpol.ru/covers/18720.jpg","фото на сайте")</f>
        <v/>
      </c>
    </row>
    <row r="3030" ht="50.1" customHeight="1" s="3">
      <c r="A3030" s="23" t="n"/>
      <c r="B3030" s="24" t="inlineStr">
        <is>
          <t>18871</t>
        </is>
      </c>
      <c r="C3030" s="23" t="inlineStr">
        <is>
          <t>НТ</t>
        </is>
      </c>
      <c r="D3030" s="23" t="inlineStr">
        <is>
          <t>Крюков А.М</t>
        </is>
      </c>
      <c r="E3030" s="23" t="inlineStr">
        <is>
          <t>Дело всей смерти</t>
        </is>
      </c>
      <c r="F3030" s="23" t="inlineStr">
        <is>
          <t>        </t>
        </is>
      </c>
      <c r="G3030" s="23" t="n">
        <v>554</v>
      </c>
      <c r="H3030" s="23" t="n">
        <v>10</v>
      </c>
      <c r="I3030" s="23" t="n">
        <v>14</v>
      </c>
      <c r="J3030" s="23" t="inlineStr">
        <is>
          <t>978-5-227-08833-8</t>
        </is>
      </c>
      <c r="K3030" s="23" t="inlineStr">
        <is>
          <t>84x108 1/32</t>
        </is>
      </c>
      <c r="L3030" s="23" t="inlineStr">
        <is>
          <t>тв</t>
        </is>
      </c>
      <c r="M3030" s="23" t="n">
        <v>288</v>
      </c>
      <c r="N3030" s="23" t="n">
        <v>2019</v>
      </c>
      <c r="O3030" s="23" t="n">
        <v>258</v>
      </c>
      <c r="P3030" s="23" t="n"/>
      <c r="Q3030" s="23" t="n"/>
      <c r="R3030" s="25" t="inlineStr">
        <is>
          <t>В разведке подумали: «Кому лучше Бога известно, что станет с миром и каждым из нас?» И отправили в рай агентов охотиться за планами небесного штаба. Это дает начало захватывающим событиям в потустороннем царстве и на земле, в современной России. Демон, начальник небесной контрразведки,  помогает московскому следователю раскрывать преступления. Медиум становится убийцей по воле вселившегося в него духа. У торговцев будущим похищают детей. За книгу судеб в раю сражаются наши и американские разведчики, уголовник продает душу за биткоины, а обезьяны на том свете превращаются в людей. Главному герою приходится делать выбор между жизнью и смертью, адом и раем, но в конце концов он выбирает любовь.</t>
        </is>
      </c>
      <c r="S3030" s="26">
        <f>HYPERLINK("http://www.cnpol.ru/covers/18871.jpg","фото на сайте")</f>
        <v/>
      </c>
    </row>
    <row r="3031" ht="50.1" customHeight="1" s="3">
      <c r="A3031" s="23" t="n"/>
      <c r="B3031" s="24" t="inlineStr">
        <is>
          <t>18644</t>
        </is>
      </c>
      <c r="C3031" s="23" t="inlineStr">
        <is>
          <t>НТ</t>
        </is>
      </c>
      <c r="D3031" s="23" t="inlineStr">
        <is>
          <t>Шалыгин В.В.</t>
        </is>
      </c>
      <c r="E3031" s="23" t="inlineStr">
        <is>
          <t>Джокер</t>
        </is>
      </c>
      <c r="F3031" s="23" t="inlineStr">
        <is>
          <t>        </t>
        </is>
      </c>
      <c r="G3031" s="23" t="n">
        <v>554</v>
      </c>
      <c r="H3031" s="23" t="n">
        <v>10</v>
      </c>
      <c r="I3031" s="23" t="n">
        <v>14</v>
      </c>
      <c r="J3031" s="23" t="inlineStr">
        <is>
          <t>978-5-227-08643-3</t>
        </is>
      </c>
      <c r="K3031" s="23" t="inlineStr">
        <is>
          <t>84x108 1/32</t>
        </is>
      </c>
      <c r="L3031" s="23" t="inlineStr">
        <is>
          <t>тв</t>
        </is>
      </c>
      <c r="M3031" s="23" t="n">
        <v>320</v>
      </c>
      <c r="N3031" s="23" t="n">
        <v>2019</v>
      </c>
      <c r="O3031" s="23" t="n">
        <v>268</v>
      </c>
      <c r="P3031" s="23" t="n"/>
      <c r="Q3031" s="23" t="n"/>
      <c r="R3031" s="25" t="inlineStr">
        <is>
          <t>Разведчики, покинувшие Землю задолго до появления на планете первых фараонов Империи, возвращаются на родину предков и видят, что их место на планете занято новой цивилизацией. Землян тревожит слух, что отражения в самых обычных зеркалах становятся опасными для здоровья. А еще люди вдруг начинают встречать на улицах своих двойников. Имперские космические разведчики Нео Красс и Бо Скир, земная девушка Анна — ученый гидролог, и майор госбезопасности Данилов смотрят на ситуацию с разных сторон, однако все видят за кулисами событий одного и того же человека в сером капюшоне, загадочного типа по прозвищу Джокер. Возможно, он знает ответы на вопросы, но как его найти?</t>
        </is>
      </c>
      <c r="S3031" s="26">
        <f>HYPERLINK("http://www.cnpol.ru/covers/18644.jpg","фото на сайте")</f>
        <v/>
      </c>
    </row>
    <row r="3032" ht="50.1" customHeight="1" s="3">
      <c r="A3032" s="23" t="n"/>
      <c r="B3032" s="24" t="inlineStr">
        <is>
          <t>19650</t>
        </is>
      </c>
      <c r="C3032" s="23" t="inlineStr">
        <is>
          <t>НТ</t>
        </is>
      </c>
      <c r="D3032" s="23" t="inlineStr">
        <is>
          <t>Агишев Р.</t>
        </is>
      </c>
      <c r="E3032" s="23" t="inlineStr">
        <is>
          <t>Диверсант Петра Великого</t>
        </is>
      </c>
      <c r="F3032" s="23" t="inlineStr">
        <is>
          <t>        </t>
        </is>
      </c>
      <c r="G3032" s="23" t="n">
        <v>554</v>
      </c>
      <c r="H3032" s="23" t="n">
        <v>10</v>
      </c>
      <c r="I3032" s="23" t="n">
        <v>14</v>
      </c>
      <c r="J3032" s="23" t="inlineStr">
        <is>
          <t>978-5-227-09435-3</t>
        </is>
      </c>
      <c r="K3032" s="23" t="inlineStr">
        <is>
          <t>84x108 1/32</t>
        </is>
      </c>
      <c r="L3032" s="23" t="inlineStr">
        <is>
          <t>тв</t>
        </is>
      </c>
      <c r="M3032" s="23" t="n">
        <v>288</v>
      </c>
      <c r="N3032" s="23" t="n">
        <v>2021</v>
      </c>
      <c r="O3032" s="23" t="n">
        <v>254</v>
      </c>
      <c r="P3032" s="23" t="n"/>
      <c r="Q3032" s="23" t="n"/>
      <c r="R3032" s="25" t="inlineStr">
        <is>
          <t>Картина из захолустного музея, оказавшаяся порталом, отправила Дениса Антонова на сотни лет в прошлое, в эпоху Петра Великого, поместив его в личину босоного мальца, Алексашку Меншикова. В поисках дороги домой он с головой окунулся  в пучину жестоких испытаний, став для будущего российского императора надежным советчиком и верным другом. С легкой руки Дениса в русской армии появились скорострельные мушкеты и слезоточивые гранаты, а частью флота стал грозный броненосец с батареей пороховых ракет на вооружении. Его жалуют поручиком Преображенского полка, обещают титул. Казалось, само провидение благоволит ему. Однако на его пути вновь появляется проклятая картина…</t>
        </is>
      </c>
      <c r="S3032" s="26">
        <f>HYPERLINK("http://www.cnpol.ru/covers/19650.jpg","фото на сайте")</f>
        <v/>
      </c>
    </row>
    <row r="3033" ht="50.1" customHeight="1" s="3">
      <c r="A3033" s="23" t="n"/>
      <c r="B3033" s="24" t="inlineStr">
        <is>
          <t>18115</t>
        </is>
      </c>
      <c r="C3033" s="23" t="inlineStr">
        <is>
          <t>НТ</t>
        </is>
      </c>
      <c r="D3033" s="23" t="inlineStr">
        <is>
          <t>Переяславцев А., Иванов М.</t>
        </is>
      </c>
      <c r="E3033" s="23" t="inlineStr">
        <is>
          <t>Длинные руки нейтралитета</t>
        </is>
      </c>
      <c r="F3033" s="23" t="inlineStr">
        <is>
          <t>        </t>
        </is>
      </c>
      <c r="G3033" s="23" t="n">
        <v>554</v>
      </c>
      <c r="H3033" s="23" t="n">
        <v>10</v>
      </c>
      <c r="I3033" s="23" t="n">
        <v>10</v>
      </c>
      <c r="J3033" s="23" t="inlineStr">
        <is>
          <t>978-5-227-08215-2</t>
        </is>
      </c>
      <c r="K3033" s="23" t="inlineStr">
        <is>
          <t>84x108 1/32</t>
        </is>
      </c>
      <c r="L3033" s="23" t="inlineStr">
        <is>
          <t>тв</t>
        </is>
      </c>
      <c r="M3033" s="23" t="n">
        <v>448</v>
      </c>
      <c r="N3033" s="23" t="n">
        <v>2018</v>
      </c>
      <c r="O3033" s="23" t="n">
        <v>346</v>
      </c>
      <c r="P3033" s="23" t="n"/>
      <c r="Q3033" s="23" t="n"/>
      <c r="R3033" s="25" t="inlineStr">
        <is>
          <t>Экспедиция Маэры застревает в Севастополе 1854 года, так как портал остаётся размером, возможным лишь для пересылки малоразмерных предметов. Идёт Крымская война. Пришельцы стараются не вмешиваться, но это не удаётся в полной мере. Российский флот покупает у маэрцев оружие, которое непрерывно улучшается стараниями той и другой стороны. А маг жизни организует медицинскую помощь, применяя свои умения в исце­лении раненых, больных и контуженых. Однако спецслужбы англо­фран­ко турецкой коалиции не могут не обратить внимания на обновления ­российского вооружения и предпринимают ответные действия — как чисто военные, так и в виде тайных операций. На Маэре же ведутся исследовательские работы для возвращения своих сограждан. И никто не знает, ждёт ли учёных успех.</t>
        </is>
      </c>
      <c r="S3033" s="26">
        <f>HYPERLINK("http://www.cnpol.ru/covers/18115.jpg","фото на сайте")</f>
        <v/>
      </c>
    </row>
    <row r="3034" ht="50.1" customHeight="1" s="3">
      <c r="A3034" s="23" t="n"/>
      <c r="B3034" s="24" t="inlineStr">
        <is>
          <t>18176</t>
        </is>
      </c>
      <c r="C3034" s="23" t="inlineStr">
        <is>
          <t>НТ</t>
        </is>
      </c>
      <c r="D3034" s="23" t="inlineStr">
        <is>
          <t>Сахаров В.И.</t>
        </is>
      </c>
      <c r="E3034" s="23" t="inlineStr">
        <is>
          <t>Добытчик</t>
        </is>
      </c>
      <c r="F3034" s="23" t="inlineStr">
        <is>
          <t>        </t>
        </is>
      </c>
      <c r="G3034" s="23" t="n">
        <v>554</v>
      </c>
      <c r="H3034" s="23" t="n">
        <v>10</v>
      </c>
      <c r="I3034" s="23" t="n">
        <v>14</v>
      </c>
      <c r="J3034" s="23" t="inlineStr">
        <is>
          <t>978-5-227-08239-8</t>
        </is>
      </c>
      <c r="K3034" s="23" t="inlineStr">
        <is>
          <t>84x108 1/32</t>
        </is>
      </c>
      <c r="L3034" s="23" t="inlineStr">
        <is>
          <t>тв</t>
        </is>
      </c>
      <c r="M3034" s="23" t="n">
        <v>320</v>
      </c>
      <c r="N3034" s="23" t="n">
        <v>2018</v>
      </c>
      <c r="O3034" s="23" t="n">
        <v>274</v>
      </c>
      <c r="P3034" s="23" t="n"/>
      <c r="Q3034" s="23" t="n"/>
      <c r="R3034" s="25" t="inlineStr">
        <is>
          <t>Отставной гвардеец Александр Мечников прошёл длинный путь от вольного искателя приключений и разведчика до аристократа молодой Черноморской империи. Он многого добился и основал в обезлюдевшей после чумы Испании колонию. Он сражается с дикарями и сектантами, ведёт торговлю с уцелевшими цивилизованными анклавами постапокалиптического мира и осуществляет дальнюю морскую разведку. День ото дня Мечников становится сильнее, его колония крепнет, и над фортом Передовой гордо развевается имперский флаг. Кажется, будущее не сулит графу таких трудностей, которые он не смог бы преодолеть. Однако император решает, что колонии чрезмерно богаты и получили слишком много вольностей. Мечников и другие колонисты оказываются перед выбором: уступить императору или сопротивляться.</t>
        </is>
      </c>
      <c r="S3034" s="26">
        <f>HYPERLINK("http://www.cnpol.ru/covers/18176.jpg","фото на сайте")</f>
        <v/>
      </c>
    </row>
    <row r="3035" ht="50.1" customHeight="1" s="3">
      <c r="A3035" s="23" t="n"/>
      <c r="B3035" s="24" t="inlineStr">
        <is>
          <t>18291</t>
        </is>
      </c>
      <c r="C3035" s="23" t="inlineStr">
        <is>
          <t>НТ</t>
        </is>
      </c>
      <c r="D3035" s="23" t="inlineStr">
        <is>
          <t>Неклюдов В.</t>
        </is>
      </c>
      <c r="E3035" s="23" t="inlineStr">
        <is>
          <t>Дорогами миров</t>
        </is>
      </c>
      <c r="F3035" s="23" t="inlineStr">
        <is>
          <t>        </t>
        </is>
      </c>
      <c r="G3035" s="23" t="n">
        <v>554</v>
      </c>
      <c r="H3035" s="23" t="n">
        <v>10</v>
      </c>
      <c r="I3035" s="23" t="n">
        <v>10</v>
      </c>
      <c r="J3035" s="23" t="inlineStr">
        <is>
          <t>978-5-227-08347-0</t>
        </is>
      </c>
      <c r="K3035" s="23" t="inlineStr">
        <is>
          <t>84x108 1/32</t>
        </is>
      </c>
      <c r="L3035" s="23" t="inlineStr">
        <is>
          <t>тв</t>
        </is>
      </c>
      <c r="M3035" s="23" t="n">
        <v>416</v>
      </c>
      <c r="N3035" s="23" t="n">
        <v>2018</v>
      </c>
      <c r="O3035" s="23" t="n">
        <v>334</v>
      </c>
      <c r="P3035" s="23" t="n"/>
      <c r="Q3035" s="23" t="n"/>
      <c r="R3035" s="25" t="inlineStr">
        <is>
          <t>Что может в провинциальном Оренбурге светить человеку, имеющему богатый жизненный опыт, но уже перешагнувшему пятидесятилетний рубеж? На высокооплачиваемую работу устроиться практически невозможно. Приходится браться за любую подходящую шабашку. Хорошо, если у вас есть собственный микроавтобус, на котором можно возить людей и грузы. Да ещё вы не растеряли бодрость духа и отличную реакцию, которая совершенно случайно поможет стать обладателем искусственной разумной матрицы иноземной цивилизации, у которой в памяти хранится обширная база данных по порталам, ведущим в разнообразные параллельные миры, расположенные по спирали Фибоначчи, которую на Земле называют «зашифрованным законом Вселенной». И вашим неожиданным попутчикам ничего не остаётся, как пригласить вас принять участие в экспедиции по другим мирам. Судьба­злодейка будет преподносить сюрпризы, но ваши старые и новые, инопланетные, друзья помогут решать, казалось бы, неразрешимые проблемы. Один лишь шорк по кличке Багира, способный с помощью врождённой мимикрии становиться совершенно невидимым, может навести шороху среди ваших недоброжелателей. Но, как окажется, это не единственный его талант… Миры будут сменяться мирами, даря новые знания, возможности и иноземные артефакты. Но сможете ли вы выжить и спасти участников первой экспедиции, отправленной незадолго до вашей поездки?</t>
        </is>
      </c>
      <c r="S3035" s="26">
        <f>HYPERLINK("http://www.cnpol.ru/covers/18291.jpg","фото на сайте")</f>
        <v/>
      </c>
    </row>
    <row r="3036" ht="50.1" customHeight="1" s="3">
      <c r="A3036" s="23" t="n"/>
      <c r="B3036" s="24" t="inlineStr">
        <is>
          <t>18878</t>
        </is>
      </c>
      <c r="C3036" s="23" t="inlineStr">
        <is>
          <t>НТ</t>
        </is>
      </c>
      <c r="D3036" s="23" t="inlineStr">
        <is>
          <t>Саган И., Кейн А.</t>
        </is>
      </c>
      <c r="E3036" s="23" t="inlineStr">
        <is>
          <t>Дотянуться до престола</t>
        </is>
      </c>
      <c r="F3036" s="23" t="inlineStr">
        <is>
          <t>        </t>
        </is>
      </c>
      <c r="G3036" s="23" t="n">
        <v>554</v>
      </c>
      <c r="H3036" s="23" t="n">
        <v>10</v>
      </c>
      <c r="I3036" s="23" t="n">
        <v>14</v>
      </c>
      <c r="J3036" s="23" t="inlineStr">
        <is>
          <t>978-5-227-08835-2</t>
        </is>
      </c>
      <c r="K3036" s="23" t="inlineStr">
        <is>
          <t>84x108 1/32</t>
        </is>
      </c>
      <c r="L3036" s="23" t="inlineStr">
        <is>
          <t>тв</t>
        </is>
      </c>
      <c r="M3036" s="23" t="n">
        <v>320</v>
      </c>
      <c r="N3036" s="23" t="n">
        <v>2019</v>
      </c>
      <c r="O3036" s="23" t="n">
        <v>276</v>
      </c>
      <c r="P3036" s="23" t="n"/>
      <c r="Q3036" s="23" t="n"/>
      <c r="R3036" s="25" t="inlineStr">
        <is>
          <t>Потомок русских эмигрантов, Пьер получает предложение поучаствовать в испытании на должность начальника крупного проекта. Он с радостью хватается за этот шанс, не подозревая, что в результате окажется в Русском царстве начала XVII века, да еще и в теле трехлетнего карапуза. И теперь Пьер — с мозгами тридцатилетнего менеджера – вынужден устраивать одну мистификацию за другой, чтобы не погибнуть среди интриг и заговоров: ведь бояре мечтают убить его, подменить или объявить посланцем темных сил. Сможет ли он выжить и вернуться домой? Да и захочет ли?</t>
        </is>
      </c>
      <c r="S3036" s="26">
        <f>HYPERLINK("http://www.cnpol.ru/covers/18878.jpg","фото на сайте")</f>
        <v/>
      </c>
    </row>
    <row r="3037" ht="50.1" customHeight="1" s="3">
      <c r="A3037" s="23" t="n"/>
      <c r="B3037" s="24" t="inlineStr">
        <is>
          <t>17596</t>
        </is>
      </c>
      <c r="C3037" s="23" t="inlineStr">
        <is>
          <t>НТ</t>
        </is>
      </c>
      <c r="D3037" s="23" t="inlineStr">
        <is>
          <t>Саликов А.</t>
        </is>
      </c>
      <c r="E3037" s="23" t="inlineStr">
        <is>
          <t>Жандарм на пороге 20 века</t>
        </is>
      </c>
      <c r="F3037" s="23" t="inlineStr">
        <is>
          <t>        </t>
        </is>
      </c>
      <c r="G3037" s="23" t="n">
        <v>554</v>
      </c>
      <c r="H3037" s="23" t="n">
        <v>10</v>
      </c>
      <c r="I3037" s="23" t="n">
        <v>12</v>
      </c>
      <c r="J3037" s="23" t="inlineStr">
        <is>
          <t>978-5-227-07628-1</t>
        </is>
      </c>
      <c r="K3037" s="23" t="inlineStr">
        <is>
          <t>84x108 1/32</t>
        </is>
      </c>
      <c r="L3037" s="23" t="inlineStr">
        <is>
          <t>тв</t>
        </is>
      </c>
      <c r="M3037" s="23" t="n">
        <v>384</v>
      </c>
      <c r="N3037" s="23" t="n">
        <v>2017</v>
      </c>
      <c r="O3037" s="23" t="n">
        <v>310</v>
      </c>
      <c r="P3037" s="23" t="n"/>
      <c r="Q3037" s="23" t="n"/>
      <c r="R3037" s="25" t="inlineStr">
        <is>
          <t>Конец XIX — начало XX века, гигантский скачок в науке, когда казалось, что романы Жюля Верна вот-вот воплотятся в жизнь. Но Его Величество Капитал уже вышел из тени, диктуя свои правила. Передел мира практически закончился, остался лишь Китай, который нарезали на ломтики европейские державы. Приняла в этом участие и Россия. Слова «КВЖД», «Маньчжурия» и «Квантун» были у всех на слуху. Только командир батальона осназа знал, что вскоре грянет буря, которая сметёт всё построенное с таким трудом, а спустя три года родина потерпит унизительное поражение. Но наш современник, волею судьбы оказавшийся в прошлом, с этим не согласен. «Делай, что должен, и будь что будет!» — вот его девиз!</t>
        </is>
      </c>
      <c r="S3037" s="26">
        <f>HYPERLINK("http://www.cnpol.ru/covers/17596.jpg","фото на сайте")</f>
        <v/>
      </c>
    </row>
    <row r="3038" ht="50.1" customHeight="1" s="3">
      <c r="A3038" s="23" t="n"/>
      <c r="B3038" s="24" t="inlineStr">
        <is>
          <t>19543</t>
        </is>
      </c>
      <c r="C3038" s="23" t="inlineStr">
        <is>
          <t>НТ</t>
        </is>
      </c>
      <c r="D3038" s="23" t="inlineStr">
        <is>
          <t>Градинар Д.С</t>
        </is>
      </c>
      <c r="E3038" s="23" t="inlineStr">
        <is>
          <t>Жестокая гвардия неба</t>
        </is>
      </c>
      <c r="F3038" s="23" t="inlineStr">
        <is>
          <t>        </t>
        </is>
      </c>
      <c r="G3038" s="23" t="n">
        <v>554</v>
      </c>
      <c r="H3038" s="23" t="n">
        <v>10</v>
      </c>
      <c r="I3038" s="23" t="n">
        <v>14</v>
      </c>
      <c r="J3038" s="23" t="inlineStr">
        <is>
          <t>978-5-227-09361-5</t>
        </is>
      </c>
      <c r="K3038" s="23" t="inlineStr">
        <is>
          <t>84x108 1/32</t>
        </is>
      </c>
      <c r="L3038" s="23" t="inlineStr">
        <is>
          <t>тв</t>
        </is>
      </c>
      <c r="M3038" s="23" t="n">
        <v>319</v>
      </c>
      <c r="N3038" s="23" t="n">
        <v>2021</v>
      </c>
      <c r="O3038" s="23" t="n">
        <v>274</v>
      </c>
      <c r="P3038" s="23" t="n"/>
      <c r="Q3038" s="23" t="n"/>
      <c r="R3038" s="25" t="inlineStr">
        <is>
          <t>Человечество столкнулось с самым страшным врагом за всю свою историю. Само небо объявило нам войну. Сражения ведутся на земле, в облаках, в океанах... И, кажется, в этой битве мы уже проигрываем. Вскоре нам предстоит вернуться в пещеры, потеряв — все достижения цивилизации. Единственное, что может помочь, это люди, которые способны заглянуть по другую сторону фронта, стать частью жестокой гвардии неба, чтобы ценой собственных потерь и страданий дать человечеству последний шанс.</t>
        </is>
      </c>
      <c r="S3038" s="26">
        <f>HYPERLINK("http://www.cnpol.ru/covers/19543.jpg","фото на сайте")</f>
        <v/>
      </c>
    </row>
    <row r="3039" ht="50.1" customHeight="1" s="3">
      <c r="A3039" s="23" t="n"/>
      <c r="B3039" s="24" t="inlineStr">
        <is>
          <t>18513</t>
        </is>
      </c>
      <c r="C3039" s="23" t="inlineStr">
        <is>
          <t>НТ</t>
        </is>
      </c>
      <c r="D3039" s="23" t="inlineStr">
        <is>
          <t>Поселягин В.Г</t>
        </is>
      </c>
      <c r="E3039" s="23" t="inlineStr">
        <is>
          <t>Жнец</t>
        </is>
      </c>
      <c r="F3039" s="23" t="inlineStr">
        <is>
          <t>        </t>
        </is>
      </c>
      <c r="G3039" s="23" t="n">
        <v>554</v>
      </c>
      <c r="H3039" s="23" t="n">
        <v>10</v>
      </c>
      <c r="I3039" s="23" t="n">
        <v>14</v>
      </c>
      <c r="J3039" s="23" t="inlineStr">
        <is>
          <t>978-5-227-08519-1</t>
        </is>
      </c>
      <c r="K3039" s="23" t="inlineStr">
        <is>
          <t>84x108 1/32</t>
        </is>
      </c>
      <c r="L3039" s="23" t="inlineStr">
        <is>
          <t>тв</t>
        </is>
      </c>
      <c r="M3039" s="23" t="n">
        <v>288</v>
      </c>
      <c r="N3039" s="23" t="n">
        <v>2019</v>
      </c>
      <c r="O3039" s="23" t="n">
        <v>250</v>
      </c>
      <c r="P3039" s="23" t="n"/>
      <c r="Q3039" s="23" t="n"/>
      <c r="R3039" s="25" t="inlineStr">
        <is>
          <t>Есть ли жизнь после смерти? Этим вопросом Олег Крайнов никогда не задавался, но наступило время, когда задать его пришлось. Оказалось, жизнь всё же есть. Или это ему так повезло? Как посмотреть. Итак, 1937 год, новая жизнь, новое тело и новые планы на будущее, которые разбиваются о реальность. Учиться маневрировать оказалось быстрее, чем прогибать мир под себя, но Олег попытался.</t>
        </is>
      </c>
      <c r="S3039" s="26">
        <f>HYPERLINK("http://www.cnpol.ru/covers/18513.jpg","фото на сайте")</f>
        <v/>
      </c>
    </row>
    <row r="3040" ht="50.1" customHeight="1" s="3">
      <c r="A3040" s="23" t="n"/>
      <c r="B3040" s="24" t="inlineStr">
        <is>
          <t>17890</t>
        </is>
      </c>
      <c r="C3040" s="23" t="inlineStr">
        <is>
          <t>НТ</t>
        </is>
      </c>
      <c r="D3040" s="23" t="inlineStr">
        <is>
          <t>Муравьев К.Н</t>
        </is>
      </c>
      <c r="E3040" s="23" t="inlineStr">
        <is>
          <t>Закрытые миры</t>
        </is>
      </c>
      <c r="F3040" s="23" t="inlineStr">
        <is>
          <t>        </t>
        </is>
      </c>
      <c r="G3040" s="23" t="n">
        <v>554</v>
      </c>
      <c r="H3040" s="23" t="n">
        <v>10</v>
      </c>
      <c r="I3040" s="23" t="n">
        <v>12</v>
      </c>
      <c r="J3040" s="23" t="inlineStr">
        <is>
          <t>978-5-227-08015-8</t>
        </is>
      </c>
      <c r="K3040" s="23" t="inlineStr">
        <is>
          <t>84x108 1/32</t>
        </is>
      </c>
      <c r="L3040" s="23" t="inlineStr">
        <is>
          <t>тв</t>
        </is>
      </c>
      <c r="M3040" s="23" t="n">
        <v>352</v>
      </c>
      <c r="N3040" s="23" t="n">
        <v>2018</v>
      </c>
      <c r="O3040" s="23" t="n">
        <v>284</v>
      </c>
      <c r="P3040" s="23" t="n"/>
      <c r="Q3040" s="23" t="n"/>
      <c r="R3040" s="25" t="n"/>
      <c r="S3040" s="26">
        <f>HYPERLINK("http://www.cnpol.ru/covers/17890.jpg","фото на сайте")</f>
        <v/>
      </c>
    </row>
    <row r="3041" ht="50.1" customHeight="1" s="3">
      <c r="A3041" s="23" t="n"/>
      <c r="B3041" s="24" t="inlineStr">
        <is>
          <t>17251</t>
        </is>
      </c>
      <c r="C3041" s="23" t="inlineStr">
        <is>
          <t>НТ</t>
        </is>
      </c>
      <c r="D3041" s="23" t="inlineStr">
        <is>
          <t>Мясоедов В.М.</t>
        </is>
      </c>
      <c r="E3041" s="23" t="inlineStr">
        <is>
          <t>Заместитель для демиурга</t>
        </is>
      </c>
      <c r="F3041" s="23" t="inlineStr">
        <is>
          <t>        </t>
        </is>
      </c>
      <c r="G3041" s="23" t="n">
        <v>554</v>
      </c>
      <c r="H3041" s="23" t="n">
        <v>10</v>
      </c>
      <c r="I3041" s="23" t="n">
        <v>14</v>
      </c>
      <c r="J3041" s="23" t="inlineStr">
        <is>
          <t>978-5-227-07340-2</t>
        </is>
      </c>
      <c r="K3041" s="23" t="inlineStr">
        <is>
          <t>84x108 1/32</t>
        </is>
      </c>
      <c r="L3041" s="23" t="inlineStr">
        <is>
          <t>тв</t>
        </is>
      </c>
      <c r="M3041" s="23" t="n">
        <v>288</v>
      </c>
      <c r="N3041" s="23" t="n">
        <v>2017</v>
      </c>
      <c r="O3041" s="23" t="n">
        <v>232</v>
      </c>
      <c r="P3041" s="23" t="n"/>
      <c r="Q3041" s="23" t="n"/>
      <c r="R3041" s="25" t="inlineStr">
        <is>
          <t>Новая работа выглядела сомнительно, но чтобы взяться за неё, нашлось много причин. Деньги, которые обещала своему сотруднику компания, сумевшая первой создать подлинную виртуальную реальность. Научный интерес, вызванный одним фактом своего существования настоящими работающими искинами. Ну и просто любопытство… Ведь не каждый день тебе предлагают заменить собой вышедшего из строя бога игрового мира, даря возможность творить всё, что пожелаешь. А ещё начальство обещало возможность приголубить слишком наглых геймеров метеоритом…</t>
        </is>
      </c>
      <c r="S3041" s="26">
        <f>HYPERLINK("http://www.cnpol.ru/covers/17251.jpg","фото на сайте")</f>
        <v/>
      </c>
    </row>
    <row r="3042" ht="50.1" customHeight="1" s="3">
      <c r="A3042" s="23" t="n"/>
      <c r="B3042" s="24" t="inlineStr">
        <is>
          <t>17453</t>
        </is>
      </c>
      <c r="C3042" s="23" t="inlineStr">
        <is>
          <t>НТ</t>
        </is>
      </c>
      <c r="D3042" s="23" t="inlineStr">
        <is>
          <t>Переяславцев А.</t>
        </is>
      </c>
      <c r="E3042" s="23" t="inlineStr">
        <is>
          <t>Замыкание спирали</t>
        </is>
      </c>
      <c r="F3042" s="23" t="inlineStr">
        <is>
          <t>        </t>
        </is>
      </c>
      <c r="G3042" s="23" t="n">
        <v>554</v>
      </c>
      <c r="H3042" s="23" t="n">
        <v>10</v>
      </c>
      <c r="I3042" s="23" t="n">
        <v>10</v>
      </c>
      <c r="J3042" s="23" t="inlineStr">
        <is>
          <t>978-5-227-07464-5</t>
        </is>
      </c>
      <c r="K3042" s="23" t="inlineStr">
        <is>
          <t>84x108 1/32</t>
        </is>
      </c>
      <c r="L3042" s="23" t="inlineStr">
        <is>
          <t>тв</t>
        </is>
      </c>
      <c r="M3042" s="23" t="n">
        <v>416</v>
      </c>
      <c r="N3042" s="23" t="n">
        <v>2017</v>
      </c>
      <c r="O3042" s="23" t="n">
        <v>312</v>
      </c>
      <c r="P3042" s="23" t="n"/>
      <c r="Q3042" s="23" t="n"/>
      <c r="R3042" s="25" t="inlineStr">
        <is>
          <t>Стурр, молодой офицер драконьего войска с блестящим послужным списком, получает информацию, что влиятельная группа магов разрабатывает средства, которые позволят полностью уничтожить всю расу крылатых. Попытки человеческого мага воспрепятствовать прохождению этого решения к успеху не приводят: слишком влиятельные силы стоят за решением избавиться от драконов. Ничего не остаётся, как воспользоваться послезнанием. А Стурр знает, что драконы могут уцелеть, перебравшись на западный континент, в Заокеанию. Однако одного только переселения недостаточно для успеха. Не имея сил для прямого военного противодействия, пятнистый решает убедить противника в том, что все драконы погибли по естественным причинам. Для этого нужно расставить логическую ловушку, навести противника на ложный след… И ещё одна сторона пока молчаливо следит за действиями пятнистого дракона: те, кто перенёс сознание человека в тело новорождённого дракона. У них свои цели…</t>
        </is>
      </c>
      <c r="S3042" s="26">
        <f>HYPERLINK("http://www.cnpol.ru/covers/17453.jpg","фото на сайте")</f>
        <v/>
      </c>
    </row>
    <row r="3043" ht="50.1" customHeight="1" s="3">
      <c r="A3043" s="23" t="n"/>
      <c r="B3043" s="24" t="inlineStr">
        <is>
          <t>19055</t>
        </is>
      </c>
      <c r="C3043" s="23" t="inlineStr">
        <is>
          <t>НТ</t>
        </is>
      </c>
      <c r="D3043" s="23" t="inlineStr">
        <is>
          <t>Эдельман Н.В</t>
        </is>
      </c>
      <c r="E3043" s="23" t="inlineStr">
        <is>
          <t>Звездный час</t>
        </is>
      </c>
      <c r="F3043" s="23" t="inlineStr">
        <is>
          <t>        </t>
        </is>
      </c>
      <c r="G3043" s="23" t="n">
        <v>554</v>
      </c>
      <c r="H3043" s="23" t="n">
        <v>10</v>
      </c>
      <c r="I3043" s="23" t="n">
        <v>14</v>
      </c>
      <c r="J3043" s="23" t="inlineStr">
        <is>
          <t>978-5-227-09025-6</t>
        </is>
      </c>
      <c r="K3043" s="23" t="inlineStr">
        <is>
          <t>84x108 1/32</t>
        </is>
      </c>
      <c r="L3043" s="23" t="inlineStr">
        <is>
          <t>тв</t>
        </is>
      </c>
      <c r="M3043" s="23" t="n">
        <v>288</v>
      </c>
      <c r="N3043" s="23" t="n">
        <v>2020</v>
      </c>
      <c r="O3043" s="23" t="n">
        <v>238</v>
      </c>
      <c r="P3043" s="23" t="n"/>
      <c r="Q3043" s="23" t="n"/>
      <c r="R3043" s="25" t="inlineStr">
        <is>
          <t>Июнь 1941 года. Крым, параллельная реальность. Президент Врангель, сверхбомба, шпионы, заговорщики­монархисты, немецкие десантники… И в самом центре этого клубка – киноактриса Лиза Тургенева. Еще утром, отправляясь на пляж, она не подозревала, какие испытания ее ожидают, а сейчас от ее решений зависят судьбы страны и мира. Станут ли эти события ее звездным часом? Или ей суждены позор и гибель?</t>
        </is>
      </c>
      <c r="S3043" s="26">
        <f>HYPERLINK("http://www.cnpol.ru/covers/19055.jpg","фото на сайте")</f>
        <v/>
      </c>
    </row>
    <row r="3044" ht="50.1" customHeight="1" s="3">
      <c r="A3044" s="23" t="n"/>
      <c r="B3044" s="24" t="inlineStr">
        <is>
          <t>19857</t>
        </is>
      </c>
      <c r="C3044" s="23" t="inlineStr">
        <is>
          <t>НТ</t>
        </is>
      </c>
      <c r="D3044" s="23" t="inlineStr">
        <is>
          <t>Махавкин А.А</t>
        </is>
      </c>
      <c r="E3044" s="23" t="inlineStr">
        <is>
          <t>Звери у двери</t>
        </is>
      </c>
      <c r="F3044" s="23" t="inlineStr">
        <is>
          <t>        </t>
        </is>
      </c>
      <c r="G3044" s="23" t="n">
        <v>554</v>
      </c>
      <c r="H3044" s="23" t="n">
        <v>10</v>
      </c>
      <c r="I3044" s="23" t="n">
        <v>12</v>
      </c>
      <c r="J3044" s="23" t="inlineStr">
        <is>
          <t>978-5-227-09663-0</t>
        </is>
      </c>
      <c r="K3044" s="23" t="inlineStr">
        <is>
          <t>84x108 1/32</t>
        </is>
      </c>
      <c r="L3044" s="23" t="inlineStr">
        <is>
          <t>тв</t>
        </is>
      </c>
      <c r="M3044" s="23" t="n">
        <v>351</v>
      </c>
      <c r="N3044" s="23" t="n">
        <v>2021</v>
      </c>
      <c r="O3044" s="23" t="n">
        <v>300</v>
      </c>
      <c r="P3044" s="23" t="n"/>
      <c r="Q3044" s="23" t="n"/>
      <c r="R3044" s="25" t="inlineStr">
        <is>
          <t>Медальон с изображением львиной головы — обычный кружок металла. Что может измениться в тебе, если наденешь его? Что может случиться, если ты пройдёшь через отверстие в воздухе, ведущее в неизвестное место? Возможно, стоило прислушаться к совету товарища, оставить всё, как есть?.. Семеро молодых людей оказываются вдалеке от дома и пытаются вернуться назад. Однако то, что ждёт их в конце пути, едва ли можно назвать желанной наградой. Скорее — воплощённым кошмаром.</t>
        </is>
      </c>
      <c r="S3044" s="26">
        <f>HYPERLINK("http://www.cnpol.ru/covers/19857.jpg","фото на сайте")</f>
        <v/>
      </c>
    </row>
    <row r="3045" ht="50.1" customHeight="1" s="3">
      <c r="A3045" s="23" t="n"/>
      <c r="B3045" s="24" t="inlineStr">
        <is>
          <t>19025</t>
        </is>
      </c>
      <c r="C3045" s="23" t="inlineStr">
        <is>
          <t>НТ</t>
        </is>
      </c>
      <c r="D3045" s="23" t="inlineStr">
        <is>
          <t>Мироненко А.А</t>
        </is>
      </c>
      <c r="E3045" s="23" t="inlineStr">
        <is>
          <t>Земля — лишь ферма</t>
        </is>
      </c>
      <c r="F3045" s="23" t="inlineStr">
        <is>
          <t>        </t>
        </is>
      </c>
      <c r="G3045" s="23" t="n">
        <v>554</v>
      </c>
      <c r="H3045" s="23" t="n">
        <v>10</v>
      </c>
      <c r="I3045" s="23" t="n">
        <v>14</v>
      </c>
      <c r="J3045" s="23" t="inlineStr">
        <is>
          <t>978-5-227-08948-9</t>
        </is>
      </c>
      <c r="K3045" s="23" t="inlineStr">
        <is>
          <t>84x108 1/32</t>
        </is>
      </c>
      <c r="L3045" s="23" t="inlineStr">
        <is>
          <t>тв</t>
        </is>
      </c>
      <c r="M3045" s="23" t="n">
        <v>320</v>
      </c>
      <c r="N3045" s="23" t="n">
        <v>2020</v>
      </c>
      <c r="O3045" s="23" t="n">
        <v>266</v>
      </c>
      <c r="P3045" s="23" t="n"/>
      <c r="Q3045" s="23" t="n"/>
      <c r="R3045" s="25" t="inlineStr">
        <is>
          <t>Чуть ли не каждую ночь Никите Богданцеву снится один и тот же кошмар. Настолько пугающий, что он просыпается с криком и в холодном поту. За помощью Никита обращается к психотерапевту, соглашается на сеанс гипноза, но переживает еще большее потрясение. Вскрывается причина и истинная суть навязчивого кошмара. Реальность оказывается куда страшнее сна. И затрагивает она не только Никиту, но и все человечество, всю Землю…</t>
        </is>
      </c>
      <c r="S3045" s="26">
        <f>HYPERLINK("http://www.cnpol.ru/covers/19025.jpg","фото на сайте")</f>
        <v/>
      </c>
    </row>
    <row r="3046" ht="50.1" customHeight="1" s="3">
      <c r="A3046" s="23" t="n"/>
      <c r="B3046" s="24" t="inlineStr">
        <is>
          <t>12348</t>
        </is>
      </c>
      <c r="C3046" s="23" t="inlineStr">
        <is>
          <t>НТ</t>
        </is>
      </c>
      <c r="D3046" s="23" t="inlineStr">
        <is>
          <t>Хван Д.</t>
        </is>
      </c>
      <c r="E3046" s="23" t="inlineStr">
        <is>
          <t>Знак сокола</t>
        </is>
      </c>
      <c r="F3046" s="23" t="inlineStr">
        <is>
          <t>        </t>
        </is>
      </c>
      <c r="G3046" s="23" t="n">
        <v>554</v>
      </c>
      <c r="H3046" s="23" t="n">
        <v>10</v>
      </c>
      <c r="I3046" s="23" t="n">
        <v>12</v>
      </c>
      <c r="J3046" s="23" t="inlineStr">
        <is>
          <t>978-5-227-02506-7</t>
        </is>
      </c>
      <c r="K3046" s="23" t="inlineStr">
        <is>
          <t>84x108 1/32</t>
        </is>
      </c>
      <c r="L3046" s="23" t="inlineStr">
        <is>
          <t>тв</t>
        </is>
      </c>
      <c r="M3046" s="23" t="n">
        <v>446</v>
      </c>
      <c r="N3046" s="23" t="n">
        <v>2010</v>
      </c>
      <c r="O3046" s="23" t="n">
        <v>360</v>
      </c>
      <c r="P3046" s="23" t="n"/>
      <c r="Q3046" s="23" t="n"/>
      <c r="R3046" s="25" t="inlineStr">
        <is>
          <t>Годы, проведенные научно-исследовательской экспедицией, пропавшей в далеком прошлом, шли один за другим. Вопреки всем трудностям люди не пали духом, и построенное ими среди сибирской тайги общество окрепло настолько, что заявило о себе не только на многие сотни километров окрест, но и в Европе и в Азии. Люди Соколова принимают у себя переселенцев с Руси, пытаясь встроить их в свое общество. Ангарские послы посетили Московское царство, Датское королевство и Курляндское герцогство, проникли в Корейское государство. Благодаря развитым технологиям ангарцы теперь могут предложить свою помощь и новым союзникам. На реке Сунгари продолжаются периодические стычки с маньчжурами, нередко перерастающие в сражения. Неспокойно и в забайкальских степях - вассалы Цин проверяют на прочность первые городки ангарцев на Селенге. Пока маньчжуры не воспринимают русских всерьез, принимая воинов князя Сокола за северных варваров. Сама же империя Цин крепко завязла в Китае, впереди битва за Пекин и завоевание Китая. Благодаря этому у ангарцев есть шанс в противостоянии с сильным соседом. Вот только согласны ли маньчжуры предоставить его?</t>
        </is>
      </c>
      <c r="S3046" s="26">
        <f>HYPERLINK("http://www.cnpol.ru/covers/12348.jpg","фото на сайте")</f>
        <v/>
      </c>
    </row>
    <row r="3047" ht="50.1" customHeight="1" s="3">
      <c r="A3047" s="23" t="n"/>
      <c r="B3047" s="24" t="inlineStr">
        <is>
          <t>12542</t>
        </is>
      </c>
      <c r="C3047" s="23" t="inlineStr">
        <is>
          <t>НТ</t>
        </is>
      </c>
      <c r="D3047" s="23" t="inlineStr">
        <is>
          <t>Чужин И.А.</t>
        </is>
      </c>
      <c r="E3047" s="23" t="inlineStr">
        <is>
          <t>И небеса разверзлись</t>
        </is>
      </c>
      <c r="F3047" s="23" t="inlineStr">
        <is>
          <t>        </t>
        </is>
      </c>
      <c r="G3047" s="23" t="n">
        <v>554</v>
      </c>
      <c r="H3047" s="23" t="n">
        <v>10</v>
      </c>
      <c r="I3047" s="23" t="n">
        <v>14</v>
      </c>
      <c r="J3047" s="23" t="inlineStr">
        <is>
          <t>978-5-227-02668-2</t>
        </is>
      </c>
      <c r="K3047" s="23" t="inlineStr">
        <is>
          <t>84x108 1/32</t>
        </is>
      </c>
      <c r="L3047" s="23" t="inlineStr">
        <is>
          <t>тв</t>
        </is>
      </c>
      <c r="M3047" s="23" t="n">
        <v>351</v>
      </c>
      <c r="N3047" s="23" t="n">
        <v>2011</v>
      </c>
      <c r="O3047" s="23" t="n">
        <v>292</v>
      </c>
      <c r="P3047" s="23" t="n"/>
      <c r="Q3047" s="23" t="n"/>
      <c r="R3047" s="25" t="inlineStr">
        <is>
          <t>Чудовищная катастрофа уничтожила родину народа хуманов остров Танол. Все планы и мечты Ингара утонули в морской пучине вместе с десятками тысяч людей и его самыми близкими друзьями. Ингару пришлось сделать очень не простой выбор между честью и долгом. Слава героя не стоит жизни целых народов, поэтому Ингар решил попытаться возродить практически погибшие народы хуманов и гвельфов. Кажется, уже нет сил бороться и проще умереть, чем нести на плечах эту неподъёмную ношу, но человек с Земли, стиснув зубы, начинает восхождение из пропасти к вершине, которая была уже так близка. Снова вокруг боль и кровь, непролазные джунгли и тяжёлые утраты. Сможет ли Ингар преодолеть злой рок и победить, или судьба сильнее человеческого упорства?</t>
        </is>
      </c>
      <c r="S3047" s="26">
        <f>HYPERLINK("http://www.cnpol.ru/covers/12542.jpg","фото на сайте")</f>
        <v/>
      </c>
    </row>
    <row r="3048" ht="50.1" customHeight="1" s="3">
      <c r="A3048" s="23" t="n"/>
      <c r="B3048" s="24" t="inlineStr">
        <is>
          <t>19207</t>
        </is>
      </c>
      <c r="C3048" s="23" t="inlineStr">
        <is>
          <t>НТ</t>
        </is>
      </c>
      <c r="D3048" s="23" t="inlineStr">
        <is>
          <t>Сайбер Н.</t>
        </is>
      </c>
      <c r="E3048" s="23" t="inlineStr">
        <is>
          <t>И полвека в придачу</t>
        </is>
      </c>
      <c r="F3048" s="23" t="inlineStr">
        <is>
          <t>        </t>
        </is>
      </c>
      <c r="G3048" s="23" t="n">
        <v>554</v>
      </c>
      <c r="H3048" s="23" t="n">
        <v>10</v>
      </c>
      <c r="I3048" s="23" t="n">
        <v>10</v>
      </c>
      <c r="J3048" s="23" t="inlineStr">
        <is>
          <t>978-5-227-09145-1</t>
        </is>
      </c>
      <c r="K3048" s="23" t="inlineStr">
        <is>
          <t>84x108 1/32</t>
        </is>
      </c>
      <c r="L3048" s="23" t="inlineStr">
        <is>
          <t>тв</t>
        </is>
      </c>
      <c r="M3048" s="23" t="n">
        <v>350</v>
      </c>
      <c r="N3048" s="23" t="n">
        <v>2020</v>
      </c>
      <c r="O3048" s="23" t="n">
        <v>288</v>
      </c>
      <c r="P3048" s="23" t="n"/>
      <c r="Q3048" s="23" t="n"/>
      <c r="R3048" s="25" t="inlineStr">
        <is>
          <t>Алан Трекер получает от друга детства, ставшего видным ученым, письмо с просьбой о помощи. Все бы ничего, но тот уже год, как лежит в могиле! Связано ли это послание с загадочными смертями и исчезновениями знаменитостей по всему миру? Алан с головой погружается в расследование и попадает в удивительный город, не указанный ни на одной карте. В город, где каждую ночь рождается Мертвое солнце, а его обитатели уже не совсем люди. Это не рай и не ад, даже не другая планета, а мир, созданный человеком.</t>
        </is>
      </c>
      <c r="S3048" s="26">
        <f>HYPERLINK("http://www.cnpol.ru/covers/19207.jpg","фото на сайте")</f>
        <v/>
      </c>
    </row>
    <row r="3049" ht="50.1" customHeight="1" s="3">
      <c r="A3049" s="23" t="n"/>
      <c r="B3049" s="24" t="inlineStr">
        <is>
          <t>18919</t>
        </is>
      </c>
      <c r="C3049" s="23" t="inlineStr">
        <is>
          <t>НТ</t>
        </is>
      </c>
      <c r="D3049" s="23" t="inlineStr">
        <is>
          <t>Рас А.</t>
        </is>
      </c>
      <c r="E3049" s="23" t="inlineStr">
        <is>
          <t>Игра колибри</t>
        </is>
      </c>
      <c r="F3049" s="23" t="inlineStr">
        <is>
          <t>        </t>
        </is>
      </c>
      <c r="G3049" s="23" t="n">
        <v>554</v>
      </c>
      <c r="H3049" s="23" t="n">
        <v>10</v>
      </c>
      <c r="I3049" s="23" t="n">
        <v>14</v>
      </c>
      <c r="J3049" s="23" t="inlineStr">
        <is>
          <t>978-5-227-08901-4</t>
        </is>
      </c>
      <c r="K3049" s="23" t="inlineStr">
        <is>
          <t>84x108 1/32</t>
        </is>
      </c>
      <c r="L3049" s="23" t="inlineStr">
        <is>
          <t>тв</t>
        </is>
      </c>
      <c r="M3049" s="23" t="n">
        <v>320</v>
      </c>
      <c r="N3049" s="23" t="n">
        <v>2019</v>
      </c>
      <c r="O3049" s="23" t="n">
        <v>274</v>
      </c>
      <c r="P3049" s="23" t="n"/>
      <c r="Q3049" s="23" t="n"/>
      <c r="R3049" s="25" t="inlineStr">
        <is>
          <t>Нобелевский лауреат по физике из России и агент ФБР из Лос­Анджелеса, что их может связывать? Возможно, темнокожая мексиканка, в которую безумно влюблен русский ученый, или маньяк, безнаказанно орудующий много лет и ставящий в тупик лучших агентов? Или же их связывает еще один гений медицины, который научился копировать память и пересаживать ее другому человеку? На что способен человек ради любви и готов ли он расплатиться собственной жизнью ради того, кто никогда не ответит ему взаимностью? Дружба двух ученых из России и агента ФБР скреплена одной целью — поймать самого таинственного маньяка Города ангелов.</t>
        </is>
      </c>
      <c r="S3049" s="26">
        <f>HYPERLINK("http://www.cnpol.ru/covers/18919.jpg","фото на сайте")</f>
        <v/>
      </c>
    </row>
    <row r="3050" ht="50.1" customHeight="1" s="3">
      <c r="A3050" s="23" t="n"/>
      <c r="B3050" s="24" t="inlineStr">
        <is>
          <t>16078</t>
        </is>
      </c>
      <c r="C3050" s="23" t="inlineStr">
        <is>
          <t>НТ</t>
        </is>
      </c>
      <c r="D3050" s="23" t="inlineStr">
        <is>
          <t>Иванов А.А.</t>
        </is>
      </c>
      <c r="E3050" s="23" t="inlineStr">
        <is>
          <t>Игрушки Анкалимы</t>
        </is>
      </c>
      <c r="F3050" s="23" t="inlineStr">
        <is>
          <t>        </t>
        </is>
      </c>
      <c r="G3050" s="23" t="n">
        <v>554</v>
      </c>
      <c r="H3050" s="23" t="n">
        <v>10</v>
      </c>
      <c r="I3050" s="23" t="n">
        <v>14</v>
      </c>
      <c r="J3050" s="23" t="inlineStr">
        <is>
          <t>978-5-227-06094-5</t>
        </is>
      </c>
      <c r="K3050" s="23" t="inlineStr">
        <is>
          <t>84x108 1/32</t>
        </is>
      </c>
      <c r="L3050" s="23" t="inlineStr">
        <is>
          <t>тв</t>
        </is>
      </c>
      <c r="M3050" s="23" t="n">
        <v>318</v>
      </c>
      <c r="N3050" s="23" t="n">
        <v>2015</v>
      </c>
      <c r="O3050" s="23" t="n">
        <v>270</v>
      </c>
      <c r="P3050" s="23" t="n"/>
      <c r="Q3050" s="23" t="n"/>
      <c r="R3050" s="25" t="inlineStr">
        <is>
          <t>Игра может не только развлекать, но и не менее реально убивать. Правдивость этого изречения в полной мере ощутила на себе одна древняя ­цивилизация, создавшая невероятную, поражающую своими глобальными масштабами Игру. Средство для возобновления почти угасшего интереса к жизни и спасения от беспросветной скуки, грозившей полным вымиранием, оказалось действенным. Владислав, человек из нашего недалёкого будущего, волей случая избегнув смерти, оказался на Анкалиме, в далёком суровом мире, где почти и шага нельзя ступить, чтобы не столкнуться со следами игры вымершей цивилизации. Но жизнь, в отличие от игры, не делает сохранений, а значит, что­либо переиграть не получится. Новая жизнь, новые возможности и способности — это, конечно, хорошо, но к таким бонусам прилагаются и соответствующие неприятности…</t>
        </is>
      </c>
      <c r="S3050" s="26">
        <f>HYPERLINK("http://www.cnpol.ru/covers/16078.jpg","фото на сайте")</f>
        <v/>
      </c>
    </row>
    <row r="3051" ht="50.1" customHeight="1" s="3">
      <c r="A3051" s="23" t="n"/>
      <c r="B3051" s="24" t="inlineStr">
        <is>
          <t>14969</t>
        </is>
      </c>
      <c r="C3051" s="23" t="inlineStr">
        <is>
          <t>НТ</t>
        </is>
      </c>
      <c r="D3051" s="23" t="inlineStr">
        <is>
          <t>Кусков С.</t>
        </is>
      </c>
      <c r="E3051" s="23" t="inlineStr">
        <is>
          <t>Игрушки для императоров: Иллюзия выбора</t>
        </is>
      </c>
      <c r="F3051" s="23" t="inlineStr">
        <is>
          <t>        </t>
        </is>
      </c>
      <c r="G3051" s="23" t="n">
        <v>554</v>
      </c>
      <c r="H3051" s="23" t="n">
        <v>10</v>
      </c>
      <c r="I3051" s="23" t="n">
        <v>14</v>
      </c>
      <c r="J3051" s="23" t="inlineStr">
        <is>
          <t>978-5-227-04960-5</t>
        </is>
      </c>
      <c r="K3051" s="23" t="inlineStr">
        <is>
          <t>84x108 1/32</t>
        </is>
      </c>
      <c r="L3051" s="23" t="inlineStr">
        <is>
          <t>тв</t>
        </is>
      </c>
      <c r="M3051" s="23" t="n">
        <v>317</v>
      </c>
      <c r="N3051" s="23" t="n">
        <v>2014</v>
      </c>
      <c r="O3051" s="23" t="n">
        <v>268</v>
      </c>
      <c r="P3051" s="23" t="n"/>
      <c r="Q3051" s="23" t="n"/>
      <c r="R3051" s="25" t="inlineStr">
        <is>
          <t>XXV век, Венера. Ее королевское величество в отъезде, это ли не повод начать Большие Игры за ее спиной? Игры, в которых каждый сам за себя, все против всех, а на кону самый сладкий приз из всех возможных — власть? И выжить в них объекту интриги, вчерашнему пареньку, боровшемуся за свое «я» и место под солнцем, можно, лишь осознав бессилие и вступив под защиту одной из противоборствующих сторон.</t>
        </is>
      </c>
      <c r="S3051" s="26">
        <f>HYPERLINK("http://www.cnpol.ru/covers/14969.jpg","фото на сайте")</f>
        <v/>
      </c>
    </row>
    <row r="3052" ht="50.1" customHeight="1" s="3">
      <c r="A3052" s="23" t="n"/>
      <c r="B3052" s="24" t="inlineStr">
        <is>
          <t>16204</t>
        </is>
      </c>
      <c r="C3052" s="23" t="inlineStr">
        <is>
          <t>НТ</t>
        </is>
      </c>
      <c r="D3052" s="23" t="inlineStr">
        <is>
          <t>Плотников С.А.</t>
        </is>
      </c>
      <c r="E3052" s="23" t="inlineStr">
        <is>
          <t>Из рук врага</t>
        </is>
      </c>
      <c r="F3052" s="23" t="inlineStr">
        <is>
          <t>        </t>
        </is>
      </c>
      <c r="G3052" s="23" t="n">
        <v>554</v>
      </c>
      <c r="H3052" s="23" t="n">
        <v>10</v>
      </c>
      <c r="I3052" s="23" t="n">
        <v>12</v>
      </c>
      <c r="J3052" s="23" t="inlineStr">
        <is>
          <t>978-5-227-06233-8</t>
        </is>
      </c>
      <c r="K3052" s="23" t="inlineStr">
        <is>
          <t>84x108 1/32</t>
        </is>
      </c>
      <c r="L3052" s="23" t="inlineStr">
        <is>
          <t>тв</t>
        </is>
      </c>
      <c r="M3052" s="23" t="n">
        <v>350</v>
      </c>
      <c r="N3052" s="23" t="n">
        <v>2015</v>
      </c>
      <c r="O3052" s="23" t="n">
        <v>298</v>
      </c>
      <c r="P3052" s="23" t="n"/>
      <c r="Q3052" s="23" t="n"/>
      <c r="R3052" s="25" t="inlineStr">
        <is>
          <t>Мир, где есть магия, по определению полон сюрпризов. Александру пришлось столкнуться с ними в полной мере: предательство спутников, статус бесправного ученика в затерянной в горах Башне магов, а обретённая способность контроля над растениями — вообще смертный приговор. Остаётся одно — бежать от местной цивилизации куда подальше, где можно жить, а не выживать и попытаться построить что­то своё. Точнее, не построить — взрастить, «отщипнув» у эльфов кусочек самой основы их жизни и могущества. И кто ж знал, что начатое им однажды перевернёт целый мир...</t>
        </is>
      </c>
      <c r="S3052" s="26">
        <f>HYPERLINK("http://www.cnpol.ru/covers/16204.jpg","фото на сайте")</f>
        <v/>
      </c>
    </row>
    <row r="3053" ht="50.1" customHeight="1" s="3">
      <c r="A3053" s="23" t="n"/>
      <c r="B3053" s="24" t="inlineStr">
        <is>
          <t>19493</t>
        </is>
      </c>
      <c r="C3053" s="23" t="inlineStr">
        <is>
          <t>НТ</t>
        </is>
      </c>
      <c r="D3053" s="23" t="inlineStr">
        <is>
          <t>Гвоздев М.С</t>
        </is>
      </c>
      <c r="E3053" s="23" t="inlineStr">
        <is>
          <t>Измерение N</t>
        </is>
      </c>
      <c r="F3053" s="23" t="inlineStr">
        <is>
          <t>        </t>
        </is>
      </c>
      <c r="G3053" s="23" t="n">
        <v>554</v>
      </c>
      <c r="H3053" s="23" t="n">
        <v>10</v>
      </c>
      <c r="I3053" s="23" t="n">
        <v>14</v>
      </c>
      <c r="J3053" s="23" t="inlineStr">
        <is>
          <t>978-5-227-09359-2</t>
        </is>
      </c>
      <c r="K3053" s="23" t="inlineStr">
        <is>
          <t>84x108 1/32</t>
        </is>
      </c>
      <c r="L3053" s="23" t="inlineStr">
        <is>
          <t>тв</t>
        </is>
      </c>
      <c r="M3053" s="23" t="n">
        <v>287</v>
      </c>
      <c r="N3053" s="23" t="n">
        <v>2021</v>
      </c>
      <c r="O3053" s="23" t="n">
        <v>250</v>
      </c>
      <c r="P3053" s="23" t="n"/>
      <c r="Q3053" s="23" t="n"/>
      <c r="R3053" s="25" t="inlineStr">
        <is>
          <t>Как можно попасть в другое измерение, а главное — выбраться оттуда невредимым? Эта нелегкая задача стоит перед главными героями романа: Марком, Сэмом, Джулией и Ником. Большинство из них попали туда случайно, и только Марк — осознанно. Какие препятствия приходится преодолевать героям, как изменится жизнь Марка и Джулии после встречи со стражем, где персонажам приходится искать еду, ночлег и портал для возвращения на родину и при этом приспосабливаться к непривычной жизни в другом измерении?</t>
        </is>
      </c>
      <c r="S3053" s="26">
        <f>HYPERLINK("http://www.cnpol.ru/covers/19493.jpg","фото на сайте")</f>
        <v/>
      </c>
    </row>
    <row r="3054" ht="50.1" customHeight="1" s="3">
      <c r="A3054" s="23" t="n"/>
      <c r="B3054" s="24" t="inlineStr">
        <is>
          <t>18612</t>
        </is>
      </c>
      <c r="C3054" s="23" t="inlineStr">
        <is>
          <t>НТ</t>
        </is>
      </c>
      <c r="D3054" s="23" t="inlineStr">
        <is>
          <t>Захаров Д.А</t>
        </is>
      </c>
      <c r="E3054" s="23" t="inlineStr">
        <is>
          <t>Империя троянов</t>
        </is>
      </c>
      <c r="F3054" s="23" t="inlineStr">
        <is>
          <t>        </t>
        </is>
      </c>
      <c r="G3054" s="23" t="n">
        <v>554</v>
      </c>
      <c r="H3054" s="23" t="n">
        <v>10</v>
      </c>
      <c r="I3054" s="23" t="n">
        <v>14</v>
      </c>
      <c r="J3054" s="23" t="inlineStr">
        <is>
          <t>978-5-227-08571-9</t>
        </is>
      </c>
      <c r="K3054" s="23" t="inlineStr">
        <is>
          <t>84x108 1/32</t>
        </is>
      </c>
      <c r="L3054" s="23" t="inlineStr">
        <is>
          <t>тв</t>
        </is>
      </c>
      <c r="M3054" s="23" t="n">
        <v>288</v>
      </c>
      <c r="N3054" s="23" t="n">
        <v>2019</v>
      </c>
      <c r="O3054" s="23" t="n">
        <v>254</v>
      </c>
      <c r="P3054" s="23" t="n"/>
      <c r="Q3054" s="23" t="n"/>
      <c r="R3054" s="25" t="inlineStr">
        <is>
          <t>Искупавшись в затерянном таежном озере, питерская девушка попадает в эпоху Российской империи накануне Первой мировой войны. Грозный мир, волшебный, смертельно опасный и непредсказуемый, окружает ее на улицах родного города. Монстры, в человеческом обличье – трояны, меняющие историю на свой прихотливый лад, населяют новый мир. И, чтобы вернуться домой, героине придется сражаться не только с сонмами чудовищ, но и одолеть собственный страх…</t>
        </is>
      </c>
      <c r="S3054" s="26">
        <f>HYPERLINK("http://www.cnpol.ru/covers/18612.jpg","фото на сайте")</f>
        <v/>
      </c>
    </row>
    <row r="3055" ht="50.1" customHeight="1" s="3">
      <c r="A3055" s="23" t="n"/>
      <c r="B3055" s="24" t="inlineStr">
        <is>
          <t>14165</t>
        </is>
      </c>
      <c r="C3055" s="23" t="inlineStr">
        <is>
          <t>НТ</t>
        </is>
      </c>
      <c r="D3055" s="23" t="inlineStr">
        <is>
          <t>Ядов А.</t>
        </is>
      </c>
      <c r="E3055" s="23" t="inlineStr">
        <is>
          <t>Инферналь Мерценариус</t>
        </is>
      </c>
      <c r="F3055" s="23" t="inlineStr">
        <is>
          <t>        </t>
        </is>
      </c>
      <c r="G3055" s="23" t="n">
        <v>554</v>
      </c>
      <c r="H3055" s="23" t="n">
        <v>10</v>
      </c>
      <c r="I3055" s="23" t="n">
        <v>14</v>
      </c>
      <c r="J3055" s="23" t="inlineStr">
        <is>
          <t>978-5-227-04296-5</t>
        </is>
      </c>
      <c r="K3055" s="23" t="inlineStr">
        <is>
          <t>84x108 1/32</t>
        </is>
      </c>
      <c r="L3055" s="23" t="inlineStr">
        <is>
          <t>тв</t>
        </is>
      </c>
      <c r="M3055" s="23" t="n">
        <v>316</v>
      </c>
      <c r="N3055" s="23" t="n">
        <v>2013</v>
      </c>
      <c r="O3055" s="23" t="n">
        <v>274</v>
      </c>
      <c r="P3055" s="23" t="n"/>
      <c r="Q3055" s="23" t="n"/>
      <c r="R3055" s="25" t="inlineStr">
        <is>
          <t>Вряд ли его можно отнести к «хорошим»... Да что там — по нему одновременно рыдают плаха, веревка и клещи палача. И это, увы, объективная реальность... Впрочем, какое ему дело до того, кем его считают эти глупцы? Он тот, кого презирают и «свои», и «чужие». И они могут в любой момент поменяться местами... Он — наемник. И не стоит вставать у него на пути, потому что для него святым является только контракт.</t>
        </is>
      </c>
      <c r="S3055" s="26">
        <f>HYPERLINK("http://www.cnpol.ru/covers/14165.jpg","фото на сайте")</f>
        <v/>
      </c>
    </row>
    <row r="3056" ht="50.1" customHeight="1" s="3">
      <c r="A3056" s="23" t="n"/>
      <c r="B3056" s="24" t="inlineStr">
        <is>
          <t>17216</t>
        </is>
      </c>
      <c r="C3056" s="23" t="inlineStr">
        <is>
          <t>НТ</t>
        </is>
      </c>
      <c r="D3056" s="23" t="inlineStr">
        <is>
          <t>Авраменко А., Гетто В.</t>
        </is>
      </c>
      <c r="E3056" s="23" t="inlineStr">
        <is>
          <t>Исход</t>
        </is>
      </c>
      <c r="F3056" s="23" t="inlineStr">
        <is>
          <t>        </t>
        </is>
      </c>
      <c r="G3056" s="23" t="n">
        <v>554</v>
      </c>
      <c r="H3056" s="23" t="n">
        <v>10</v>
      </c>
      <c r="I3056" s="23" t="n">
        <v>10</v>
      </c>
      <c r="J3056" s="23" t="inlineStr">
        <is>
          <t>978-5-227-07302-0</t>
        </is>
      </c>
      <c r="K3056" s="23" t="inlineStr">
        <is>
          <t>84x108 1/32</t>
        </is>
      </c>
      <c r="L3056" s="23" t="inlineStr">
        <is>
          <t>тв</t>
        </is>
      </c>
      <c r="M3056" s="23" t="n">
        <v>352</v>
      </c>
      <c r="N3056" s="23" t="n">
        <v>2016</v>
      </c>
      <c r="O3056" s="23" t="n">
        <v>268</v>
      </c>
      <c r="P3056" s="23" t="n"/>
      <c r="Q3056" s="23" t="n"/>
      <c r="R3056" s="25" t="inlineStr">
        <is>
          <t>На своей земле, своему государству эти люди были не нужны. Более того, опасны своей памятью. Поэтому они ухватились за возможность покинуть этот мир, уйти в новые, неизвестные края, попытаться построить своё собственное государство, где будут реализованы их мечты и представления об идеальном устройстве жизни. Но, как обычно бывает, мечты слабо соприкасаются с реальностью. Да, новый мир. Да, новая жизнь. И вроде бы всё складывается хорошо, даже слишком. Но… Рядом с пришельцами с Земли живут аборигены. Такие же точно, как беглецы. Их мир очень похож на Европу Первой мировой войны. И точно так же, как и когда­то на Земле, бушует пламя пожарищ, цепи солдат штурмуют окопы врага. И точно так же мировая война перерастает в революцию… Остаться бесстрастным наблюдателем? Как­то это не по­человечески. Не по душе пришельцам. Рождённым в СССР…</t>
        </is>
      </c>
      <c r="S3056" s="26">
        <f>HYPERLINK("http://www.cnpol.ru/covers/17216.jpg","фото на сайте")</f>
        <v/>
      </c>
    </row>
    <row r="3057" ht="50.1" customHeight="1" s="3">
      <c r="A3057" s="23" t="n"/>
      <c r="B3057" s="24" t="inlineStr">
        <is>
          <t>19495</t>
        </is>
      </c>
      <c r="C3057" s="23" t="inlineStr">
        <is>
          <t>НТ</t>
        </is>
      </c>
      <c r="D3057" s="23" t="inlineStr">
        <is>
          <t>Гранд В.</t>
        </is>
      </c>
      <c r="E3057" s="23" t="inlineStr">
        <is>
          <t>Как приручить виверну</t>
        </is>
      </c>
      <c r="F3057" s="23" t="inlineStr">
        <is>
          <t>        </t>
        </is>
      </c>
      <c r="G3057" s="23" t="n">
        <v>554</v>
      </c>
      <c r="H3057" s="23" t="n">
        <v>10</v>
      </c>
      <c r="I3057" s="23" t="n">
        <v>14</v>
      </c>
      <c r="J3057" s="23" t="inlineStr">
        <is>
          <t>978-5-227-09390-5</t>
        </is>
      </c>
      <c r="K3057" s="23" t="inlineStr">
        <is>
          <t>84x108 1/32</t>
        </is>
      </c>
      <c r="L3057" s="23" t="inlineStr">
        <is>
          <t>тв</t>
        </is>
      </c>
      <c r="M3057" s="23" t="n">
        <v>287</v>
      </c>
      <c r="N3057" s="23" t="n">
        <v>2021</v>
      </c>
      <c r="O3057" s="23" t="n">
        <v>250</v>
      </c>
      <c r="P3057" s="23" t="n"/>
      <c r="Q3057" s="23" t="n"/>
      <c r="R3057" s="25" t="inlineStr">
        <is>
          <t>Смелая и независимая девушка Юлия однажды получает жестокий жизненный урок: нельзя заходить в незнакомый портал. Ведь он легко перенесет тебя в мир, полный магии, необычных животных и неожиданных приключений. И выживешь ли ты в нем, будет зависеть не только от твоей храбрости, но и от умений ладить с людьми, магами, эльфами, драконами и неразумными волшебными существами, например, с вивернами.</t>
        </is>
      </c>
      <c r="S3057" s="26">
        <f>HYPERLINK("http://www.cnpol.ru/covers/19495.jpg","фото на сайте")</f>
        <v/>
      </c>
    </row>
    <row r="3058" ht="50.1" customHeight="1" s="3">
      <c r="A3058" s="23" t="n"/>
      <c r="B3058" s="24" t="inlineStr">
        <is>
          <t>16782</t>
        </is>
      </c>
      <c r="C3058" s="23" t="inlineStr">
        <is>
          <t>НТ</t>
        </is>
      </c>
      <c r="D3058" s="23" t="inlineStr">
        <is>
          <t>Переяславцев А.</t>
        </is>
      </c>
      <c r="E3058" s="23" t="inlineStr">
        <is>
          <t>Клыки и когти эскадрильи</t>
        </is>
      </c>
      <c r="F3058" s="23" t="inlineStr">
        <is>
          <t>        </t>
        </is>
      </c>
      <c r="G3058" s="23" t="n">
        <v>554</v>
      </c>
      <c r="H3058" s="23" t="n">
        <v>10</v>
      </c>
      <c r="I3058" s="23" t="n">
        <v>10</v>
      </c>
      <c r="J3058" s="23" t="inlineStr">
        <is>
          <t>978-5-227-06820-0</t>
        </is>
      </c>
      <c r="K3058" s="23" t="inlineStr">
        <is>
          <t>84x108 1/32</t>
        </is>
      </c>
      <c r="L3058" s="23" t="inlineStr">
        <is>
          <t>тв</t>
        </is>
      </c>
      <c r="M3058" s="23" t="n">
        <v>384</v>
      </c>
      <c r="N3058" s="23" t="n">
        <v>2016</v>
      </c>
      <c r="O3058" s="23" t="n">
        <v>298</v>
      </c>
      <c r="P3058" s="23" t="n"/>
      <c r="Q3058" s="23" t="n"/>
      <c r="R3058" s="25" t="inlineStr">
        <is>
          <t>Дракончик Стурр вырос и окончил школу. Теперь, по здешним законам, он стал взрослым, и ему предстоит идти воевать за Великого мага, повелителя драконов. Пятнистый уже может многое: он, будучи универсалом, постиг несколько видов магии, силён в тактике, и у него есть верная команда, из которой надо создать спаянное, обученное и грозное воинское подразделение, умеющее вести разведку, прорывать вражескую оборону и срывать замыслы противника, так как воевать придётся с магами, которые вот уже много веков оттачивают своё мастерство против драконов. Значит, надо применить земные тактические умения и новообретённые магические знания. А ещё необходимо налаживать отношения с людьми, несмотря на все предубеждения, которые те испытывают к разумным крылатым созданиям. Только это даст возможность выжить и герою, и его близким, и всему драконьему роду.</t>
        </is>
      </c>
      <c r="S3058" s="26">
        <f>HYPERLINK("http://www.cnpol.ru/covers/16782.jpg","фото на сайте")</f>
        <v/>
      </c>
    </row>
    <row r="3059" ht="50.1" customHeight="1" s="3">
      <c r="A3059" s="23" t="n"/>
      <c r="B3059" s="24" t="inlineStr">
        <is>
          <t>17171</t>
        </is>
      </c>
      <c r="C3059" s="23" t="inlineStr">
        <is>
          <t>НТ</t>
        </is>
      </c>
      <c r="D3059" s="23" t="inlineStr">
        <is>
          <t>Сахаров В.И.</t>
        </is>
      </c>
      <c r="E3059" s="23" t="inlineStr">
        <is>
          <t>Когда пришла чума</t>
        </is>
      </c>
      <c r="F3059" s="23" t="inlineStr">
        <is>
          <t>        </t>
        </is>
      </c>
      <c r="G3059" s="23" t="n">
        <v>554</v>
      </c>
      <c r="H3059" s="23" t="n">
        <v>10</v>
      </c>
      <c r="I3059" s="23" t="n">
        <v>10</v>
      </c>
      <c r="J3059" s="23" t="inlineStr">
        <is>
          <t>978-5-227-07228-3</t>
        </is>
      </c>
      <c r="K3059" s="23" t="inlineStr">
        <is>
          <t>84x108 1/32</t>
        </is>
      </c>
      <c r="L3059" s="23" t="inlineStr">
        <is>
          <t>тв</t>
        </is>
      </c>
      <c r="M3059" s="23" t="n">
        <v>320</v>
      </c>
      <c r="N3059" s="23" t="n">
        <v>2016</v>
      </c>
      <c r="O3059" s="23" t="n">
        <v>274</v>
      </c>
      <c r="P3059" s="23" t="n"/>
      <c r="Q3059" s="23" t="n"/>
      <c r="R3059" s="25" t="inlineStr">
        <is>
          <t>Модифицированный боевой вирус чёрной оспы вырвался из­под контроля. Безжалостная болезнь уносит миллионы жизней. Но гораздо хуже, что люди стали убивать друг друга ради боеприпасов, еды, топлива, одежды. Никому нельзя верить. Мир погрузился в хаос… Через страну, которая раньше была Россией, пробираются к тайному бункеру на севере двое, дядя и племянник. Крутые мужчины — они многое умеют и не стесняются применять силу. Но даже им непросто добраться до цели, и не факт, что всё закончится благополучно.</t>
        </is>
      </c>
      <c r="S3059" s="26">
        <f>HYPERLINK("http://www.cnpol.ru/covers/17171.jpg","фото на сайте")</f>
        <v/>
      </c>
    </row>
    <row r="3060" ht="50.1" customHeight="1" s="3">
      <c r="A3060" s="23" t="n"/>
      <c r="B3060" s="24" t="inlineStr">
        <is>
          <t>17308</t>
        </is>
      </c>
      <c r="C3060" s="23" t="inlineStr">
        <is>
          <t>НТ</t>
        </is>
      </c>
      <c r="D3060" s="23" t="inlineStr">
        <is>
          <t>Сэй Алек</t>
        </is>
      </c>
      <c r="E3060" s="23" t="inlineStr">
        <is>
          <t>Констебль с Третьего участка</t>
        </is>
      </c>
      <c r="F3060" s="23" t="inlineStr">
        <is>
          <t>        </t>
        </is>
      </c>
      <c r="G3060" s="23" t="n">
        <v>554</v>
      </c>
      <c r="H3060" s="23" t="n">
        <v>10</v>
      </c>
      <c r="I3060" s="23" t="n">
        <v>14</v>
      </c>
      <c r="J3060" s="23" t="inlineStr">
        <is>
          <t>978-5-227-07360-0</t>
        </is>
      </c>
      <c r="K3060" s="23" t="inlineStr">
        <is>
          <t>84x108 1/32</t>
        </is>
      </c>
      <c r="L3060" s="23" t="inlineStr">
        <is>
          <t>тв</t>
        </is>
      </c>
      <c r="M3060" s="23" t="n">
        <v>288</v>
      </c>
      <c r="N3060" s="23" t="n">
        <v>2017</v>
      </c>
      <c r="O3060" s="23" t="n">
        <v>232</v>
      </c>
      <c r="P3060" s="23" t="n"/>
      <c r="Q3060" s="23" t="n"/>
      <c r="R3060" s="25" t="inlineStr">
        <is>
          <t>Констебль Айвен Вильк — парень ещё молодой, но службу свою знает и несёт справно. А то, что ума не академического, да и образован слабо, так то не беда — не всем же быть профессорами. Не за ум его любит и ценит ­начальство, а за кристальную честность и хорошо поставленный хук левой. Берегитесь, жулики и бандиты, — на патрулирование ночных улиц родного города выходит констебль с Третьего участка!</t>
        </is>
      </c>
      <c r="S3060" s="26">
        <f>HYPERLINK("http://www.cnpol.ru/covers/17308.jpg","фото на сайте")</f>
        <v/>
      </c>
    </row>
    <row r="3061" ht="50.1" customHeight="1" s="3">
      <c r="A3061" s="23" t="n"/>
      <c r="B3061" s="24" t="inlineStr">
        <is>
          <t>18449</t>
        </is>
      </c>
      <c r="C3061" s="23" t="inlineStr">
        <is>
          <t>НТ</t>
        </is>
      </c>
      <c r="D3061" s="23" t="inlineStr">
        <is>
          <t>Курзанцев А.</t>
        </is>
      </c>
      <c r="E3061" s="23" t="inlineStr">
        <is>
          <t>Контрзащита</t>
        </is>
      </c>
      <c r="F3061" s="23" t="inlineStr">
        <is>
          <t>        </t>
        </is>
      </c>
      <c r="G3061" s="23" t="n">
        <v>554</v>
      </c>
      <c r="H3061" s="23" t="n">
        <v>10</v>
      </c>
      <c r="I3061" s="23" t="n">
        <v>14</v>
      </c>
      <c r="J3061" s="23" t="inlineStr">
        <is>
          <t>978-5-9524-5342-5</t>
        </is>
      </c>
      <c r="K3061" s="23" t="inlineStr">
        <is>
          <t>84x108 1/32</t>
        </is>
      </c>
      <c r="L3061" s="23" t="inlineStr">
        <is>
          <t>тв</t>
        </is>
      </c>
      <c r="M3061" s="23" t="n">
        <v>320</v>
      </c>
      <c r="N3061" s="23" t="n">
        <v>2019</v>
      </c>
      <c r="O3061" s="23" t="n">
        <v>276</v>
      </c>
      <c r="P3061" s="23" t="n"/>
      <c r="Q3061" s="23" t="n"/>
      <c r="R3061" s="25" t="inlineStr">
        <is>
          <t>Что делать, если двадцать первый век сменился двадцать четвёртым, а на плечи вместо погон капитана военной контрразведки прочно легли погоны майора космодесанта? Как быть, если космические флоты здесь соседствуют с адептами Пси, а инопланетная угроза — самая что ни на есть реальность? Как повести себя, если за спиной вся мощь человечества, но впереди — никого, ведь именно ты на самом острие атаки... Только так, как велит сердце и офицерский долг — служить и защищать!</t>
        </is>
      </c>
      <c r="S3061" s="26">
        <f>HYPERLINK("http://www.cnpol.ru/covers/18449.jpg","фото на сайте")</f>
        <v/>
      </c>
    </row>
    <row r="3062" ht="50.1" customHeight="1" s="3">
      <c r="A3062" s="23" t="n"/>
      <c r="B3062" s="24" t="inlineStr">
        <is>
          <t>19545</t>
        </is>
      </c>
      <c r="C3062" s="23" t="inlineStr">
        <is>
          <t>НТ</t>
        </is>
      </c>
      <c r="D3062" s="23" t="inlineStr">
        <is>
          <t>Брайт В.В</t>
        </is>
      </c>
      <c r="E3062" s="23" t="inlineStr">
        <is>
          <t>Контрольная точка</t>
        </is>
      </c>
      <c r="F3062" s="23" t="inlineStr">
        <is>
          <t>        </t>
        </is>
      </c>
      <c r="G3062" s="23" t="n">
        <v>554</v>
      </c>
      <c r="H3062" s="23" t="n">
        <v>10</v>
      </c>
      <c r="I3062" s="23" t="n">
        <v>14</v>
      </c>
      <c r="J3062" s="23" t="inlineStr">
        <is>
          <t>978-5-227-09398-1</t>
        </is>
      </c>
      <c r="K3062" s="23" t="inlineStr">
        <is>
          <t>84x108 1/32</t>
        </is>
      </c>
      <c r="L3062" s="23" t="inlineStr">
        <is>
          <t>тв</t>
        </is>
      </c>
      <c r="M3062" s="23" t="n">
        <v>287</v>
      </c>
      <c r="N3062" s="23" t="n">
        <v>2021</v>
      </c>
      <c r="O3062" s="23" t="n">
        <v>250</v>
      </c>
      <c r="P3062" s="23" t="n"/>
      <c r="Q3062" s="23" t="n"/>
      <c r="R3062" s="25" t="inlineStr">
        <is>
          <t>Поставить на кон жизнь и потерять, чтобы оказаться в компьютерной игре и вновь проиграть. Не много ли поражений для обычного дня? В котором прокачанный зомби с колонией червей в голове стремится покинуть онлайн­игру и уничтожить реальный мир. А я не способен ему помешать. Как лягут карты Судьбы в последний момент? Что случится с мозгом школьника, если долго не спать? Кто пронзит грудь неудавшегося героя и в чем признается демон, прежде чем победить? Ответы таятся на сервере МОМ...</t>
        </is>
      </c>
      <c r="S3062" s="26">
        <f>HYPERLINK("http://www.cnpol.ru/covers/19545.jpg","фото на сайте")</f>
        <v/>
      </c>
    </row>
    <row r="3063" ht="50.1" customHeight="1" s="3">
      <c r="A3063" s="23" t="n"/>
      <c r="B3063" s="24" t="inlineStr">
        <is>
          <t>19433</t>
        </is>
      </c>
      <c r="C3063" s="23" t="inlineStr">
        <is>
          <t>НТ</t>
        </is>
      </c>
      <c r="D3063" s="23" t="inlineStr">
        <is>
          <t>Тупиков П.Ю</t>
        </is>
      </c>
      <c r="E3063" s="23" t="inlineStr">
        <is>
          <t>Контуженный рыцарь</t>
        </is>
      </c>
      <c r="F3063" s="23" t="inlineStr">
        <is>
          <t>        </t>
        </is>
      </c>
      <c r="G3063" s="23" t="n">
        <v>554</v>
      </c>
      <c r="H3063" s="23" t="n">
        <v>10</v>
      </c>
      <c r="I3063" s="23" t="n">
        <v>12</v>
      </c>
      <c r="J3063" s="23" t="inlineStr">
        <is>
          <t>978-5-227-09265-6</t>
        </is>
      </c>
      <c r="K3063" s="23" t="inlineStr">
        <is>
          <t>84x108 1/32</t>
        </is>
      </c>
      <c r="L3063" s="23" t="inlineStr">
        <is>
          <t>тв</t>
        </is>
      </c>
      <c r="M3063" s="23" t="n">
        <v>352</v>
      </c>
      <c r="N3063" s="23" t="n">
        <v>2020</v>
      </c>
      <c r="O3063" s="23" t="n">
        <v>294</v>
      </c>
      <c r="P3063" s="23" t="n"/>
      <c r="Q3063" s="23" t="n"/>
      <c r="R3063" s="25" t="inlineStr">
        <is>
          <t>Сэр Федор, рыцарь Черного дракона, заработав денег, хочет вернуться на Землю. Но встреча с роковой красоткой круто меняет его жизнь: спасаясь бегством от преследователей, он переносится на другую планету, где записывается телохранителем в кортеж принцессы. И только после бала рыцарь узнает, что попал к смертникам, – мачеха принцессы не заинтересована в том, чтобы ее падчерица доехала живой до столицы империи и стала невестой императора. Мачеха, спятивший лорд Тарэкс, нанятый ими колдун­чернокнижник с ручным демоном – все они пытаются убить принцессу, и остается надеяться только на своего телохранителя…</t>
        </is>
      </c>
      <c r="S3063" s="26">
        <f>HYPERLINK("http://www.cnpol.ru/covers/19433.jpg","фото на сайте")</f>
        <v/>
      </c>
    </row>
    <row r="3064" ht="50.1" customHeight="1" s="3">
      <c r="A3064" s="23" t="n"/>
      <c r="B3064" s="24" t="inlineStr">
        <is>
          <t>17033</t>
        </is>
      </c>
      <c r="C3064" s="23" t="inlineStr">
        <is>
          <t>НТ</t>
        </is>
      </c>
      <c r="D3064" s="23" t="inlineStr">
        <is>
          <t>Авраменко А., Гетто В.</t>
        </is>
      </c>
      <c r="E3064" s="23" t="inlineStr">
        <is>
          <t>Красно солнышко</t>
        </is>
      </c>
      <c r="F3064" s="23" t="inlineStr">
        <is>
          <t>        </t>
        </is>
      </c>
      <c r="G3064" s="23" t="n">
        <v>554</v>
      </c>
      <c r="H3064" s="23" t="n">
        <v>10</v>
      </c>
      <c r="I3064" s="23" t="n">
        <v>12</v>
      </c>
      <c r="J3064" s="23" t="inlineStr">
        <is>
          <t>978-5-227-07129-3</t>
        </is>
      </c>
      <c r="K3064" s="23" t="inlineStr">
        <is>
          <t>84x108 1/32</t>
        </is>
      </c>
      <c r="L3064" s="23" t="inlineStr">
        <is>
          <t>тв</t>
        </is>
      </c>
      <c r="M3064" s="23" t="n">
        <v>320</v>
      </c>
      <c r="N3064" s="23" t="n">
        <v>2016</v>
      </c>
      <c r="O3064" s="23" t="n">
        <v>262</v>
      </c>
      <c r="P3064" s="23" t="n"/>
      <c r="Q3064" s="23" t="n"/>
      <c r="R3064" s="25" t="inlineStr">
        <is>
          <t>Настоящая книга написана в редком сейчас жанре чистой альтернативной истории. В ней нет попаданцев, поучающих наших отцов и дедов жизни, нет супергероев с ленинской библиотекой в голове. Обычная жизнь обычных людей. V век христианской эры. Славяне открывают и осваивают Американский континент…</t>
        </is>
      </c>
      <c r="S3064" s="26">
        <f>HYPERLINK("http://www.cnpol.ru/covers/17033.jpg","фото на сайте")</f>
        <v/>
      </c>
    </row>
    <row r="3065" ht="50.1" customHeight="1" s="3">
      <c r="A3065" s="23" t="n"/>
      <c r="B3065" s="24" t="inlineStr">
        <is>
          <t>15631</t>
        </is>
      </c>
      <c r="C3065" s="23" t="inlineStr">
        <is>
          <t>НТ</t>
        </is>
      </c>
      <c r="D3065" s="23" t="inlineStr">
        <is>
          <t>Михеев М.А.</t>
        </is>
      </c>
      <c r="E3065" s="23" t="inlineStr">
        <is>
          <t>Крепость</t>
        </is>
      </c>
      <c r="F3065" s="23" t="inlineStr">
        <is>
          <t>        </t>
        </is>
      </c>
      <c r="G3065" s="23" t="n">
        <v>554</v>
      </c>
      <c r="H3065" s="23" t="n">
        <v>10</v>
      </c>
      <c r="I3065" s="23" t="n">
        <v>14</v>
      </c>
      <c r="J3065" s="23" t="inlineStr">
        <is>
          <t>978-5-227-05641-2</t>
        </is>
      </c>
      <c r="K3065" s="23" t="inlineStr">
        <is>
          <t>84x108 1/32</t>
        </is>
      </c>
      <c r="L3065" s="23" t="inlineStr">
        <is>
          <t>тв</t>
        </is>
      </c>
      <c r="M3065" s="23" t="n">
        <v>288</v>
      </c>
      <c r="N3065" s="23" t="n">
        <v>2014</v>
      </c>
      <c r="O3065" s="23" t="n">
        <v>244</v>
      </c>
      <c r="P3065" s="23" t="n"/>
      <c r="Q3065" s="23" t="n"/>
      <c r="R3065" s="25" t="inlineStr">
        <is>
          <t>Может ли далекое прошлое повлиять на судьбу космической цивили­зации? А двух? А целой галактики? Как оказалось, в теории возможно и не такое, главное, чтобы предки оказались не менее храбры, чем потомки. И вот сквозь шторм и вражеские снаряды лучший крейсер Российской империи идет к тому, для чего он предназначен, — к победе, и адмиралу на его мостике предстоит доказать, что русские моряки славны не только выда­ющимися бородами, но и талантами флотоводцев. Вот только... хватит ли этого?</t>
        </is>
      </c>
      <c r="S3065" s="26">
        <f>HYPERLINK("http://www.cnpol.ru/covers/15631.jpg","фото на сайте")</f>
        <v/>
      </c>
    </row>
    <row r="3066" ht="50.1" customHeight="1" s="3">
      <c r="A3066" s="23" t="n"/>
      <c r="B3066" s="24" t="inlineStr">
        <is>
          <t>19315</t>
        </is>
      </c>
      <c r="C3066" s="23" t="inlineStr">
        <is>
          <t>НТ</t>
        </is>
      </c>
      <c r="D3066" s="23" t="inlineStr">
        <is>
          <t>Красников В.</t>
        </is>
      </c>
      <c r="E3066" s="23" t="inlineStr">
        <is>
          <t>Кроманьонец</t>
        </is>
      </c>
      <c r="F3066" s="23" t="inlineStr">
        <is>
          <t>        </t>
        </is>
      </c>
      <c r="G3066" s="23" t="n">
        <v>554</v>
      </c>
      <c r="H3066" s="23" t="n">
        <v>10</v>
      </c>
      <c r="I3066" s="23" t="n">
        <v>14</v>
      </c>
      <c r="J3066" s="23" t="inlineStr">
        <is>
          <t>978-5-227-09172-7</t>
        </is>
      </c>
      <c r="K3066" s="23" t="inlineStr">
        <is>
          <t>84x108 1/32</t>
        </is>
      </c>
      <c r="L3066" s="23" t="inlineStr">
        <is>
          <t>тв</t>
        </is>
      </c>
      <c r="M3066" s="23" t="n">
        <v>288</v>
      </c>
      <c r="N3066" s="23" t="n">
        <v>2020</v>
      </c>
      <c r="O3066" s="23" t="n">
        <v>252</v>
      </c>
      <c r="P3066" s="23" t="n"/>
      <c r="Q3066" s="23" t="n"/>
      <c r="R3066" s="25" t="inlineStr">
        <is>
          <t>Он прожил долгую жизнь и, умирая, честно ответил на вопрос правнучки. Озвучил просьбу Богу, в которого не очень-то и верил. Получил шанс прожить новую жизнь, сохранив память и опыт. Случилось всё так, как он хотел. Даже новое тело получил возраста правнучки. Только как ему выжить, если соплеменники не умеют делать из глины посуду, не знают о луке и вся их жизнь — это битва с постоянным чувством голода? Он возродился в эпохе, когда люди только совершали первые шаги в земледелии и скотоводстве. Смогут ли знания и опыт прошлой жизни помочь ему в невероятно тяжёлых для выживания условиях?..</t>
        </is>
      </c>
      <c r="S3066" s="26">
        <f>HYPERLINK("http://www.cnpol.ru/covers/19315.jpg","фото на сайте")</f>
        <v/>
      </c>
    </row>
    <row r="3067" ht="50.1" customHeight="1" s="3">
      <c r="A3067" s="23" t="n"/>
      <c r="B3067" s="24" t="inlineStr">
        <is>
          <t>18512</t>
        </is>
      </c>
      <c r="C3067" s="23" t="inlineStr">
        <is>
          <t>НТ</t>
        </is>
      </c>
      <c r="D3067" s="23" t="inlineStr">
        <is>
          <t>Немытов Н.</t>
        </is>
      </c>
      <c r="E3067" s="23" t="inlineStr">
        <is>
          <t>Курганник</t>
        </is>
      </c>
      <c r="F3067" s="23" t="inlineStr">
        <is>
          <t>        </t>
        </is>
      </c>
      <c r="G3067" s="23" t="n">
        <v>554</v>
      </c>
      <c r="H3067" s="23" t="n">
        <v>10</v>
      </c>
      <c r="I3067" s="23" t="n">
        <v>14</v>
      </c>
      <c r="J3067" s="23" t="inlineStr">
        <is>
          <t>978-5-227-08504-7</t>
        </is>
      </c>
      <c r="K3067" s="23" t="inlineStr">
        <is>
          <t>84x108 1/32</t>
        </is>
      </c>
      <c r="L3067" s="23" t="inlineStr">
        <is>
          <t>тв</t>
        </is>
      </c>
      <c r="M3067" s="23" t="n">
        <v>288</v>
      </c>
      <c r="N3067" s="23" t="n">
        <v>2019</v>
      </c>
      <c r="O3067" s="23" t="n">
        <v>250</v>
      </c>
      <c r="P3067" s="23" t="n"/>
      <c r="Q3067" s="23" t="n"/>
      <c r="R3067" s="25" t="inlineStr">
        <is>
          <t>Курганник – степная птица. Курганник — вор, грабящий захоронения. Курганником в селе Гостра Могила зовут кузнеца Макара Зотова. Про него ходит много небылиц: знает Макар, где спрятал свое сокровище помещик Шпарь, якшается он со Степной Хозяйкой, водит за собой волчью стаю, вожака которой убил… Когда в село приезжает Виктор, старый друг Макара, становится ясно, что не все байки о Курганнике – выдумка. Что лежит в кургане Рытом? Где местные конокрады берут лошадей? Куда исчезает сельский дурачок Волоха? Кто гуляет ночами на склонах кургана: Степная Хозяйка или сельская ведьма? Спросите Курганника, и он ответит — если, конечно, вы хотите узнать правду…</t>
        </is>
      </c>
      <c r="S3067" s="26">
        <f>HYPERLINK("http://www.cnpol.ru/covers/18512.jpg","фото на сайте")</f>
        <v/>
      </c>
    </row>
    <row r="3068" ht="50.1" customHeight="1" s="3">
      <c r="A3068" s="23" t="n"/>
      <c r="B3068" s="24" t="inlineStr">
        <is>
          <t>14595</t>
        </is>
      </c>
      <c r="C3068" s="23" t="inlineStr">
        <is>
          <t>НТ</t>
        </is>
      </c>
      <c r="D3068" s="23" t="inlineStr">
        <is>
          <t>Замковой А.В.</t>
        </is>
      </c>
      <c r="E3068" s="23" t="inlineStr">
        <is>
          <t>Лесной фронт. Благими намерениями</t>
        </is>
      </c>
      <c r="F3068" s="23" t="inlineStr">
        <is>
          <t>        </t>
        </is>
      </c>
      <c r="G3068" s="23" t="n">
        <v>554</v>
      </c>
      <c r="H3068" s="23" t="n">
        <v>10</v>
      </c>
      <c r="I3068" s="23" t="n">
        <v>16</v>
      </c>
      <c r="J3068" s="23" t="inlineStr">
        <is>
          <t>978-5-227-04661-1</t>
        </is>
      </c>
      <c r="K3068" s="23" t="inlineStr">
        <is>
          <t>84x108 1/32</t>
        </is>
      </c>
      <c r="L3068" s="23" t="inlineStr">
        <is>
          <t>тв</t>
        </is>
      </c>
      <c r="M3068" s="23" t="n">
        <v>285</v>
      </c>
      <c r="N3068" s="23" t="n">
        <v>2013</v>
      </c>
      <c r="O3068" s="23" t="n">
        <v>244</v>
      </c>
      <c r="P3068" s="23" t="n"/>
      <c r="Q3068" s="23" t="n"/>
      <c r="R3068" s="25" t="inlineStr">
        <is>
          <t>Получив удар по голове, Алексей потерял сознание. Около недели он провалялся в схроне, куда его спрятали Антон и местные жители. Немцы прочесывали лес в поисках партизан, надо было срочно уходить, и не одним, придется забрать с собой семью фермера, убившего полицая. Боеприпасов ничтожно мало, продовольствия нет, но Алексей убежден, что от немцев надо не прятаться, а нещадно бить их. Он решает сколотить свой отряд и действовать самостоятельно, не дожидаясь разрешений сверху…</t>
        </is>
      </c>
      <c r="S3068" s="26">
        <f>HYPERLINK("http://www.cnpol.ru/covers/14595.jpg","фото на сайте")</f>
        <v/>
      </c>
    </row>
    <row r="3069" ht="50.1" customHeight="1" s="3">
      <c r="A3069" s="23" t="n"/>
      <c r="B3069" s="24" t="inlineStr">
        <is>
          <t>19079</t>
        </is>
      </c>
      <c r="C3069" s="23" t="inlineStr">
        <is>
          <t>НТ</t>
        </is>
      </c>
      <c r="D3069" s="23" t="inlineStr">
        <is>
          <t>Латыпов А.</t>
        </is>
      </c>
      <c r="E3069" s="23" t="inlineStr">
        <is>
          <t>Линия Горизонта</t>
        </is>
      </c>
      <c r="F3069" s="23" t="inlineStr">
        <is>
          <t>        </t>
        </is>
      </c>
      <c r="G3069" s="23" t="n">
        <v>554</v>
      </c>
      <c r="H3069" s="23" t="n">
        <v>10</v>
      </c>
      <c r="I3069" s="23" t="n">
        <v>14</v>
      </c>
      <c r="J3069" s="23" t="inlineStr">
        <is>
          <t>978-5-227-08689-1</t>
        </is>
      </c>
      <c r="K3069" s="23" t="inlineStr">
        <is>
          <t>84x108 1/32</t>
        </is>
      </c>
      <c r="L3069" s="23" t="inlineStr">
        <is>
          <t>тв</t>
        </is>
      </c>
      <c r="M3069" s="23" t="n">
        <v>320</v>
      </c>
      <c r="N3069" s="23" t="n">
        <v>2020</v>
      </c>
      <c r="O3069" s="23" t="n">
        <v>325</v>
      </c>
      <c r="P3069" s="23" t="n"/>
      <c r="Q3069" s="23" t="n"/>
      <c r="R3069" s="25" t="inlineStr">
        <is>
          <t>Двести лет назад колония людей на планете, затерянной в глубинах космоса, потеряла связь с Землей. С тех пор безымянный Город из года в год вынужден бороться за свое существование. Эпидемии неизвестной болезни, таинственная пропажа людей, истощение запасов, отсутствие работы… Когда население Города готовится поднять восстание против правителей, предводитель мятежа Артур Васильев находит старые космические корабли землян. Чтобы победить в надвигающейся войне и спасти выживших, Артуру и его ближайшим соратникам предстоит столкнуться с загадками и тайнами колонии, пройти заброшенными подземными дорогами и обнаружить считавшиеся безвозвратно утерянными технологии старой Земли…</t>
        </is>
      </c>
      <c r="S3069" s="26">
        <f>HYPERLINK("http://www.cnpol.ru/covers/19079.jpg","фото на сайте")</f>
        <v/>
      </c>
    </row>
    <row r="3070" ht="50.1" customHeight="1" s="3">
      <c r="A3070" s="23" t="n"/>
      <c r="B3070" s="24" t="inlineStr">
        <is>
          <t>19980</t>
        </is>
      </c>
      <c r="C3070" s="23" t="inlineStr">
        <is>
          <t>НТ</t>
        </is>
      </c>
      <c r="D3070" s="23" t="inlineStr">
        <is>
          <t>Борискин А.</t>
        </is>
      </c>
      <c r="E3070" s="23" t="inlineStr">
        <is>
          <t>Лукинский фактор</t>
        </is>
      </c>
      <c r="F3070" s="23" t="inlineStr">
        <is>
          <t>        </t>
        </is>
      </c>
      <c r="G3070" s="23" t="n">
        <v>554</v>
      </c>
      <c r="H3070" s="23" t="n">
        <v>10</v>
      </c>
      <c r="I3070" s="23" t="n">
        <v>12</v>
      </c>
      <c r="J3070" s="23" t="inlineStr">
        <is>
          <t>978-5-227-09759-0</t>
        </is>
      </c>
      <c r="K3070" s="23" t="inlineStr">
        <is>
          <t>84x108 1/32</t>
        </is>
      </c>
      <c r="L3070" s="23" t="inlineStr">
        <is>
          <t>тв</t>
        </is>
      </c>
      <c r="M3070" s="23" t="n">
        <v>383</v>
      </c>
      <c r="N3070" s="23" t="n">
        <v>2022</v>
      </c>
      <c r="O3070" s="23" t="n">
        <v>346</v>
      </c>
      <c r="P3070" s="23" t="n"/>
      <c r="Q3070" s="23" t="n"/>
      <c r="R3070" s="25" t="inlineStr">
        <is>
          <t>Празднование дня рождения главы большого семейства закончилось… их переносом из XXI века в век XIX вместе с дачей около деревеньки Луки, где проходило торжество, и всем старьём, которое обычно собирается в загородных домах. Как выжить такой семье? Какие трудности ей предстоит испытать и какие проблемы решить, чтобы достойно жить и занять важное место в России и мире?</t>
        </is>
      </c>
      <c r="S3070" s="26">
        <f>HYPERLINK("http://www.cnpol.ru/covers/19980.jpg","фото на сайте")</f>
        <v/>
      </c>
    </row>
    <row r="3071" ht="50.1" customHeight="1" s="3">
      <c r="A3071" s="23" t="n"/>
      <c r="B3071" s="24" t="inlineStr">
        <is>
          <t>16597</t>
        </is>
      </c>
      <c r="C3071" s="23" t="inlineStr">
        <is>
          <t>НТ</t>
        </is>
      </c>
      <c r="D3071" s="23" t="inlineStr">
        <is>
          <t>Поселягин В.Г</t>
        </is>
      </c>
      <c r="E3071" s="23" t="inlineStr">
        <is>
          <t>Маг. Школа</t>
        </is>
      </c>
      <c r="F3071" s="23" t="inlineStr">
        <is>
          <t>        </t>
        </is>
      </c>
      <c r="G3071" s="23" t="n">
        <v>554</v>
      </c>
      <c r="H3071" s="23" t="n">
        <v>10</v>
      </c>
      <c r="I3071" s="23" t="n">
        <v>14</v>
      </c>
      <c r="J3071" s="23" t="inlineStr">
        <is>
          <t>978-5-227-06555-1</t>
        </is>
      </c>
      <c r="K3071" s="23" t="inlineStr">
        <is>
          <t>84x108 1/32</t>
        </is>
      </c>
      <c r="L3071" s="23" t="inlineStr">
        <is>
          <t>тв</t>
        </is>
      </c>
      <c r="M3071" s="23" t="n">
        <v>320</v>
      </c>
      <c r="N3071" s="23" t="n">
        <v>2016</v>
      </c>
      <c r="O3071" s="23" t="n">
        <v>268</v>
      </c>
      <c r="P3071" s="23" t="n"/>
      <c r="Q3071" s="23" t="n"/>
      <c r="R3071" s="25" t="inlineStr">
        <is>
          <t>Граф Арни Ки Сон в чужом незнакомом мире, где идёт 1941 год, начало той самой войны. Западные области и молодой маг на пути нацистских войск. Как он поступит, что сделает, как поведёт себя? Пока это неопределённо, но одно становится ясно: перед захватчиками не разбитые советские части, а всего лишь юнец с чарующей улыбкой и взглядом убийцы, и ещё неизвестно, кто из них страшнее — отступающие русские или этот молодой человек.</t>
        </is>
      </c>
      <c r="S3071" s="26">
        <f>HYPERLINK("http://www.cnpol.ru/covers/16597.jpg","фото на сайте")</f>
        <v/>
      </c>
    </row>
    <row r="3072" ht="50.1" customHeight="1" s="3">
      <c r="A3072" s="23" t="n"/>
      <c r="B3072" s="24" t="inlineStr">
        <is>
          <t>11874</t>
        </is>
      </c>
      <c r="C3072" s="23" t="inlineStr">
        <is>
          <t>НТ</t>
        </is>
      </c>
      <c r="D3072" s="23" t="inlineStr">
        <is>
          <t>Ветров С.</t>
        </is>
      </c>
      <c r="E3072" s="23" t="inlineStr">
        <is>
          <t>Магия в крови</t>
        </is>
      </c>
      <c r="F3072" s="23" t="inlineStr">
        <is>
          <t>        </t>
        </is>
      </c>
      <c r="G3072" s="23" t="n">
        <v>554</v>
      </c>
      <c r="H3072" s="23" t="n">
        <v>10</v>
      </c>
      <c r="I3072" s="23" t="n">
        <v>16</v>
      </c>
      <c r="J3072" s="23" t="inlineStr">
        <is>
          <t>978-5-227-01975-2</t>
        </is>
      </c>
      <c r="K3072" s="23" t="inlineStr">
        <is>
          <t>84x100 1/32</t>
        </is>
      </c>
      <c r="L3072" s="23" t="inlineStr">
        <is>
          <t>тв</t>
        </is>
      </c>
      <c r="M3072" s="23" t="n">
        <v>287</v>
      </c>
      <c r="N3072" s="23" t="n">
        <v>2010</v>
      </c>
      <c r="O3072" s="23" t="n">
        <v>250</v>
      </c>
      <c r="P3072" s="23" t="n"/>
      <c r="Q3072" s="23" t="n"/>
      <c r="R3072" s="25" t="inlineStr">
        <is>
          <t>Магия - древняя и таинственная сила, пронизывающая все без исключения миры. В одних мирах в нее не верят, в других - учаться ею повелевать. Но существуют миры, они рождаються в ней и с ней в крови. Раз в десять тысяч лет боги магических мирв, живые или мертвые, правящие или заключенные, имеют право наделить своего силой фаворита и попытаться взять реванш.Случаеться, что избранником становиться... юный эльф (всего стосорокодевятилетний), сын луны, от души желающий заклинаниями сотворить добро, но в результате своей немереной силы он вечно перебарщивает и попадает в Стражи. Вот уж где его мсто! Но ему все скучно...</t>
        </is>
      </c>
      <c r="S3072" s="26">
        <f>HYPERLINK("http://www.cnpol.ru/covers/11874.jpg","фото на сайте")</f>
        <v/>
      </c>
    </row>
    <row r="3073" ht="50.1" customHeight="1" s="3">
      <c r="A3073" s="23" t="n"/>
      <c r="B3073" s="24" t="inlineStr">
        <is>
          <t>14863</t>
        </is>
      </c>
      <c r="C3073" s="23" t="inlineStr">
        <is>
          <t>НТ</t>
        </is>
      </c>
      <c r="D3073" s="23" t="inlineStr">
        <is>
          <t>Замковой А.В.</t>
        </is>
      </c>
      <c r="E3073" s="23" t="inlineStr">
        <is>
          <t>Майорат на двоих</t>
        </is>
      </c>
      <c r="F3073" s="23" t="inlineStr">
        <is>
          <t>        </t>
        </is>
      </c>
      <c r="G3073" s="23" t="n">
        <v>554</v>
      </c>
      <c r="H3073" s="23" t="n">
        <v>10</v>
      </c>
      <c r="I3073" s="23" t="n">
        <v>8</v>
      </c>
      <c r="J3073" s="23" t="inlineStr">
        <is>
          <t>978-5-227-04866-0</t>
        </is>
      </c>
      <c r="K3073" s="23" t="inlineStr">
        <is>
          <t>84x108 1/32</t>
        </is>
      </c>
      <c r="L3073" s="23" t="inlineStr">
        <is>
          <t>тв</t>
        </is>
      </c>
      <c r="M3073" s="23" t="n">
        <v>474</v>
      </c>
      <c r="N3073" s="23" t="n">
        <v>2014</v>
      </c>
      <c r="O3073" s="23" t="n">
        <v>366</v>
      </c>
      <c r="P3073" s="23" t="n"/>
      <c r="Q3073" s="23" t="n"/>
      <c r="R3073" s="25" t="inlineStr">
        <is>
          <t>Что делать братьям, чей дом сожжен, а дядя — единственный родственник — убит неизвестными? Что делать, найдя на пепелище тайник, долгие годы скрывавший свидетельства их благородного происхождения и права на майорат одного из домов, правящих миром Чаши? Покинуть лесную глушь и отправиться в большой мир. Взять то, что принадлежит им! Но свое право надо еще доказать. И выяснить, кто же из двоих братьев имеет право на майорат?</t>
        </is>
      </c>
      <c r="S3073" s="26">
        <f>HYPERLINK("http://www.cnpol.ru/covers/14863.jpg","фото на сайте")</f>
        <v/>
      </c>
    </row>
    <row r="3074" ht="50.1" customHeight="1" s="3">
      <c r="A3074" s="23" t="n"/>
      <c r="B3074" s="24" t="inlineStr">
        <is>
          <t>16974</t>
        </is>
      </c>
      <c r="C3074" s="23" t="inlineStr">
        <is>
          <t>НТ</t>
        </is>
      </c>
      <c r="D3074" s="23" t="inlineStr">
        <is>
          <t>Поселягин В.Г</t>
        </is>
      </c>
      <c r="E3074" s="23" t="inlineStr">
        <is>
          <t>Мальчик из будущего</t>
        </is>
      </c>
      <c r="F3074" s="23" t="inlineStr">
        <is>
          <t>        </t>
        </is>
      </c>
      <c r="G3074" s="23" t="n">
        <v>554</v>
      </c>
      <c r="H3074" s="23" t="n">
        <v>10</v>
      </c>
      <c r="I3074" s="23" t="n">
        <v>16</v>
      </c>
      <c r="J3074" s="23" t="inlineStr">
        <is>
          <t>978-5-227-07065-4</t>
        </is>
      </c>
      <c r="K3074" s="23" t="inlineStr">
        <is>
          <t>84x108 1/32</t>
        </is>
      </c>
      <c r="L3074" s="23" t="inlineStr">
        <is>
          <t>тв</t>
        </is>
      </c>
      <c r="M3074" s="23" t="n">
        <v>288</v>
      </c>
      <c r="N3074" s="23" t="n">
        <v>2016</v>
      </c>
      <c r="O3074" s="23" t="n">
        <v>258</v>
      </c>
      <c r="P3074" s="23" t="n"/>
      <c r="Q3074" s="23" t="n"/>
      <c r="R3074" s="25" t="inlineStr">
        <is>
          <t>Мог ли предполагать мальчик из самого обычного московского детдома перенестись из России 2016 года в Советский Союз 1969 года? Причина: поскользнулся, упал, очнулся… Следствие: сотрясение, гипс… Ой, нет… удивление и прошлое вокруг. И, между прочим, знание всей последующей жизни государства…</t>
        </is>
      </c>
      <c r="S3074" s="26">
        <f>HYPERLINK("http://www.cnpol.ru/covers/16974.jpg","фото на сайте")</f>
        <v/>
      </c>
    </row>
    <row r="3075" ht="50.1" customHeight="1" s="3">
      <c r="A3075" s="23" t="n"/>
      <c r="B3075" s="24" t="inlineStr">
        <is>
          <t>15871</t>
        </is>
      </c>
      <c r="C3075" s="23" t="inlineStr">
        <is>
          <t>НТ</t>
        </is>
      </c>
      <c r="D3075" s="23" t="inlineStr">
        <is>
          <t>Кувайкова А.А., Созонова Ю.В.</t>
        </is>
      </c>
      <c r="E3075" s="23" t="inlineStr">
        <is>
          <t>Мантикора и Дракон. Эпизод 1</t>
        </is>
      </c>
      <c r="F3075" s="23" t="inlineStr">
        <is>
          <t>        </t>
        </is>
      </c>
      <c r="G3075" s="23" t="n">
        <v>554</v>
      </c>
      <c r="H3075" s="23" t="n">
        <v>10</v>
      </c>
      <c r="I3075" s="23" t="n">
        <v>14</v>
      </c>
      <c r="J3075" s="23" t="inlineStr">
        <is>
          <t>978-5-227-05844-7</t>
        </is>
      </c>
      <c r="K3075" s="23" t="inlineStr">
        <is>
          <t>84x108 1/32</t>
        </is>
      </c>
      <c r="L3075" s="23" t="inlineStr">
        <is>
          <t>тв</t>
        </is>
      </c>
      <c r="M3075" s="23" t="n">
        <v>320</v>
      </c>
      <c r="N3075" s="23" t="n">
        <v>2015</v>
      </c>
      <c r="O3075" s="23" t="n">
        <v>260</v>
      </c>
      <c r="P3075" s="23" t="n"/>
      <c r="Q3075" s="23" t="n"/>
      <c r="R3075" s="25" t="n"/>
      <c r="S3075" s="26">
        <f>HYPERLINK("http://www.cnpol.ru/covers/15871.jpg","фото на сайте")</f>
        <v/>
      </c>
    </row>
    <row r="3076" ht="50.1" customHeight="1" s="3">
      <c r="A3076" s="23" t="n"/>
      <c r="B3076" s="24" t="inlineStr">
        <is>
          <t>18232</t>
        </is>
      </c>
      <c r="C3076" s="23" t="inlineStr">
        <is>
          <t>НТ</t>
        </is>
      </c>
      <c r="D3076" s="23" t="inlineStr">
        <is>
          <t>Кувайкова А.А., Созонова Ю.В.</t>
        </is>
      </c>
      <c r="E3076" s="23" t="inlineStr">
        <is>
          <t>Мантикора и Дракон: вернуться и вернуть. Эпизод 1</t>
        </is>
      </c>
      <c r="F3076" s="23" t="inlineStr">
        <is>
          <t>        </t>
        </is>
      </c>
      <c r="G3076" s="23" t="n">
        <v>554</v>
      </c>
      <c r="H3076" s="23" t="n">
        <v>10</v>
      </c>
      <c r="I3076" s="23" t="n">
        <v>14</v>
      </c>
      <c r="J3076" s="23" t="inlineStr">
        <is>
          <t>978-5-227-08339-5</t>
        </is>
      </c>
      <c r="K3076" s="23" t="inlineStr">
        <is>
          <t>84x108 1/32</t>
        </is>
      </c>
      <c r="L3076" s="23" t="inlineStr">
        <is>
          <t>тв</t>
        </is>
      </c>
      <c r="M3076" s="23" t="n">
        <v>320</v>
      </c>
      <c r="N3076" s="23" t="n">
        <v>2018</v>
      </c>
      <c r="O3076" s="23" t="n">
        <v>278</v>
      </c>
      <c r="P3076" s="23" t="n"/>
      <c r="Q3076" s="23" t="n"/>
      <c r="R3076" s="25" t="n"/>
      <c r="S3076" s="26">
        <f>HYPERLINK("http://www.cnpol.ru/covers/18232.jpg","фото на сайте")</f>
        <v/>
      </c>
    </row>
    <row r="3077" ht="50.1" customHeight="1" s="3">
      <c r="A3077" s="23" t="n"/>
      <c r="B3077" s="24" t="inlineStr">
        <is>
          <t>18274</t>
        </is>
      </c>
      <c r="C3077" s="23" t="inlineStr">
        <is>
          <t>НТ</t>
        </is>
      </c>
      <c r="D3077" s="23" t="inlineStr">
        <is>
          <t>Марченко Г.Б.</t>
        </is>
      </c>
      <c r="E3077" s="23" t="inlineStr">
        <is>
          <t>Манускрипт</t>
        </is>
      </c>
      <c r="F3077" s="23" t="inlineStr">
        <is>
          <t>        </t>
        </is>
      </c>
      <c r="G3077" s="23" t="n">
        <v>554</v>
      </c>
      <c r="H3077" s="23" t="n">
        <v>10</v>
      </c>
      <c r="I3077" s="23" t="n">
        <v>14</v>
      </c>
      <c r="J3077" s="23" t="inlineStr">
        <is>
          <t>978-5-227-08346-3</t>
        </is>
      </c>
      <c r="K3077" s="23" t="inlineStr">
        <is>
          <t>84x108 1/32</t>
        </is>
      </c>
      <c r="L3077" s="23" t="inlineStr">
        <is>
          <t>тв</t>
        </is>
      </c>
      <c r="M3077" s="23" t="n">
        <v>320</v>
      </c>
      <c r="N3077" s="23" t="n">
        <v>2018</v>
      </c>
      <c r="O3077" s="23" t="n">
        <v>278</v>
      </c>
      <c r="P3077" s="23" t="n"/>
      <c r="Q3077" s="23" t="n"/>
      <c r="R3077" s="25" t="n"/>
      <c r="S3077" s="26">
        <f>HYPERLINK("http://www.cnpol.ru/covers/18274.jpg","фото на сайте")</f>
        <v/>
      </c>
    </row>
    <row r="3078" ht="50.1" customHeight="1" s="3">
      <c r="A3078" s="23" t="n"/>
      <c r="B3078" s="24" t="inlineStr">
        <is>
          <t>18719</t>
        </is>
      </c>
      <c r="C3078" s="23" t="inlineStr">
        <is>
          <t>НТ</t>
        </is>
      </c>
      <c r="D3078" s="23" t="inlineStr">
        <is>
          <t>Черных Д.</t>
        </is>
      </c>
      <c r="E3078" s="23" t="inlineStr">
        <is>
          <t>Маскарад реальностей</t>
        </is>
      </c>
      <c r="F3078" s="23" t="inlineStr">
        <is>
          <t>        </t>
        </is>
      </c>
      <c r="G3078" s="23" t="n">
        <v>554</v>
      </c>
      <c r="H3078" s="23" t="n">
        <v>10</v>
      </c>
      <c r="I3078" s="23" t="n">
        <v>14</v>
      </c>
      <c r="J3078" s="23" t="inlineStr">
        <is>
          <t>978-5-227-08690-7</t>
        </is>
      </c>
      <c r="K3078" s="23" t="inlineStr">
        <is>
          <t>84x108 1/32</t>
        </is>
      </c>
      <c r="L3078" s="23" t="inlineStr">
        <is>
          <t>тв</t>
        </is>
      </c>
      <c r="M3078" s="23" t="n">
        <v>288</v>
      </c>
      <c r="N3078" s="23" t="n">
        <v>2019</v>
      </c>
      <c r="O3078" s="23" t="n">
        <v>254</v>
      </c>
      <c r="P3078" s="23" t="n"/>
      <c r="Q3078" s="23" t="n"/>
      <c r="R3078" s="25" t="n"/>
      <c r="S3078" s="26">
        <f>HYPERLINK("http://www.cnpol.ru/covers/18719.jpg","фото на сайте")</f>
        <v/>
      </c>
    </row>
    <row r="3079" ht="50.1" customHeight="1" s="3">
      <c r="A3079" s="23" t="n"/>
      <c r="B3079" s="24" t="inlineStr">
        <is>
          <t>18879</t>
        </is>
      </c>
      <c r="C3079" s="23" t="inlineStr">
        <is>
          <t>НТ</t>
        </is>
      </c>
      <c r="D3079" s="23" t="inlineStr">
        <is>
          <t>Васильев Я.М</t>
        </is>
      </c>
      <c r="E3079" s="23" t="inlineStr">
        <is>
          <t>Мастер искажений</t>
        </is>
      </c>
      <c r="F3079" s="23" t="inlineStr">
        <is>
          <t>        </t>
        </is>
      </c>
      <c r="G3079" s="23" t="n">
        <v>554</v>
      </c>
      <c r="H3079" s="23" t="n">
        <v>10</v>
      </c>
      <c r="I3079" s="23" t="n">
        <v>14</v>
      </c>
      <c r="J3079" s="23" t="inlineStr">
        <is>
          <t>978-5-227-08834-5</t>
        </is>
      </c>
      <c r="K3079" s="23" t="inlineStr">
        <is>
          <t>84x108 1/32</t>
        </is>
      </c>
      <c r="L3079" s="23" t="inlineStr">
        <is>
          <t>тв</t>
        </is>
      </c>
      <c r="M3079" s="23" t="n">
        <v>288</v>
      </c>
      <c r="N3079" s="23" t="n">
        <v>2019</v>
      </c>
      <c r="O3079" s="23" t="n">
        <v>258</v>
      </c>
      <c r="P3079" s="23" t="n"/>
      <c r="Q3079" s="23" t="n"/>
      <c r="R3079" s="25" t="n"/>
      <c r="S3079" s="26">
        <f>HYPERLINK("http://www.cnpol.ru/covers/18879.jpg","фото на сайте")</f>
        <v/>
      </c>
    </row>
    <row r="3080" ht="50.1" customHeight="1" s="3">
      <c r="A3080" s="23" t="n"/>
      <c r="B3080" s="24" t="inlineStr">
        <is>
          <t>17758</t>
        </is>
      </c>
      <c r="C3080" s="23" t="inlineStr">
        <is>
          <t>НТ</t>
        </is>
      </c>
      <c r="D3080" s="23" t="inlineStr">
        <is>
          <t>Муравьев К.Н</t>
        </is>
      </c>
      <c r="E3080" s="23" t="inlineStr">
        <is>
          <t>Мастер лута</t>
        </is>
      </c>
      <c r="F3080" s="23" t="inlineStr">
        <is>
          <t>        </t>
        </is>
      </c>
      <c r="G3080" s="23" t="n">
        <v>554</v>
      </c>
      <c r="H3080" s="23" t="n">
        <v>10</v>
      </c>
      <c r="I3080" s="23" t="n">
        <v>10</v>
      </c>
      <c r="J3080" s="23" t="inlineStr">
        <is>
          <t>978-5-227-07346-4</t>
        </is>
      </c>
      <c r="K3080" s="23" t="inlineStr">
        <is>
          <t>84x108 1/32</t>
        </is>
      </c>
      <c r="L3080" s="23" t="inlineStr">
        <is>
          <t>тв</t>
        </is>
      </c>
      <c r="M3080" s="23" t="n">
        <v>480</v>
      </c>
      <c r="N3080" s="23" t="n">
        <v>2017</v>
      </c>
      <c r="O3080" s="23" t="n">
        <v>364</v>
      </c>
      <c r="P3080" s="23" t="n"/>
      <c r="Q3080" s="23" t="n"/>
      <c r="R3080" s="25" t="n"/>
      <c r="S3080" s="26">
        <f>HYPERLINK("http://www.cnpol.ru/covers/17758.jpg","фото на сайте")</f>
        <v/>
      </c>
    </row>
    <row r="3081" ht="50.1" customHeight="1" s="3">
      <c r="A3081" s="23" t="n"/>
      <c r="B3081" s="24" t="inlineStr">
        <is>
          <t>17484</t>
        </is>
      </c>
      <c r="C3081" s="23" t="inlineStr">
        <is>
          <t>НТ</t>
        </is>
      </c>
      <c r="D3081" s="23" t="inlineStr">
        <is>
          <t>Марченко Г.Б.</t>
        </is>
      </c>
      <c r="E3081" s="23" t="inlineStr">
        <is>
          <t>Меняя историю</t>
        </is>
      </c>
      <c r="F3081" s="23" t="inlineStr">
        <is>
          <t>        </t>
        </is>
      </c>
      <c r="G3081" s="23" t="n">
        <v>554</v>
      </c>
      <c r="H3081" s="23" t="n">
        <v>10</v>
      </c>
      <c r="I3081" s="23" t="n">
        <v>14</v>
      </c>
      <c r="J3081" s="23" t="inlineStr">
        <is>
          <t>978-5-227-07566-6</t>
        </is>
      </c>
      <c r="K3081" s="23" t="inlineStr">
        <is>
          <t>84x108 1/32</t>
        </is>
      </c>
      <c r="L3081" s="23" t="inlineStr">
        <is>
          <t>тв</t>
        </is>
      </c>
      <c r="M3081" s="23" t="n">
        <v>288</v>
      </c>
      <c r="N3081" s="23" t="n">
        <v>2017</v>
      </c>
      <c r="O3081" s="23" t="n">
        <v>242</v>
      </c>
      <c r="P3081" s="23" t="n"/>
      <c r="Q3081" s="23" t="n"/>
      <c r="R3081" s="25" t="n"/>
      <c r="S3081" s="26">
        <f>HYPERLINK("http://www.cnpol.ru/covers/17484.jpg","фото на сайте")</f>
        <v/>
      </c>
    </row>
    <row r="3082" ht="50.1" customHeight="1" s="3">
      <c r="A3082" s="23" t="n"/>
      <c r="B3082" s="24" t="inlineStr">
        <is>
          <t>14763</t>
        </is>
      </c>
      <c r="C3082" s="23" t="inlineStr">
        <is>
          <t>НТ</t>
        </is>
      </c>
      <c r="D3082" s="23" t="inlineStr">
        <is>
          <t>Ланцов М.А.</t>
        </is>
      </c>
      <c r="E3082" s="23" t="inlineStr">
        <is>
          <t>Механический дракон</t>
        </is>
      </c>
      <c r="F3082" s="23" t="inlineStr">
        <is>
          <t>        </t>
        </is>
      </c>
      <c r="G3082" s="23" t="n">
        <v>554</v>
      </c>
      <c r="H3082" s="23" t="n">
        <v>10</v>
      </c>
      <c r="I3082" s="23" t="n">
        <v>14</v>
      </c>
      <c r="J3082" s="23" t="inlineStr">
        <is>
          <t>978-5-227-04739-7</t>
        </is>
      </c>
      <c r="K3082" s="23" t="inlineStr">
        <is>
          <t>84x108 1/32</t>
        </is>
      </c>
      <c r="L3082" s="23" t="inlineStr">
        <is>
          <t>тв</t>
        </is>
      </c>
      <c r="M3082" s="23" t="n">
        <v>317</v>
      </c>
      <c r="N3082" s="23" t="n">
        <v>2014</v>
      </c>
      <c r="O3082" s="23" t="n">
        <v>264</v>
      </c>
      <c r="P3082" s="23" t="n"/>
      <c r="Q3082" s="23" t="n"/>
      <c r="R3082" s="25" t="n"/>
      <c r="S3082" s="26">
        <f>HYPERLINK("http://www.cnpol.ru/covers/14763.jpg","фото на сайте")</f>
        <v/>
      </c>
    </row>
    <row r="3083" ht="50.1" customHeight="1" s="3">
      <c r="A3083" s="23" t="n"/>
      <c r="B3083" s="24" t="inlineStr">
        <is>
          <t>18536</t>
        </is>
      </c>
      <c r="C3083" s="23" t="inlineStr">
        <is>
          <t>НТ</t>
        </is>
      </c>
      <c r="D3083" s="23" t="inlineStr">
        <is>
          <t>Конычев И.</t>
        </is>
      </c>
      <c r="E3083" s="23" t="inlineStr">
        <is>
          <t>Меч Валькирии</t>
        </is>
      </c>
      <c r="F3083" s="23" t="inlineStr">
        <is>
          <t>        </t>
        </is>
      </c>
      <c r="G3083" s="23" t="n">
        <v>554</v>
      </c>
      <c r="H3083" s="23" t="n">
        <v>10</v>
      </c>
      <c r="I3083" s="23" t="n">
        <v>14</v>
      </c>
      <c r="J3083" s="23" t="inlineStr">
        <is>
          <t>978-5-227-08533-7</t>
        </is>
      </c>
      <c r="K3083" s="23" t="inlineStr">
        <is>
          <t>84x108 1/32</t>
        </is>
      </c>
      <c r="L3083" s="23" t="inlineStr">
        <is>
          <t>тв</t>
        </is>
      </c>
      <c r="M3083" s="23" t="n">
        <v>320</v>
      </c>
      <c r="N3083" s="23" t="n">
        <v>2019</v>
      </c>
      <c r="O3083" s="23" t="n">
        <v>270</v>
      </c>
      <c r="P3083" s="23" t="n"/>
      <c r="Q3083" s="23" t="n"/>
      <c r="R3083" s="25" t="n"/>
      <c r="S3083" s="26">
        <f>HYPERLINK("http://www.cnpol.ru/covers/18536.jpg","фото на сайте")</f>
        <v/>
      </c>
    </row>
    <row r="3084" ht="50.1" customHeight="1" s="3">
      <c r="A3084" s="23" t="n"/>
      <c r="B3084" s="24" t="inlineStr">
        <is>
          <t>19052</t>
        </is>
      </c>
      <c r="C3084" s="23" t="inlineStr">
        <is>
          <t>НТ</t>
        </is>
      </c>
      <c r="D3084" s="23" t="inlineStr">
        <is>
          <t>Сейтимбетов С.А</t>
        </is>
      </c>
      <c r="E3084" s="23" t="inlineStr">
        <is>
          <t>Мечты сбываются</t>
        </is>
      </c>
      <c r="F3084" s="23" t="inlineStr">
        <is>
          <t>        </t>
        </is>
      </c>
      <c r="G3084" s="23" t="n">
        <v>554</v>
      </c>
      <c r="H3084" s="23" t="n">
        <v>10</v>
      </c>
      <c r="I3084" s="23" t="n">
        <v>10</v>
      </c>
      <c r="J3084" s="23" t="inlineStr">
        <is>
          <t>978-5-227-09022-5</t>
        </is>
      </c>
      <c r="K3084" s="23" t="inlineStr">
        <is>
          <t>84x108 1/32</t>
        </is>
      </c>
      <c r="L3084" s="23" t="inlineStr">
        <is>
          <t>тв</t>
        </is>
      </c>
      <c r="M3084" s="23" t="n">
        <v>448</v>
      </c>
      <c r="N3084" s="23" t="n">
        <v>2020</v>
      </c>
      <c r="O3084" s="23" t="n">
        <v>350</v>
      </c>
      <c r="P3084" s="23" t="n"/>
      <c r="Q3084" s="23" t="n"/>
      <c r="R3084" s="25" t="n"/>
      <c r="S3084" s="26">
        <f>HYPERLINK("http://www.cnpol.ru/covers/19052.jpg","фото на сайте")</f>
        <v/>
      </c>
    </row>
    <row r="3085" ht="50.1" customHeight="1" s="3">
      <c r="A3085" s="23" t="n"/>
      <c r="B3085" s="24" t="inlineStr">
        <is>
          <t>18783</t>
        </is>
      </c>
      <c r="C3085" s="23" t="inlineStr">
        <is>
          <t>НТ</t>
        </is>
      </c>
      <c r="D3085" s="23" t="inlineStr">
        <is>
          <t>Лукашевич А.</t>
        </is>
      </c>
      <c r="E3085" s="23" t="inlineStr">
        <is>
          <t>Министерство несбывшихся желаний</t>
        </is>
      </c>
      <c r="F3085" s="23" t="inlineStr">
        <is>
          <t>        </t>
        </is>
      </c>
      <c r="G3085" s="23" t="n">
        <v>554</v>
      </c>
      <c r="H3085" s="23" t="n">
        <v>10</v>
      </c>
      <c r="I3085" s="23" t="n">
        <v>14</v>
      </c>
      <c r="J3085" s="23" t="inlineStr">
        <is>
          <t>978-5-227-08741-6</t>
        </is>
      </c>
      <c r="K3085" s="23" t="inlineStr">
        <is>
          <t>84x108 1/32</t>
        </is>
      </c>
      <c r="L3085" s="23" t="inlineStr">
        <is>
          <t>тв</t>
        </is>
      </c>
      <c r="M3085" s="23" t="n">
        <v>288</v>
      </c>
      <c r="N3085" s="23" t="n">
        <v>2019</v>
      </c>
      <c r="O3085" s="23" t="n">
        <v>250</v>
      </c>
      <c r="P3085" s="23" t="n"/>
      <c r="Q3085" s="23" t="n"/>
      <c r="R3085" s="25" t="n"/>
      <c r="S3085" s="26">
        <f>HYPERLINK("http://www.cnpol.ru/covers/18783.jpg","фото на сайте")</f>
        <v/>
      </c>
    </row>
    <row r="3086" ht="50.1" customHeight="1" s="3">
      <c r="A3086" s="23" t="n"/>
      <c r="B3086" s="24" t="inlineStr">
        <is>
          <t>18722</t>
        </is>
      </c>
      <c r="C3086" s="23" t="inlineStr">
        <is>
          <t>НТ</t>
        </is>
      </c>
      <c r="D3086" s="23" t="inlineStr">
        <is>
          <t>Муравьев К.Н</t>
        </is>
      </c>
      <c r="E3086" s="23" t="inlineStr">
        <is>
          <t>Мир Тёмного солнца</t>
        </is>
      </c>
      <c r="F3086" s="23" t="inlineStr">
        <is>
          <t>        </t>
        </is>
      </c>
      <c r="G3086" s="23" t="n">
        <v>554</v>
      </c>
      <c r="H3086" s="23" t="n">
        <v>10</v>
      </c>
      <c r="I3086" s="23" t="n">
        <v>12</v>
      </c>
      <c r="J3086" s="23" t="inlineStr">
        <is>
          <t>978-5-227-08705-8</t>
        </is>
      </c>
      <c r="K3086" s="23" t="inlineStr">
        <is>
          <t>84x108 1/32</t>
        </is>
      </c>
      <c r="L3086" s="23" t="inlineStr">
        <is>
          <t>тв</t>
        </is>
      </c>
      <c r="M3086" s="23" t="n">
        <v>352</v>
      </c>
      <c r="N3086" s="23" t="n">
        <v>2019</v>
      </c>
      <c r="O3086" s="23" t="n">
        <v>288</v>
      </c>
      <c r="P3086" s="23" t="n"/>
      <c r="Q3086" s="23" t="n"/>
      <c r="R3086" s="25" t="n"/>
      <c r="S3086" s="26">
        <f>HYPERLINK("http://www.cnpol.ru/covers/18722.jpg","фото на сайте")</f>
        <v/>
      </c>
    </row>
    <row r="3087" ht="50.1" customHeight="1" s="3">
      <c r="A3087" s="23" t="n"/>
      <c r="B3087" s="24" t="inlineStr">
        <is>
          <t>17581</t>
        </is>
      </c>
      <c r="C3087" s="23" t="inlineStr">
        <is>
          <t>НТ</t>
        </is>
      </c>
      <c r="D3087" s="23" t="inlineStr">
        <is>
          <t>Марченко Г.Б.</t>
        </is>
      </c>
      <c r="E3087" s="23" t="inlineStr">
        <is>
          <t>Мир уже не будет прежним</t>
        </is>
      </c>
      <c r="F3087" s="23" t="inlineStr">
        <is>
          <t>        </t>
        </is>
      </c>
      <c r="G3087" s="23" t="n">
        <v>554</v>
      </c>
      <c r="H3087" s="23" t="n">
        <v>10</v>
      </c>
      <c r="I3087" s="23" t="n">
        <v>12</v>
      </c>
      <c r="J3087" s="23" t="inlineStr">
        <is>
          <t>978-5-227-07630-4</t>
        </is>
      </c>
      <c r="K3087" s="23" t="inlineStr">
        <is>
          <t>84x108 1/32</t>
        </is>
      </c>
      <c r="L3087" s="23" t="inlineStr">
        <is>
          <t>тв</t>
        </is>
      </c>
      <c r="M3087" s="23" t="n">
        <v>384</v>
      </c>
      <c r="N3087" s="23" t="n">
        <v>2017</v>
      </c>
      <c r="O3087" s="23" t="n">
        <v>314</v>
      </c>
      <c r="P3087" s="23" t="n"/>
      <c r="Q3087" s="23" t="n"/>
      <c r="R3087" s="25" t="n"/>
      <c r="S3087" s="26">
        <f>HYPERLINK("http://www.cnpol.ru/covers/17581.jpg","фото на сайте")</f>
        <v/>
      </c>
    </row>
    <row r="3088" ht="50.1" customHeight="1" s="3">
      <c r="A3088" s="23" t="n"/>
      <c r="B3088" s="24" t="inlineStr">
        <is>
          <t>18525</t>
        </is>
      </c>
      <c r="C3088" s="23" t="inlineStr">
        <is>
          <t>НТ</t>
        </is>
      </c>
      <c r="D3088" s="23" t="inlineStr">
        <is>
          <t>Шенгальц И.А.</t>
        </is>
      </c>
      <c r="E3088" s="23" t="inlineStr">
        <is>
          <t>Мир-тень</t>
        </is>
      </c>
      <c r="F3088" s="23" t="inlineStr">
        <is>
          <t>        </t>
        </is>
      </c>
      <c r="G3088" s="23" t="n">
        <v>554</v>
      </c>
      <c r="H3088" s="23" t="n">
        <v>10</v>
      </c>
      <c r="I3088" s="23" t="n">
        <v>14</v>
      </c>
      <c r="J3088" s="23" t="inlineStr">
        <is>
          <t>978-5-227-08532-0</t>
        </is>
      </c>
      <c r="K3088" s="23" t="inlineStr">
        <is>
          <t>84x108 1/32</t>
        </is>
      </c>
      <c r="L3088" s="23" t="inlineStr">
        <is>
          <t>тв</t>
        </is>
      </c>
      <c r="M3088" s="23" t="n">
        <v>288</v>
      </c>
      <c r="N3088" s="23" t="n">
        <v>2019</v>
      </c>
      <c r="O3088" s="23" t="n">
        <v>250</v>
      </c>
      <c r="P3088" s="23" t="n"/>
      <c r="Q3088" s="23" t="n"/>
      <c r="R3088" s="25" t="n"/>
      <c r="S3088" s="26">
        <f>HYPERLINK("http://www.cnpol.ru/covers/18525.jpg","фото на сайте")</f>
        <v/>
      </c>
    </row>
    <row r="3089" ht="50.1" customHeight="1" s="3">
      <c r="A3089" s="23" t="n"/>
      <c r="B3089" s="24" t="inlineStr">
        <is>
          <t>17674</t>
        </is>
      </c>
      <c r="C3089" s="23" t="inlineStr">
        <is>
          <t>НТ</t>
        </is>
      </c>
      <c r="D3089" s="23" t="inlineStr">
        <is>
          <t>Марченко Г.Б.</t>
        </is>
      </c>
      <c r="E3089" s="23" t="inlineStr">
        <is>
          <t>Мне снова 15...</t>
        </is>
      </c>
      <c r="F3089" s="23" t="inlineStr">
        <is>
          <t>        </t>
        </is>
      </c>
      <c r="G3089" s="23" t="n">
        <v>554</v>
      </c>
      <c r="H3089" s="23" t="n">
        <v>10</v>
      </c>
      <c r="I3089" s="23" t="n">
        <v>14</v>
      </c>
      <c r="J3089" s="23" t="inlineStr">
        <is>
          <t>978-5-227-07716-5</t>
        </is>
      </c>
      <c r="K3089" s="23" t="inlineStr">
        <is>
          <t>84x108 1/32</t>
        </is>
      </c>
      <c r="L3089" s="23" t="inlineStr">
        <is>
          <t>тв</t>
        </is>
      </c>
      <c r="M3089" s="23" t="n">
        <v>288</v>
      </c>
      <c r="N3089" s="23" t="n">
        <v>2017</v>
      </c>
      <c r="O3089" s="23" t="n">
        <v>258</v>
      </c>
      <c r="P3089" s="23" t="n"/>
      <c r="Q3089" s="23" t="n"/>
      <c r="R3089" s="25" t="n"/>
      <c r="S3089" s="26">
        <f>HYPERLINK("http://www.cnpol.ru/covers/17674.jpg","фото на сайте")</f>
        <v/>
      </c>
    </row>
    <row r="3090" ht="50.1" customHeight="1" s="3">
      <c r="A3090" s="23" t="n"/>
      <c r="B3090" s="24" t="inlineStr">
        <is>
          <t>18762</t>
        </is>
      </c>
      <c r="C3090" s="23" t="inlineStr">
        <is>
          <t>НТ</t>
        </is>
      </c>
      <c r="D3090" s="23" t="inlineStr">
        <is>
          <t>Карпин Д.</t>
        </is>
      </c>
      <c r="E3090" s="23" t="inlineStr">
        <is>
          <t>Мы спасаем попаданцев</t>
        </is>
      </c>
      <c r="F3090" s="23" t="inlineStr">
        <is>
          <t>        </t>
        </is>
      </c>
      <c r="G3090" s="23" t="n">
        <v>554</v>
      </c>
      <c r="H3090" s="23" t="n">
        <v>10</v>
      </c>
      <c r="I3090" s="23" t="n">
        <v>14</v>
      </c>
      <c r="J3090" s="23" t="inlineStr">
        <is>
          <t>978-5-227-08718-8</t>
        </is>
      </c>
      <c r="K3090" s="23" t="inlineStr">
        <is>
          <t>84x108 1/32</t>
        </is>
      </c>
      <c r="L3090" s="23" t="inlineStr">
        <is>
          <t>тв</t>
        </is>
      </c>
      <c r="M3090" s="23" t="n">
        <v>288</v>
      </c>
      <c r="N3090" s="23" t="n">
        <v>2019</v>
      </c>
      <c r="O3090" s="23" t="n">
        <v>254</v>
      </c>
      <c r="P3090" s="23" t="n"/>
      <c r="Q3090" s="23" t="n"/>
      <c r="R3090" s="25" t="n"/>
      <c r="S3090" s="26">
        <f>HYPERLINK("http://www.cnpol.ru/covers/18762.jpg","фото на сайте")</f>
        <v/>
      </c>
    </row>
    <row r="3091" ht="50.1" customHeight="1" s="3">
      <c r="A3091" s="23" t="n"/>
      <c r="B3091" s="24" t="inlineStr">
        <is>
          <t>18918</t>
        </is>
      </c>
      <c r="C3091" s="23" t="inlineStr">
        <is>
          <t>НТ</t>
        </is>
      </c>
      <c r="D3091" s="23" t="inlineStr">
        <is>
          <t>Кубрин М.С</t>
        </is>
      </c>
      <c r="E3091" s="23" t="inlineStr">
        <is>
          <t>На пути у цунами</t>
        </is>
      </c>
      <c r="F3091" s="23" t="inlineStr">
        <is>
          <t>        </t>
        </is>
      </c>
      <c r="G3091" s="23" t="n">
        <v>554</v>
      </c>
      <c r="H3091" s="23" t="n">
        <v>10</v>
      </c>
      <c r="I3091" s="23" t="n">
        <v>10</v>
      </c>
      <c r="J3091" s="23" t="inlineStr">
        <is>
          <t>978-5-227-08904-5</t>
        </is>
      </c>
      <c r="K3091" s="23" t="inlineStr">
        <is>
          <t>84x108 1/32</t>
        </is>
      </c>
      <c r="L3091" s="23" t="inlineStr">
        <is>
          <t>тв</t>
        </is>
      </c>
      <c r="M3091" s="23" t="n">
        <v>448</v>
      </c>
      <c r="N3091" s="23" t="n">
        <v>2019</v>
      </c>
      <c r="O3091" s="23" t="n">
        <v>348</v>
      </c>
      <c r="P3091" s="23" t="n"/>
      <c r="Q3091" s="23" t="n"/>
      <c r="R3091" s="25" t="n"/>
      <c r="S3091" s="26">
        <f>HYPERLINK("http://www.cnpol.ru/covers/18918.jpg","фото на сайте")</f>
        <v/>
      </c>
    </row>
    <row r="3092" ht="50.1" customHeight="1" s="3">
      <c r="A3092" s="23" t="n"/>
      <c r="B3092" s="24" t="inlineStr">
        <is>
          <t>17754</t>
        </is>
      </c>
      <c r="C3092" s="23" t="inlineStr">
        <is>
          <t>НТ</t>
        </is>
      </c>
      <c r="D3092" s="23" t="inlineStr">
        <is>
          <t>Марченко Г.Б.</t>
        </is>
      </c>
      <c r="E3092" s="23" t="inlineStr">
        <is>
          <t>На туманном Альбионе</t>
        </is>
      </c>
      <c r="F3092" s="23" t="inlineStr">
        <is>
          <t>        </t>
        </is>
      </c>
      <c r="G3092" s="23" t="n">
        <v>554</v>
      </c>
      <c r="H3092" s="23" t="n">
        <v>10</v>
      </c>
      <c r="I3092" s="23" t="n">
        <v>14</v>
      </c>
      <c r="J3092" s="23" t="inlineStr">
        <is>
          <t>978-5-227-07766-0</t>
        </is>
      </c>
      <c r="K3092" s="23" t="inlineStr">
        <is>
          <t>84x108 1/32</t>
        </is>
      </c>
      <c r="L3092" s="23" t="inlineStr">
        <is>
          <t>тв</t>
        </is>
      </c>
      <c r="M3092" s="23" t="n">
        <v>288</v>
      </c>
      <c r="N3092" s="23" t="n">
        <v>2017</v>
      </c>
      <c r="O3092" s="23" t="n">
        <v>256</v>
      </c>
      <c r="P3092" s="23" t="n"/>
      <c r="Q3092" s="23" t="n"/>
      <c r="R3092" s="25" t="n"/>
      <c r="S3092" s="26">
        <f>HYPERLINK("http://www.cnpol.ru/covers/17754.jpg","фото на сайте")</f>
        <v/>
      </c>
    </row>
    <row r="3093" ht="50.1" customHeight="1" s="3">
      <c r="A3093" s="23" t="n"/>
      <c r="B3093" s="24" t="inlineStr">
        <is>
          <t>20039</t>
        </is>
      </c>
      <c r="C3093" s="23" t="inlineStr">
        <is>
          <t>НТ</t>
        </is>
      </c>
      <c r="D3093" s="23" t="inlineStr">
        <is>
          <t>Егорова Н.А.</t>
        </is>
      </c>
      <c r="E3093" s="23" t="inlineStr">
        <is>
          <t>Не дать отнять свою мечту</t>
        </is>
      </c>
      <c r="F3093" s="23" t="inlineStr">
        <is>
          <t>        </t>
        </is>
      </c>
      <c r="G3093" s="23" t="n">
        <v>554</v>
      </c>
      <c r="H3093" s="23" t="n">
        <v>10</v>
      </c>
      <c r="I3093" s="23" t="n">
        <v>12</v>
      </c>
      <c r="J3093" s="23" t="inlineStr">
        <is>
          <t>978-5-227-09825-2</t>
        </is>
      </c>
      <c r="K3093" s="23" t="inlineStr">
        <is>
          <t>84x108 1/32</t>
        </is>
      </c>
      <c r="L3093" s="23" t="inlineStr">
        <is>
          <t>тв</t>
        </is>
      </c>
      <c r="M3093" s="23" t="n">
        <v>383</v>
      </c>
      <c r="N3093" s="23" t="n">
        <v>2021</v>
      </c>
      <c r="O3093" s="23" t="n">
        <v>410</v>
      </c>
      <c r="P3093" s="23" t="n"/>
      <c r="Q3093" s="23" t="n"/>
      <c r="R3093" s="25" t="n"/>
      <c r="S3093" s="26">
        <f>HYPERLINK("http://www.cnpol.ru/covers/20039.jpg","фото на сайте")</f>
        <v/>
      </c>
    </row>
    <row r="3094" ht="50.1" customHeight="1" s="3">
      <c r="A3094" s="23" t="n"/>
      <c r="B3094" s="24" t="inlineStr">
        <is>
          <t>17759</t>
        </is>
      </c>
      <c r="C3094" s="23" t="inlineStr">
        <is>
          <t>НТ</t>
        </is>
      </c>
      <c r="D3094" s="23" t="inlineStr">
        <is>
          <t>Муравьев К.Н</t>
        </is>
      </c>
      <c r="E3094" s="23" t="inlineStr">
        <is>
          <t>Нейтральные миры</t>
        </is>
      </c>
      <c r="F3094" s="23" t="inlineStr">
        <is>
          <t>        </t>
        </is>
      </c>
      <c r="G3094" s="23" t="n">
        <v>554</v>
      </c>
      <c r="H3094" s="23" t="n">
        <v>10</v>
      </c>
      <c r="I3094" s="23" t="n">
        <v>10</v>
      </c>
      <c r="J3094" s="23" t="inlineStr">
        <is>
          <t>978-5-227-07345-7</t>
        </is>
      </c>
      <c r="K3094" s="23" t="inlineStr">
        <is>
          <t>84x108 1/32</t>
        </is>
      </c>
      <c r="L3094" s="23" t="inlineStr">
        <is>
          <t>тв</t>
        </is>
      </c>
      <c r="M3094" s="23" t="n">
        <v>448</v>
      </c>
      <c r="N3094" s="23" t="n">
        <v>2017</v>
      </c>
      <c r="O3094" s="23" t="n">
        <v>348</v>
      </c>
      <c r="P3094" s="23" t="n"/>
      <c r="Q3094" s="23" t="n"/>
      <c r="R3094" s="25" t="n"/>
      <c r="S3094" s="26">
        <f>HYPERLINK("http://www.cnpol.ru/covers/17759.jpg","фото на сайте")</f>
        <v/>
      </c>
    </row>
    <row r="3095" ht="50.1" customHeight="1" s="3">
      <c r="A3095" s="23" t="n"/>
      <c r="B3095" s="24" t="inlineStr">
        <is>
          <t>15801</t>
        </is>
      </c>
      <c r="C3095" s="23" t="inlineStr">
        <is>
          <t>НТ</t>
        </is>
      </c>
      <c r="D3095" s="23" t="inlineStr">
        <is>
          <t>Нестерова</t>
        </is>
      </c>
      <c r="E3095" s="23" t="inlineStr">
        <is>
          <t>Некромант. Присяга</t>
        </is>
      </c>
      <c r="F3095" s="23" t="inlineStr">
        <is>
          <t>        </t>
        </is>
      </c>
      <c r="G3095" s="23" t="n">
        <v>554</v>
      </c>
      <c r="H3095" s="23" t="n">
        <v>10</v>
      </c>
      <c r="I3095" s="23" t="n">
        <v>14</v>
      </c>
      <c r="J3095" s="23" t="inlineStr">
        <is>
          <t>978-5-227-05556-9</t>
        </is>
      </c>
      <c r="K3095" s="23" t="inlineStr">
        <is>
          <t>84x108 1/32</t>
        </is>
      </c>
      <c r="L3095" s="23" t="inlineStr">
        <is>
          <t>тв</t>
        </is>
      </c>
      <c r="M3095" s="23" t="n">
        <v>285</v>
      </c>
      <c r="N3095" s="23" t="n">
        <v>2015</v>
      </c>
      <c r="O3095" s="23" t="n">
        <v>254</v>
      </c>
      <c r="P3095" s="23" t="n"/>
      <c r="Q3095" s="23" t="n"/>
      <c r="R3095" s="25" t="n"/>
      <c r="S3095" s="26">
        <f>HYPERLINK("http://www.cnpol.ru/covers/15801.jpg","фото на сайте")</f>
        <v/>
      </c>
    </row>
    <row r="3096" ht="50.1" customHeight="1" s="3">
      <c r="A3096" s="23" t="n"/>
      <c r="B3096" s="24" t="inlineStr">
        <is>
          <t>17879</t>
        </is>
      </c>
      <c r="C3096" s="23" t="inlineStr">
        <is>
          <t>НТ</t>
        </is>
      </c>
      <c r="D3096" s="23" t="inlineStr">
        <is>
          <t>Михеев В.</t>
        </is>
      </c>
      <c r="E3096" s="23" t="inlineStr">
        <is>
          <t>Неправильный демон</t>
        </is>
      </c>
      <c r="F3096" s="23" t="inlineStr">
        <is>
          <t>        </t>
        </is>
      </c>
      <c r="G3096" s="23" t="n">
        <v>554</v>
      </c>
      <c r="H3096" s="23" t="n">
        <v>10</v>
      </c>
      <c r="I3096" s="23" t="n">
        <v>14</v>
      </c>
      <c r="J3096" s="23" t="inlineStr">
        <is>
          <t>978-5-227-08003-5</t>
        </is>
      </c>
      <c r="K3096" s="23" t="inlineStr">
        <is>
          <t>84x108 1/32</t>
        </is>
      </c>
      <c r="L3096" s="23" t="inlineStr">
        <is>
          <t>тв</t>
        </is>
      </c>
      <c r="M3096" s="23" t="n">
        <v>288</v>
      </c>
      <c r="N3096" s="23" t="n">
        <v>2017</v>
      </c>
      <c r="O3096" s="23" t="n">
        <v>252</v>
      </c>
      <c r="P3096" s="23" t="n"/>
      <c r="Q3096" s="23" t="n"/>
      <c r="R3096" s="25" t="n"/>
      <c r="S3096" s="26">
        <f>HYPERLINK("http://www.cnpol.ru/covers/17879.jpg","фото на сайте")</f>
        <v/>
      </c>
    </row>
    <row r="3097" ht="50.1" customHeight="1" s="3">
      <c r="A3097" s="23" t="n"/>
      <c r="B3097" s="24" t="inlineStr">
        <is>
          <t>17306</t>
        </is>
      </c>
      <c r="C3097" s="23" t="inlineStr">
        <is>
          <t>НТ</t>
        </is>
      </c>
      <c r="D3097" s="23" t="inlineStr">
        <is>
          <t>Поселягин В.Г</t>
        </is>
      </c>
      <c r="E3097" s="23" t="inlineStr">
        <is>
          <t>Новик</t>
        </is>
      </c>
      <c r="F3097" s="23" t="inlineStr">
        <is>
          <t>        </t>
        </is>
      </c>
      <c r="G3097" s="23" t="n">
        <v>554</v>
      </c>
      <c r="H3097" s="23" t="n">
        <v>10</v>
      </c>
      <c r="I3097" s="23" t="n">
        <v>14</v>
      </c>
      <c r="J3097" s="23" t="inlineStr">
        <is>
          <t>978-5-227-07350-1</t>
        </is>
      </c>
      <c r="K3097" s="23" t="inlineStr">
        <is>
          <t>84x108 1/32</t>
        </is>
      </c>
      <c r="L3097" s="23" t="inlineStr">
        <is>
          <t>тв</t>
        </is>
      </c>
      <c r="M3097" s="23" t="n">
        <v>288</v>
      </c>
      <c r="N3097" s="23" t="n">
        <v>2017</v>
      </c>
      <c r="O3097" s="23" t="n">
        <v>240</v>
      </c>
      <c r="P3097" s="23" t="n"/>
      <c r="Q3097" s="23" t="n"/>
      <c r="R3097" s="25" t="n"/>
      <c r="S3097" s="26">
        <f>HYPERLINK("http://www.cnpol.ru/covers/17306.jpg","фото на сайте")</f>
        <v/>
      </c>
    </row>
    <row r="3098" ht="50.1" customHeight="1" s="3">
      <c r="A3098" s="23" t="n"/>
      <c r="B3098" s="24" t="inlineStr">
        <is>
          <t>17485</t>
        </is>
      </c>
      <c r="C3098" s="23" t="inlineStr">
        <is>
          <t>НТ</t>
        </is>
      </c>
      <c r="D3098" s="23" t="inlineStr">
        <is>
          <t>Марченко Г.Б.</t>
        </is>
      </c>
      <c r="E3098" s="23" t="inlineStr">
        <is>
          <t>Обратно в СССР</t>
        </is>
      </c>
      <c r="F3098" s="23" t="inlineStr">
        <is>
          <t>        </t>
        </is>
      </c>
      <c r="G3098" s="23" t="n">
        <v>554</v>
      </c>
      <c r="H3098" s="23" t="n">
        <v>10</v>
      </c>
      <c r="I3098" s="23" t="n">
        <v>12</v>
      </c>
      <c r="J3098" s="23" t="inlineStr">
        <is>
          <t>978-5-227-07331-0</t>
        </is>
      </c>
      <c r="K3098" s="23" t="inlineStr">
        <is>
          <t>84x108 1/32</t>
        </is>
      </c>
      <c r="L3098" s="23" t="inlineStr">
        <is>
          <t>тв</t>
        </is>
      </c>
      <c r="M3098" s="23" t="n">
        <v>288</v>
      </c>
      <c r="N3098" s="23" t="n">
        <v>2017</v>
      </c>
      <c r="O3098" s="23" t="n">
        <v>236</v>
      </c>
      <c r="P3098" s="23" t="n"/>
      <c r="Q3098" s="23" t="n"/>
      <c r="R3098" s="25" t="n"/>
      <c r="S3098" s="26">
        <f>HYPERLINK("http://www.cnpol.ru/covers/17485.jpg","фото на сайте")</f>
        <v/>
      </c>
    </row>
    <row r="3099" ht="50.1" customHeight="1" s="3">
      <c r="A3099" s="23" t="n"/>
      <c r="B3099" s="24" t="inlineStr">
        <is>
          <t>17128</t>
        </is>
      </c>
      <c r="C3099" s="23" t="inlineStr">
        <is>
          <t>НТ</t>
        </is>
      </c>
      <c r="D3099" s="23" t="inlineStr">
        <is>
          <t>Плотников С.А.</t>
        </is>
      </c>
      <c r="E3099" s="23" t="inlineStr">
        <is>
          <t>Обретенная</t>
        </is>
      </c>
      <c r="F3099" s="23" t="inlineStr">
        <is>
          <t>        </t>
        </is>
      </c>
      <c r="G3099" s="23" t="n">
        <v>554</v>
      </c>
      <c r="H3099" s="23" t="n">
        <v>10</v>
      </c>
      <c r="I3099" s="23" t="n">
        <v>14</v>
      </c>
      <c r="J3099" s="23" t="inlineStr">
        <is>
          <t>978-5-227-07148-4</t>
        </is>
      </c>
      <c r="K3099" s="23" t="inlineStr">
        <is>
          <t>84x108 1/32</t>
        </is>
      </c>
      <c r="L3099" s="23" t="inlineStr">
        <is>
          <t>тв</t>
        </is>
      </c>
      <c r="M3099" s="23" t="n">
        <v>288</v>
      </c>
      <c r="N3099" s="23" t="n">
        <v>2016</v>
      </c>
      <c r="O3099" s="23" t="n">
        <v>242</v>
      </c>
      <c r="P3099" s="23" t="n"/>
      <c r="Q3099" s="23" t="n"/>
      <c r="R3099" s="25" t="n"/>
      <c r="S3099" s="26">
        <f>HYPERLINK("http://www.cnpol.ru/covers/17128.jpg","фото на сайте")</f>
        <v/>
      </c>
    </row>
    <row r="3100" ht="50.1" customHeight="1" s="3">
      <c r="A3100" s="23" t="n"/>
      <c r="B3100" s="24" t="inlineStr">
        <is>
          <t>11975</t>
        </is>
      </c>
      <c r="C3100" s="23" t="inlineStr">
        <is>
          <t>НТ</t>
        </is>
      </c>
      <c r="D3100" s="23" t="inlineStr">
        <is>
          <t>Чужин И.А.</t>
        </is>
      </c>
      <c r="E3100" s="23" t="inlineStr">
        <is>
          <t>Огненные дороги Геона</t>
        </is>
      </c>
      <c r="F3100" s="23" t="inlineStr">
        <is>
          <t>        </t>
        </is>
      </c>
      <c r="G3100" s="23" t="n">
        <v>554</v>
      </c>
      <c r="H3100" s="23" t="n">
        <v>10</v>
      </c>
      <c r="I3100" s="23" t="n">
        <v>16</v>
      </c>
      <c r="J3100" s="23" t="inlineStr">
        <is>
          <t>978-5-227-02156-4</t>
        </is>
      </c>
      <c r="K3100" s="23" t="inlineStr">
        <is>
          <t>84x108 1/32</t>
        </is>
      </c>
      <c r="L3100" s="23" t="inlineStr">
        <is>
          <t>тв</t>
        </is>
      </c>
      <c r="M3100" s="23" t="n">
        <v>318</v>
      </c>
      <c r="N3100" s="23" t="n">
        <v>2010</v>
      </c>
      <c r="O3100" s="23" t="n">
        <v>264</v>
      </c>
      <c r="P3100" s="23" t="n"/>
      <c r="Q3100" s="23" t="n"/>
      <c r="R3100" s="25" t="n"/>
      <c r="S3100" s="26">
        <f>HYPERLINK("http://www.cnpol.ru/covers/11975.jpg","фото на сайте")</f>
        <v/>
      </c>
    </row>
    <row r="3101" ht="50.1" customHeight="1" s="3">
      <c r="A3101" s="23" t="n"/>
      <c r="B3101" s="24" t="inlineStr">
        <is>
          <t>18175</t>
        </is>
      </c>
      <c r="C3101" s="23" t="inlineStr">
        <is>
          <t>НТ</t>
        </is>
      </c>
      <c r="D3101" s="23" t="inlineStr">
        <is>
          <t>Яковенко С.</t>
        </is>
      </c>
      <c r="E3101" s="23" t="inlineStr">
        <is>
          <t>Омут</t>
        </is>
      </c>
      <c r="F3101" s="23" t="inlineStr">
        <is>
          <t>        </t>
        </is>
      </c>
      <c r="G3101" s="23" t="n">
        <v>554</v>
      </c>
      <c r="H3101" s="23" t="n">
        <v>10</v>
      </c>
      <c r="I3101" s="23" t="n">
        <v>14</v>
      </c>
      <c r="J3101" s="23" t="inlineStr">
        <is>
          <t>978-5-227-08236-7</t>
        </is>
      </c>
      <c r="K3101" s="23" t="inlineStr">
        <is>
          <t>84x108 1/32</t>
        </is>
      </c>
      <c r="L3101" s="23" t="inlineStr">
        <is>
          <t>тв</t>
        </is>
      </c>
      <c r="M3101" s="23" t="n">
        <v>288</v>
      </c>
      <c r="N3101" s="23" t="n">
        <v>2018</v>
      </c>
      <c r="O3101" s="23" t="n">
        <v>254</v>
      </c>
      <c r="P3101" s="23" t="n"/>
      <c r="Q3101" s="23" t="n"/>
      <c r="R3101" s="25" t="n"/>
      <c r="S3101" s="26">
        <f>HYPERLINK("http://www.cnpol.ru/covers/18175.jpg","фото на сайте")</f>
        <v/>
      </c>
    </row>
    <row r="3102" ht="50.1" customHeight="1" s="3">
      <c r="A3102" s="23" t="n"/>
      <c r="B3102" s="24" t="inlineStr">
        <is>
          <t>19595</t>
        </is>
      </c>
      <c r="C3102" s="23" t="inlineStr">
        <is>
          <t>НТ</t>
        </is>
      </c>
      <c r="D3102" s="23" t="inlineStr">
        <is>
          <t>Пономарев А.Л</t>
        </is>
      </c>
      <c r="E3102" s="23" t="inlineStr">
        <is>
          <t>Основной компонент</t>
        </is>
      </c>
      <c r="F3102" s="23" t="inlineStr">
        <is>
          <t>        </t>
        </is>
      </c>
      <c r="G3102" s="23" t="n">
        <v>554</v>
      </c>
      <c r="H3102" s="23" t="n">
        <v>10</v>
      </c>
      <c r="I3102" s="23" t="n">
        <v>14</v>
      </c>
      <c r="J3102" s="23" t="inlineStr">
        <is>
          <t>978-5-227-09409-4</t>
        </is>
      </c>
      <c r="K3102" s="23" t="inlineStr">
        <is>
          <t>84x108 1/32</t>
        </is>
      </c>
      <c r="L3102" s="23" t="inlineStr">
        <is>
          <t>тв</t>
        </is>
      </c>
      <c r="M3102" s="23" t="n">
        <v>288</v>
      </c>
      <c r="N3102" s="23" t="n">
        <v>2021</v>
      </c>
      <c r="O3102" s="23" t="n">
        <v>256</v>
      </c>
      <c r="P3102" s="23" t="n"/>
      <c r="Q3102" s="23" t="n"/>
      <c r="R3102" s="25" t="n"/>
      <c r="S3102" s="26">
        <f>HYPERLINK("http://www.cnpol.ru/covers/19595.jpg","фото на сайте")</f>
        <v/>
      </c>
    </row>
    <row r="3103" ht="50.1" customHeight="1" s="3">
      <c r="A3103" s="23" t="n"/>
      <c r="B3103" s="24" t="inlineStr">
        <is>
          <t>15140</t>
        </is>
      </c>
      <c r="C3103" s="23" t="inlineStr">
        <is>
          <t>НТ</t>
        </is>
      </c>
      <c r="D3103" s="23" t="inlineStr">
        <is>
          <t>Михеев М.А.</t>
        </is>
      </c>
      <c r="E3103" s="23" t="inlineStr">
        <is>
          <t>Осознание</t>
        </is>
      </c>
      <c r="F3103" s="23" t="inlineStr">
        <is>
          <t>        </t>
        </is>
      </c>
      <c r="G3103" s="23" t="n">
        <v>554</v>
      </c>
      <c r="H3103" s="23" t="n">
        <v>10</v>
      </c>
      <c r="I3103" s="23" t="n">
        <v>14</v>
      </c>
      <c r="J3103" s="23" t="inlineStr">
        <is>
          <t>978-5-227-05033-5</t>
        </is>
      </c>
      <c r="K3103" s="23" t="inlineStr">
        <is>
          <t>84x108 1/32</t>
        </is>
      </c>
      <c r="L3103" s="23" t="inlineStr">
        <is>
          <t>тв</t>
        </is>
      </c>
      <c r="M3103" s="23" t="n">
        <v>285</v>
      </c>
      <c r="N3103" s="23" t="n">
        <v>2014</v>
      </c>
      <c r="O3103" s="23" t="n">
        <v>248</v>
      </c>
      <c r="P3103" s="23" t="n"/>
      <c r="Q3103" s="23" t="n"/>
      <c r="R3103" s="25" t="n"/>
      <c r="S3103" s="26">
        <f>HYPERLINK("http://www.cnpol.ru/covers/15140.jpg","фото на сайте")</f>
        <v/>
      </c>
    </row>
    <row r="3104" ht="50.1" customHeight="1" s="3">
      <c r="A3104" s="23" t="n"/>
      <c r="B3104" s="24" t="inlineStr">
        <is>
          <t>17377</t>
        </is>
      </c>
      <c r="C3104" s="23" t="inlineStr">
        <is>
          <t>НТ</t>
        </is>
      </c>
      <c r="D3104" s="23" t="inlineStr">
        <is>
          <t>Плотников С.А.</t>
        </is>
      </c>
      <c r="E3104" s="23" t="inlineStr">
        <is>
          <t>Отражение</t>
        </is>
      </c>
      <c r="F3104" s="23" t="inlineStr">
        <is>
          <t>        </t>
        </is>
      </c>
      <c r="G3104" s="23" t="n">
        <v>554</v>
      </c>
      <c r="H3104" s="23" t="n">
        <v>10</v>
      </c>
      <c r="I3104" s="23" t="n">
        <v>16</v>
      </c>
      <c r="J3104" s="23" t="inlineStr">
        <is>
          <t>978-5-227-07446-1</t>
        </is>
      </c>
      <c r="K3104" s="23" t="inlineStr">
        <is>
          <t>84x108 1/32</t>
        </is>
      </c>
      <c r="L3104" s="23" t="inlineStr">
        <is>
          <t>тв</t>
        </is>
      </c>
      <c r="M3104" s="23" t="n">
        <v>288</v>
      </c>
      <c r="N3104" s="23" t="n">
        <v>2017</v>
      </c>
      <c r="O3104" s="23" t="n">
        <v>258</v>
      </c>
      <c r="P3104" s="23" t="n"/>
      <c r="Q3104" s="23" t="n"/>
      <c r="R3104" s="25" t="n"/>
      <c r="S3104" s="26">
        <f>HYPERLINK("http://www.cnpol.ru/covers/17377.jpg","фото на сайте")</f>
        <v/>
      </c>
    </row>
    <row r="3105" ht="50.1" customHeight="1" s="3">
      <c r="A3105" s="23" t="n"/>
      <c r="B3105" s="24" t="inlineStr">
        <is>
          <t>17170</t>
        </is>
      </c>
      <c r="C3105" s="23" t="inlineStr">
        <is>
          <t>НТ</t>
        </is>
      </c>
      <c r="D3105" s="23" t="inlineStr">
        <is>
          <t>Поселягин В.Г</t>
        </is>
      </c>
      <c r="E3105" s="23" t="inlineStr">
        <is>
          <t>Отрок</t>
        </is>
      </c>
      <c r="F3105" s="23" t="inlineStr">
        <is>
          <t>        </t>
        </is>
      </c>
      <c r="G3105" s="23" t="n">
        <v>554</v>
      </c>
      <c r="H3105" s="23" t="n">
        <v>10</v>
      </c>
      <c r="I3105" s="23" t="n">
        <v>14</v>
      </c>
      <c r="J3105" s="23" t="inlineStr">
        <is>
          <t>978-5-227-07235-1</t>
        </is>
      </c>
      <c r="K3105" s="23" t="inlineStr">
        <is>
          <t>84x108 1/32</t>
        </is>
      </c>
      <c r="L3105" s="23" t="inlineStr">
        <is>
          <t>тв</t>
        </is>
      </c>
      <c r="M3105" s="23" t="n">
        <v>288</v>
      </c>
      <c r="N3105" s="23" t="n">
        <v>2016</v>
      </c>
      <c r="O3105" s="23" t="n">
        <v>230</v>
      </c>
      <c r="P3105" s="23" t="n"/>
      <c r="Q3105" s="23" t="n"/>
      <c r="R3105" s="25" t="n"/>
      <c r="S3105" s="26">
        <f>HYPERLINK("http://www.cnpol.ru/covers/17170.jpg","фото на сайте")</f>
        <v/>
      </c>
    </row>
    <row r="3106" ht="50.1" customHeight="1" s="3">
      <c r="A3106" s="23" t="n"/>
      <c r="B3106" s="24" t="inlineStr">
        <is>
          <t>19725</t>
        </is>
      </c>
      <c r="C3106" s="23" t="inlineStr">
        <is>
          <t>НТ</t>
        </is>
      </c>
      <c r="D3106" s="23" t="inlineStr">
        <is>
          <t>Махавкин А.А</t>
        </is>
      </c>
      <c r="E3106" s="23" t="inlineStr">
        <is>
          <t>Пасынки Страны</t>
        </is>
      </c>
      <c r="F3106" s="23" t="inlineStr">
        <is>
          <t>        </t>
        </is>
      </c>
      <c r="G3106" s="23" t="n">
        <v>554</v>
      </c>
      <c r="H3106" s="23" t="n">
        <v>10</v>
      </c>
      <c r="I3106" s="23" t="n">
        <v>14</v>
      </c>
      <c r="J3106" s="23" t="inlineStr">
        <is>
          <t>978-5-227-09567-1</t>
        </is>
      </c>
      <c r="K3106" s="23" t="inlineStr">
        <is>
          <t>84x108 1/32</t>
        </is>
      </c>
      <c r="L3106" s="23" t="inlineStr">
        <is>
          <t>тв</t>
        </is>
      </c>
      <c r="M3106" s="23" t="n">
        <v>288</v>
      </c>
      <c r="N3106" s="23" t="n">
        <v>2021</v>
      </c>
      <c r="O3106" s="23" t="n">
        <v>260</v>
      </c>
      <c r="P3106" s="23" t="n"/>
      <c r="Q3106" s="23" t="n"/>
      <c r="R3106" s="25" t="n"/>
      <c r="S3106" s="26">
        <f>HYPERLINK("http://www.cnpol.ru/covers/19725.jpg","фото на сайте")</f>
        <v/>
      </c>
    </row>
    <row r="3107" ht="50.1" customHeight="1" s="3">
      <c r="A3107" s="23" t="n"/>
      <c r="B3107" s="24" t="inlineStr">
        <is>
          <t>13893</t>
        </is>
      </c>
      <c r="C3107" s="23" t="inlineStr">
        <is>
          <t>НТ</t>
        </is>
      </c>
      <c r="D3107" s="23" t="inlineStr">
        <is>
          <t>Кусков С.</t>
        </is>
      </c>
      <c r="E3107" s="23" t="inlineStr">
        <is>
          <t>Пасынок судьбы</t>
        </is>
      </c>
      <c r="F3107" s="23" t="inlineStr">
        <is>
          <t>        </t>
        </is>
      </c>
      <c r="G3107" s="23" t="n">
        <v>554</v>
      </c>
      <c r="H3107" s="23" t="n">
        <v>10</v>
      </c>
      <c r="I3107" s="23" t="n">
        <v>10</v>
      </c>
      <c r="J3107" s="23" t="inlineStr">
        <is>
          <t>978-5-227-04006-0</t>
        </is>
      </c>
      <c r="K3107" s="23" t="inlineStr">
        <is>
          <t>84x108 1/32</t>
        </is>
      </c>
      <c r="L3107" s="23" t="inlineStr">
        <is>
          <t>тв</t>
        </is>
      </c>
      <c r="M3107" s="23" t="n">
        <v>475</v>
      </c>
      <c r="N3107" s="23" t="n">
        <v>2012</v>
      </c>
      <c r="O3107" s="23" t="n">
        <v>374</v>
      </c>
      <c r="P3107" s="23" t="n"/>
      <c r="Q3107" s="23" t="n"/>
      <c r="R3107" s="25" t="n"/>
      <c r="S3107" s="26">
        <f>HYPERLINK("http://www.cnpol.ru/covers/13893.jpg","фото на сайте")</f>
        <v/>
      </c>
    </row>
    <row r="3108" ht="50.1" customHeight="1" s="3">
      <c r="A3108" s="23" t="n"/>
      <c r="B3108" s="24" t="inlineStr">
        <is>
          <t>17531</t>
        </is>
      </c>
      <c r="C3108" s="23" t="inlineStr">
        <is>
          <t>НТ</t>
        </is>
      </c>
      <c r="D3108" s="23" t="inlineStr">
        <is>
          <t>Мясоедов В.М.</t>
        </is>
      </c>
      <c r="E3108" s="23" t="inlineStr">
        <is>
          <t>Первая колония</t>
        </is>
      </c>
      <c r="F3108" s="23" t="inlineStr">
        <is>
          <t>        </t>
        </is>
      </c>
      <c r="G3108" s="23" t="n">
        <v>554</v>
      </c>
      <c r="H3108" s="23" t="n">
        <v>10</v>
      </c>
      <c r="I3108" s="23" t="n">
        <v>16</v>
      </c>
      <c r="J3108" s="23" t="inlineStr">
        <is>
          <t>978-5-227-07600-7</t>
        </is>
      </c>
      <c r="K3108" s="23" t="inlineStr">
        <is>
          <t>84x108 1/32</t>
        </is>
      </c>
      <c r="L3108" s="23" t="inlineStr">
        <is>
          <t>тв</t>
        </is>
      </c>
      <c r="M3108" s="23" t="n">
        <v>288</v>
      </c>
      <c r="N3108" s="23" t="n">
        <v>2017</v>
      </c>
      <c r="O3108" s="23" t="n">
        <v>254</v>
      </c>
      <c r="P3108" s="23" t="n"/>
      <c r="Q3108" s="23" t="n"/>
      <c r="R3108" s="25" t="n"/>
      <c r="S3108" s="26">
        <f>HYPERLINK("http://www.cnpol.ru/covers/17531.jpg","фото на сайте")</f>
        <v/>
      </c>
    </row>
    <row r="3109" ht="50.1" customHeight="1" s="3">
      <c r="A3109" s="23" t="n"/>
      <c r="B3109" s="24" t="inlineStr">
        <is>
          <t>18339</t>
        </is>
      </c>
      <c r="C3109" s="23" t="inlineStr">
        <is>
          <t>НТ</t>
        </is>
      </c>
      <c r="D3109" s="23" t="inlineStr">
        <is>
          <t>Муравьев К.Н</t>
        </is>
      </c>
      <c r="E3109" s="23" t="inlineStr">
        <is>
          <t>Перекресток</t>
        </is>
      </c>
      <c r="F3109" s="23" t="inlineStr">
        <is>
          <t>        </t>
        </is>
      </c>
      <c r="G3109" s="23" t="n">
        <v>554</v>
      </c>
      <c r="H3109" s="23" t="n">
        <v>10</v>
      </c>
      <c r="I3109" s="23" t="n">
        <v>12</v>
      </c>
      <c r="J3109" s="23" t="inlineStr">
        <is>
          <t>978-5-227-08378-4</t>
        </is>
      </c>
      <c r="K3109" s="23" t="inlineStr">
        <is>
          <t>84x108 1/32</t>
        </is>
      </c>
      <c r="L3109" s="23" t="inlineStr">
        <is>
          <t>тв</t>
        </is>
      </c>
      <c r="M3109" s="23" t="n">
        <v>352</v>
      </c>
      <c r="N3109" s="23" t="n">
        <v>2018</v>
      </c>
      <c r="O3109" s="23" t="n">
        <v>290</v>
      </c>
      <c r="P3109" s="23" t="n"/>
      <c r="Q3109" s="23" t="n"/>
      <c r="R3109" s="25" t="n"/>
      <c r="S3109" s="26">
        <f>HYPERLINK("http://www.cnpol.ru/covers/18339.jpg","фото на сайте")</f>
        <v/>
      </c>
    </row>
    <row r="3110" ht="50.1" customHeight="1" s="3">
      <c r="A3110" s="23" t="n"/>
      <c r="B3110" s="24" t="inlineStr">
        <is>
          <t>19351</t>
        </is>
      </c>
      <c r="C3110" s="23" t="inlineStr">
        <is>
          <t>НТ</t>
        </is>
      </c>
      <c r="D3110" s="23" t="inlineStr">
        <is>
          <t>Дарк А.</t>
        </is>
      </c>
      <c r="E3110" s="23" t="inlineStr">
        <is>
          <t>Перерожденный</t>
        </is>
      </c>
      <c r="F3110" s="23" t="inlineStr">
        <is>
          <t>        </t>
        </is>
      </c>
      <c r="G3110" s="23" t="n">
        <v>554</v>
      </c>
      <c r="H3110" s="23" t="n">
        <v>10</v>
      </c>
      <c r="I3110" s="23" t="n">
        <v>14</v>
      </c>
      <c r="J3110" s="23" t="inlineStr">
        <is>
          <t>978-5-227-09216-8</t>
        </is>
      </c>
      <c r="K3110" s="23" t="inlineStr">
        <is>
          <t>84x108 1/32</t>
        </is>
      </c>
      <c r="L3110" s="23" t="inlineStr">
        <is>
          <t>тв</t>
        </is>
      </c>
      <c r="M3110" s="23" t="n">
        <v>288</v>
      </c>
      <c r="N3110" s="23" t="n">
        <v>2020</v>
      </c>
      <c r="O3110" s="23" t="n">
        <v>256</v>
      </c>
      <c r="P3110" s="23" t="n"/>
      <c r="Q3110" s="23" t="n"/>
      <c r="R3110" s="25" t="n"/>
      <c r="S3110" s="26">
        <f>HYPERLINK("http://www.cnpol.ru/covers/19351.jpg","фото на сайте")</f>
        <v/>
      </c>
    </row>
    <row r="3111" ht="50.1" customHeight="1" s="3">
      <c r="A3111" s="23" t="n"/>
      <c r="B3111" s="24" t="inlineStr">
        <is>
          <t>19080</t>
        </is>
      </c>
      <c r="C3111" s="23" t="inlineStr">
        <is>
          <t>НТ</t>
        </is>
      </c>
      <c r="D3111" s="23" t="inlineStr">
        <is>
          <t>Курган С.</t>
        </is>
      </c>
      <c r="E3111" s="23" t="inlineStr">
        <is>
          <t>Песок вечности</t>
        </is>
      </c>
      <c r="F3111" s="23" t="inlineStr">
        <is>
          <t>        </t>
        </is>
      </c>
      <c r="G3111" s="23" t="n">
        <v>554</v>
      </c>
      <c r="H3111" s="23" t="n">
        <v>10</v>
      </c>
      <c r="I3111" s="23" t="n">
        <v>14</v>
      </c>
      <c r="J3111" s="23" t="inlineStr">
        <is>
          <t>978-5-227-09044-7</t>
        </is>
      </c>
      <c r="K3111" s="23" t="inlineStr">
        <is>
          <t>84x108 1/32</t>
        </is>
      </c>
      <c r="L3111" s="23" t="inlineStr">
        <is>
          <t>тв</t>
        </is>
      </c>
      <c r="M3111" s="23" t="n">
        <v>288</v>
      </c>
      <c r="N3111" s="23" t="n">
        <v>2020</v>
      </c>
      <c r="O3111" s="23" t="n">
        <v>270</v>
      </c>
      <c r="P3111" s="23" t="n"/>
      <c r="Q3111" s="23" t="n"/>
      <c r="R3111" s="25" t="n"/>
      <c r="S3111" s="26">
        <f>HYPERLINK("http://www.cnpol.ru/covers/19080.jpg","фото на сайте")</f>
        <v/>
      </c>
    </row>
    <row r="3112" ht="50.1" customHeight="1" s="3">
      <c r="A3112" s="23" t="n"/>
      <c r="B3112" s="24" t="inlineStr">
        <is>
          <t>16504</t>
        </is>
      </c>
      <c r="C3112" s="23" t="inlineStr">
        <is>
          <t>НТ</t>
        </is>
      </c>
      <c r="D3112" s="23" t="inlineStr">
        <is>
          <t>Переяславцев А.</t>
        </is>
      </c>
      <c r="E3112" s="23" t="inlineStr">
        <is>
          <t>Пещерная тактика</t>
        </is>
      </c>
      <c r="F3112" s="23" t="inlineStr">
        <is>
          <t>        </t>
        </is>
      </c>
      <c r="G3112" s="23" t="n">
        <v>554</v>
      </c>
      <c r="H3112" s="23" t="n">
        <v>10</v>
      </c>
      <c r="I3112" s="23" t="n">
        <v>10</v>
      </c>
      <c r="J3112" s="23" t="inlineStr">
        <is>
          <t>978-5-227-06481-3</t>
        </is>
      </c>
      <c r="K3112" s="23" t="inlineStr">
        <is>
          <t>84x108 1/32</t>
        </is>
      </c>
      <c r="L3112" s="23" t="inlineStr">
        <is>
          <t>тв</t>
        </is>
      </c>
      <c r="M3112" s="23" t="n">
        <v>416</v>
      </c>
      <c r="N3112" s="23" t="n">
        <v>2016</v>
      </c>
      <c r="O3112" s="23" t="n">
        <v>330</v>
      </c>
      <c r="P3112" s="23" t="n"/>
      <c r="Q3112" s="23" t="n"/>
      <c r="R3112" s="25" t="n"/>
      <c r="S3112" s="26">
        <f>HYPERLINK("http://www.cnpol.ru/covers/16504.jpg","фото на сайте")</f>
        <v/>
      </c>
    </row>
    <row r="3113" ht="50.1" customHeight="1" s="3">
      <c r="A3113" s="23" t="n"/>
      <c r="B3113" s="24" t="inlineStr">
        <is>
          <t>18340</t>
        </is>
      </c>
      <c r="C3113" s="23" t="inlineStr">
        <is>
          <t>НТ</t>
        </is>
      </c>
      <c r="D3113" s="23" t="inlineStr">
        <is>
          <t>Неклюдов В.</t>
        </is>
      </c>
      <c r="E3113" s="23" t="inlineStr">
        <is>
          <t>Пилигримы спирали</t>
        </is>
      </c>
      <c r="F3113" s="23" t="inlineStr">
        <is>
          <t>        </t>
        </is>
      </c>
      <c r="G3113" s="23" t="n">
        <v>554</v>
      </c>
      <c r="H3113" s="23" t="n">
        <v>10</v>
      </c>
      <c r="I3113" s="23" t="n">
        <v>10</v>
      </c>
      <c r="J3113" s="23" t="inlineStr">
        <is>
          <t>978-5-227-08379-1</t>
        </is>
      </c>
      <c r="K3113" s="23" t="inlineStr">
        <is>
          <t>84x108 1/32</t>
        </is>
      </c>
      <c r="L3113" s="23" t="inlineStr">
        <is>
          <t>тв</t>
        </is>
      </c>
      <c r="M3113" s="23" t="n">
        <v>448</v>
      </c>
      <c r="N3113" s="23" t="n">
        <v>2018</v>
      </c>
      <c r="O3113" s="23" t="n">
        <v>348</v>
      </c>
      <c r="P3113" s="23" t="n"/>
      <c r="Q3113" s="23" t="n"/>
      <c r="R3113" s="25" t="n"/>
      <c r="S3113" s="26">
        <f>HYPERLINK("http://www.cnpol.ru/covers/18340.jpg","фото на сайте")</f>
        <v/>
      </c>
    </row>
    <row r="3114" ht="50.1" customHeight="1" s="3">
      <c r="A3114" s="23" t="n"/>
      <c r="B3114" s="24" t="inlineStr">
        <is>
          <t>19313</t>
        </is>
      </c>
      <c r="C3114" s="23" t="inlineStr">
        <is>
          <t>НТ</t>
        </is>
      </c>
      <c r="D3114" s="23" t="inlineStr">
        <is>
          <t>Романов В.</t>
        </is>
      </c>
      <c r="E3114" s="23" t="inlineStr">
        <is>
          <t>Пламя</t>
        </is>
      </c>
      <c r="F3114" s="23" t="inlineStr">
        <is>
          <t>        </t>
        </is>
      </c>
      <c r="G3114" s="23" t="n">
        <v>554</v>
      </c>
      <c r="H3114" s="23" t="n">
        <v>10</v>
      </c>
      <c r="I3114" s="23" t="n">
        <v>14</v>
      </c>
      <c r="J3114" s="23" t="inlineStr">
        <is>
          <t>978-5-227-09170-3</t>
        </is>
      </c>
      <c r="K3114" s="23" t="inlineStr">
        <is>
          <t>84x108 1/32</t>
        </is>
      </c>
      <c r="L3114" s="23" t="inlineStr">
        <is>
          <t>тв</t>
        </is>
      </c>
      <c r="M3114" s="23" t="n">
        <v>320</v>
      </c>
      <c r="N3114" s="23" t="n">
        <v>2020</v>
      </c>
      <c r="O3114" s="23" t="n">
        <v>274</v>
      </c>
      <c r="P3114" s="23" t="n"/>
      <c r="Q3114" s="23" t="n"/>
      <c r="R3114" s="25" t="n"/>
      <c r="S3114" s="26">
        <f>HYPERLINK("http://www.cnpol.ru/covers/19313.jpg","фото на сайте")</f>
        <v/>
      </c>
    </row>
    <row r="3115" ht="50.1" customHeight="1" s="3">
      <c r="A3115" s="23" t="n"/>
      <c r="B3115" s="24" t="inlineStr">
        <is>
          <t>19350</t>
        </is>
      </c>
      <c r="C3115" s="23" t="inlineStr">
        <is>
          <t>НТ</t>
        </is>
      </c>
      <c r="D3115" s="23" t="inlineStr">
        <is>
          <t>Заяц В.</t>
        </is>
      </c>
      <c r="E3115" s="23" t="inlineStr">
        <is>
          <t>Планета супербарона Кетсинга</t>
        </is>
      </c>
      <c r="F3115" s="23" t="inlineStr">
        <is>
          <t>        </t>
        </is>
      </c>
      <c r="G3115" s="23" t="n">
        <v>554</v>
      </c>
      <c r="H3115" s="23" t="n">
        <v>10</v>
      </c>
      <c r="I3115" s="23" t="n">
        <v>14</v>
      </c>
      <c r="J3115" s="23" t="inlineStr">
        <is>
          <t>978-5-227-09169-7</t>
        </is>
      </c>
      <c r="K3115" s="23" t="inlineStr">
        <is>
          <t>84x108 1/32</t>
        </is>
      </c>
      <c r="L3115" s="23" t="inlineStr">
        <is>
          <t>тв</t>
        </is>
      </c>
      <c r="M3115" s="23" t="n">
        <v>288</v>
      </c>
      <c r="N3115" s="23" t="n">
        <v>2020</v>
      </c>
      <c r="O3115" s="23" t="n">
        <v>252</v>
      </c>
      <c r="P3115" s="23" t="n"/>
      <c r="Q3115" s="23" t="n"/>
      <c r="R3115" s="25" t="n"/>
      <c r="S3115" s="26">
        <f>HYPERLINK("http://www.cnpol.ru/covers/19350.jpg","фото на сайте")</f>
        <v/>
      </c>
    </row>
    <row r="3116" ht="50.1" customHeight="1" s="3">
      <c r="A3116" s="23" t="n"/>
      <c r="B3116" s="24" t="inlineStr">
        <is>
          <t>17966</t>
        </is>
      </c>
      <c r="C3116" s="23" t="inlineStr">
        <is>
          <t>НТ</t>
        </is>
      </c>
      <c r="D3116" s="23" t="inlineStr">
        <is>
          <t>Поселягин В.Г</t>
        </is>
      </c>
      <c r="E3116" s="23" t="inlineStr">
        <is>
          <t>По прозвищу Адмирал</t>
        </is>
      </c>
      <c r="F3116" s="23" t="inlineStr">
        <is>
          <t>        </t>
        </is>
      </c>
      <c r="G3116" s="23" t="n">
        <v>554</v>
      </c>
      <c r="H3116" s="23" t="n">
        <v>10</v>
      </c>
      <c r="I3116" s="23" t="n">
        <v>14</v>
      </c>
      <c r="J3116" s="23" t="inlineStr">
        <is>
          <t>978-5-227-08084-4</t>
        </is>
      </c>
      <c r="K3116" s="23" t="inlineStr">
        <is>
          <t>84x108 1/32</t>
        </is>
      </c>
      <c r="L3116" s="23" t="inlineStr">
        <is>
          <t>тв</t>
        </is>
      </c>
      <c r="M3116" s="23" t="n">
        <v>288</v>
      </c>
      <c r="N3116" s="23" t="n">
        <v>2018</v>
      </c>
      <c r="O3116" s="23" t="n">
        <v>248</v>
      </c>
      <c r="P3116" s="23" t="n"/>
      <c r="Q3116" s="23" t="n"/>
      <c r="R3116" s="25" t="n"/>
      <c r="S3116" s="26">
        <f>HYPERLINK("http://www.cnpol.ru/covers/17966.jpg","фото на сайте")</f>
        <v/>
      </c>
    </row>
    <row r="3117" ht="50.1" customHeight="1" s="3">
      <c r="A3117" s="23" t="n"/>
      <c r="B3117" s="24" t="inlineStr">
        <is>
          <t>18664</t>
        </is>
      </c>
      <c r="C3117" s="23" t="inlineStr">
        <is>
          <t>НТ</t>
        </is>
      </c>
      <c r="D3117" s="23" t="inlineStr">
        <is>
          <t>Буторин А.</t>
        </is>
      </c>
      <c r="E3117" s="23" t="inlineStr">
        <is>
          <t>По ту сторону чуда</t>
        </is>
      </c>
      <c r="F3117" s="23" t="inlineStr">
        <is>
          <t>        </t>
        </is>
      </c>
      <c r="G3117" s="23" t="n">
        <v>554</v>
      </c>
      <c r="H3117" s="23" t="n">
        <v>10</v>
      </c>
      <c r="I3117" s="23" t="n">
        <v>12</v>
      </c>
      <c r="J3117" s="23" t="inlineStr">
        <is>
          <t>978-5-227-08596-2</t>
        </is>
      </c>
      <c r="K3117" s="23" t="inlineStr">
        <is>
          <t>84x108 1/32</t>
        </is>
      </c>
      <c r="L3117" s="23" t="inlineStr">
        <is>
          <t>тв</t>
        </is>
      </c>
      <c r="M3117" s="23" t="n">
        <v>352</v>
      </c>
      <c r="N3117" s="23" t="n">
        <v>2019</v>
      </c>
      <c r="O3117" s="23" t="n">
        <v>290</v>
      </c>
      <c r="P3117" s="23" t="n"/>
      <c r="Q3117" s="23" t="n"/>
      <c r="R3117" s="25" t="n"/>
      <c r="S3117" s="26">
        <f>HYPERLINK("http://www.cnpol.ru/covers/18664.jpg","фото на сайте")</f>
        <v/>
      </c>
    </row>
    <row r="3118" ht="50.1" customHeight="1" s="3">
      <c r="A3118" s="23" t="n"/>
      <c r="B3118" s="24" t="inlineStr">
        <is>
          <t>19255</t>
        </is>
      </c>
      <c r="C3118" s="23" t="inlineStr">
        <is>
          <t>НТ</t>
        </is>
      </c>
      <c r="D3118" s="23" t="inlineStr">
        <is>
          <t>Махавкин А.А</t>
        </is>
      </c>
      <c r="E3118" s="23" t="inlineStr">
        <is>
          <t>Погонщица единорогов</t>
        </is>
      </c>
      <c r="F3118" s="23" t="inlineStr">
        <is>
          <t>        </t>
        </is>
      </c>
      <c r="G3118" s="23" t="n">
        <v>554</v>
      </c>
      <c r="H3118" s="23" t="n">
        <v>10</v>
      </c>
      <c r="I3118" s="23" t="n">
        <v>10</v>
      </c>
      <c r="J3118" s="23" t="inlineStr">
        <is>
          <t>978-5-227-09166-6</t>
        </is>
      </c>
      <c r="K3118" s="23" t="inlineStr">
        <is>
          <t>84x108 1/32</t>
        </is>
      </c>
      <c r="L3118" s="23" t="inlineStr">
        <is>
          <t>тв</t>
        </is>
      </c>
      <c r="M3118" s="23" t="n">
        <v>320</v>
      </c>
      <c r="N3118" s="23" t="n">
        <v>2020</v>
      </c>
      <c r="O3118" s="23" t="n">
        <v>274</v>
      </c>
      <c r="P3118" s="23" t="n"/>
      <c r="Q3118" s="23" t="n"/>
      <c r="R3118" s="25" t="n"/>
      <c r="S3118" s="26">
        <f>HYPERLINK("http://www.cnpol.ru/covers/19255.jpg","фото на сайте")</f>
        <v/>
      </c>
    </row>
    <row r="3119" ht="50.1" customHeight="1" s="3">
      <c r="A3119" s="23" t="n"/>
      <c r="B3119" s="24" t="inlineStr">
        <is>
          <t>18591</t>
        </is>
      </c>
      <c r="C3119" s="23" t="inlineStr">
        <is>
          <t>НТ</t>
        </is>
      </c>
      <c r="D3119" s="23" t="inlineStr">
        <is>
          <t>Константинов Е.</t>
        </is>
      </c>
      <c r="E3119" s="23" t="inlineStr">
        <is>
          <t>Подарок инкассатору</t>
        </is>
      </c>
      <c r="F3119" s="23" t="inlineStr">
        <is>
          <t>        </t>
        </is>
      </c>
      <c r="G3119" s="23" t="n">
        <v>554</v>
      </c>
      <c r="H3119" s="23" t="n">
        <v>10</v>
      </c>
      <c r="I3119" s="23" t="n">
        <v>14</v>
      </c>
      <c r="J3119" s="23" t="inlineStr">
        <is>
          <t>978-5-227-08568-9</t>
        </is>
      </c>
      <c r="K3119" s="23" t="inlineStr">
        <is>
          <t>84x108 1/32</t>
        </is>
      </c>
      <c r="L3119" s="23" t="inlineStr">
        <is>
          <t>тв</t>
        </is>
      </c>
      <c r="M3119" s="23" t="n">
        <v>320</v>
      </c>
      <c r="N3119" s="23" t="n">
        <v>2019</v>
      </c>
      <c r="O3119" s="23" t="n">
        <v>272</v>
      </c>
      <c r="P3119" s="23" t="n"/>
      <c r="Q3119" s="23" t="n"/>
      <c r="R3119" s="25" t="n"/>
      <c r="S3119" s="26">
        <f>HYPERLINK("http://www.cnpol.ru/covers/18591.jpg","фото на сайте")</f>
        <v/>
      </c>
    </row>
    <row r="3120" ht="50.1" customHeight="1" s="3">
      <c r="A3120" s="23" t="n"/>
      <c r="B3120" s="24" t="inlineStr">
        <is>
          <t>18436</t>
        </is>
      </c>
      <c r="C3120" s="23" t="inlineStr">
        <is>
          <t>НТ</t>
        </is>
      </c>
      <c r="D3120" s="23" t="inlineStr">
        <is>
          <t>Даль Д.</t>
        </is>
      </c>
      <c r="E3120" s="23" t="inlineStr">
        <is>
          <t>Поймать молнию</t>
        </is>
      </c>
      <c r="F3120" s="23" t="inlineStr">
        <is>
          <t>        </t>
        </is>
      </c>
      <c r="G3120" s="23" t="n">
        <v>554</v>
      </c>
      <c r="H3120" s="23" t="n">
        <v>10</v>
      </c>
      <c r="I3120" s="23" t="n">
        <v>14</v>
      </c>
      <c r="J3120" s="23" t="inlineStr">
        <is>
          <t>978-5-227-08428-6</t>
        </is>
      </c>
      <c r="K3120" s="23" t="inlineStr">
        <is>
          <t>84x108 1/32</t>
        </is>
      </c>
      <c r="L3120" s="23" t="inlineStr">
        <is>
          <t>тв</t>
        </is>
      </c>
      <c r="M3120" s="23" t="n">
        <v>288</v>
      </c>
      <c r="N3120" s="23" t="n">
        <v>2018</v>
      </c>
      <c r="O3120" s="23" t="n">
        <v>252</v>
      </c>
      <c r="P3120" s="23" t="n"/>
      <c r="Q3120" s="23" t="n"/>
      <c r="R3120" s="25" t="n"/>
      <c r="S3120" s="26">
        <f>HYPERLINK("http://www.cnpol.ru/covers/18436.jpg","фото на сайте")</f>
        <v/>
      </c>
    </row>
    <row r="3121" ht="50.1" customHeight="1" s="3">
      <c r="A3121" s="23" t="n"/>
      <c r="B3121" s="24" t="inlineStr">
        <is>
          <t>18120</t>
        </is>
      </c>
      <c r="C3121" s="23" t="inlineStr">
        <is>
          <t>НТ</t>
        </is>
      </c>
      <c r="D3121" s="23" t="inlineStr">
        <is>
          <t>Марченко Г.Б.</t>
        </is>
      </c>
      <c r="E3121" s="23" t="inlineStr">
        <is>
          <t>Покорение Америки</t>
        </is>
      </c>
      <c r="F3121" s="23" t="inlineStr">
        <is>
          <t>        </t>
        </is>
      </c>
      <c r="G3121" s="23" t="n">
        <v>554</v>
      </c>
      <c r="H3121" s="23" t="n">
        <v>10</v>
      </c>
      <c r="I3121" s="23" t="n">
        <v>14</v>
      </c>
      <c r="J3121" s="23" t="inlineStr">
        <is>
          <t>978-5-227-08230-5</t>
        </is>
      </c>
      <c r="K3121" s="23" t="inlineStr">
        <is>
          <t>84x108 1/32</t>
        </is>
      </c>
      <c r="L3121" s="23" t="inlineStr">
        <is>
          <t>тв</t>
        </is>
      </c>
      <c r="M3121" s="23" t="n">
        <v>320</v>
      </c>
      <c r="N3121" s="23" t="n">
        <v>2018</v>
      </c>
      <c r="O3121" s="23" t="n">
        <v>274</v>
      </c>
      <c r="P3121" s="23" t="n"/>
      <c r="Q3121" s="23" t="n"/>
      <c r="R3121" s="25" t="n"/>
      <c r="S3121" s="26">
        <f>HYPERLINK("http://www.cnpol.ru/covers/18120.jpg","фото на сайте")</f>
        <v/>
      </c>
    </row>
    <row r="3122" ht="50.1" customHeight="1" s="3">
      <c r="A3122" s="23" t="n"/>
      <c r="B3122" s="24" t="inlineStr">
        <is>
          <t>13115</t>
        </is>
      </c>
      <c r="C3122" s="23" t="inlineStr">
        <is>
          <t>НТ</t>
        </is>
      </c>
      <c r="D3122" s="23" t="inlineStr">
        <is>
          <t>Бергман А.</t>
        </is>
      </c>
      <c r="E3122" s="23" t="inlineStr">
        <is>
          <t>Поле битвы</t>
        </is>
      </c>
      <c r="F3122" s="23" t="inlineStr">
        <is>
          <t>        </t>
        </is>
      </c>
      <c r="G3122" s="23" t="n">
        <v>554</v>
      </c>
      <c r="H3122" s="23" t="n">
        <v>10</v>
      </c>
      <c r="I3122" s="23" t="n">
        <v>14</v>
      </c>
      <c r="J3122" s="23" t="inlineStr">
        <is>
          <t>978-5-227-03255-3</t>
        </is>
      </c>
      <c r="K3122" s="23" t="inlineStr">
        <is>
          <t>84x108 1/32</t>
        </is>
      </c>
      <c r="L3122" s="23" t="inlineStr">
        <is>
          <t>тв</t>
        </is>
      </c>
      <c r="M3122" s="23" t="n">
        <v>319</v>
      </c>
      <c r="N3122" s="23" t="n">
        <v>2011</v>
      </c>
      <c r="O3122" s="23" t="n">
        <v>274</v>
      </c>
      <c r="P3122" s="23" t="n"/>
      <c r="Q3122" s="23" t="n"/>
      <c r="R3122" s="25" t="n"/>
      <c r="S3122" s="26">
        <f>HYPERLINK("http://www.cnpol.ru/covers/13115.jpg","фото на сайте")</f>
        <v/>
      </c>
    </row>
    <row r="3123" ht="50.1" customHeight="1" s="3">
      <c r="A3123" s="23" t="n"/>
      <c r="B3123" s="24" t="inlineStr">
        <is>
          <t>12648</t>
        </is>
      </c>
      <c r="C3123" s="23" t="inlineStr">
        <is>
          <t>НТ</t>
        </is>
      </c>
      <c r="D3123" s="23" t="inlineStr">
        <is>
          <t>Гуткин М.</t>
        </is>
      </c>
      <c r="E3123" s="23" t="inlineStr">
        <is>
          <t>Попадать, так с музыкой</t>
        </is>
      </c>
      <c r="F3123" s="23" t="inlineStr">
        <is>
          <t>        </t>
        </is>
      </c>
      <c r="G3123" s="23" t="n">
        <v>554</v>
      </c>
      <c r="H3123" s="23" t="n">
        <v>10</v>
      </c>
      <c r="I3123" s="23" t="n">
        <v>16</v>
      </c>
      <c r="J3123" s="23" t="inlineStr">
        <is>
          <t>978-5-227-02780-1</t>
        </is>
      </c>
      <c r="K3123" s="23" t="inlineStr">
        <is>
          <t>84x108 1/32</t>
        </is>
      </c>
      <c r="L3123" s="23" t="inlineStr">
        <is>
          <t>тв</t>
        </is>
      </c>
      <c r="M3123" s="23" t="n">
        <v>319</v>
      </c>
      <c r="N3123" s="23" t="n">
        <v>2011</v>
      </c>
      <c r="O3123" s="23" t="n">
        <v>268</v>
      </c>
      <c r="P3123" s="23" t="n"/>
      <c r="Q3123" s="23" t="n"/>
      <c r="R3123" s="25" t="n"/>
      <c r="S3123" s="26">
        <f>HYPERLINK("http://www.cnpol.ru/covers/12648.jpg","фото на сайте")</f>
        <v/>
      </c>
    </row>
    <row r="3124" ht="50.1" customHeight="1" s="3">
      <c r="A3124" s="23" t="n"/>
      <c r="B3124" s="24" t="inlineStr">
        <is>
          <t>18784</t>
        </is>
      </c>
      <c r="C3124" s="23" t="inlineStr">
        <is>
          <t>НТ</t>
        </is>
      </c>
      <c r="D3124" s="23" t="inlineStr">
        <is>
          <t>Шенгальц И.А.</t>
        </is>
      </c>
      <c r="E3124" s="23" t="inlineStr">
        <is>
          <t>Попрыгун</t>
        </is>
      </c>
      <c r="F3124" s="23" t="inlineStr">
        <is>
          <t>        </t>
        </is>
      </c>
      <c r="G3124" s="23" t="n">
        <v>554</v>
      </c>
      <c r="H3124" s="23" t="n">
        <v>10</v>
      </c>
      <c r="I3124" s="23" t="n">
        <v>14</v>
      </c>
      <c r="J3124" s="23" t="inlineStr">
        <is>
          <t>978-5-227-08764-5</t>
        </is>
      </c>
      <c r="K3124" s="23" t="inlineStr">
        <is>
          <t>84x108 1/32</t>
        </is>
      </c>
      <c r="L3124" s="23" t="inlineStr">
        <is>
          <t>тв</t>
        </is>
      </c>
      <c r="M3124" s="23" t="n">
        <v>288</v>
      </c>
      <c r="N3124" s="23" t="n">
        <v>2019</v>
      </c>
      <c r="O3124" s="23" t="n">
        <v>253</v>
      </c>
      <c r="P3124" s="23" t="n"/>
      <c r="Q3124" s="23" t="n"/>
      <c r="R3124" s="25" t="n"/>
      <c r="S3124" s="26">
        <f>HYPERLINK("http://www.cnpol.ru/covers/18784.jpg","фото на сайте")</f>
        <v/>
      </c>
    </row>
    <row r="3125" ht="50.1" customHeight="1" s="3">
      <c r="A3125" s="23" t="n"/>
      <c r="B3125" s="24" t="inlineStr">
        <is>
          <t>17852</t>
        </is>
      </c>
      <c r="C3125" s="23" t="inlineStr">
        <is>
          <t>НТ</t>
        </is>
      </c>
      <c r="D3125" s="23" t="inlineStr">
        <is>
          <t>Переяславцев А.</t>
        </is>
      </c>
      <c r="E3125" s="23" t="inlineStr">
        <is>
          <t>Попытка контакта</t>
        </is>
      </c>
      <c r="F3125" s="23" t="inlineStr">
        <is>
          <t>        </t>
        </is>
      </c>
      <c r="G3125" s="23" t="n">
        <v>554</v>
      </c>
      <c r="H3125" s="23" t="n">
        <v>10</v>
      </c>
      <c r="I3125" s="23" t="n">
        <v>14</v>
      </c>
      <c r="J3125" s="23" t="inlineStr">
        <is>
          <t>978-5-227-07982-4</t>
        </is>
      </c>
      <c r="K3125" s="23" t="inlineStr">
        <is>
          <t>84x108 1/32</t>
        </is>
      </c>
      <c r="L3125" s="23" t="inlineStr">
        <is>
          <t>тв</t>
        </is>
      </c>
      <c r="M3125" s="23" t="n">
        <v>320</v>
      </c>
      <c r="N3125" s="23" t="n">
        <v>2017</v>
      </c>
      <c r="O3125" s="23" t="n">
        <v>266</v>
      </c>
      <c r="P3125" s="23" t="n"/>
      <c r="Q3125" s="23" t="n"/>
      <c r="R3125" s="25" t="n"/>
      <c r="S3125" s="26">
        <f>HYPERLINK("http://www.cnpol.ru/covers/17852.jpg","фото на сайте")</f>
        <v/>
      </c>
    </row>
    <row r="3126" ht="50.1" customHeight="1" s="3">
      <c r="A3126" s="23" t="n"/>
      <c r="B3126" s="24" t="inlineStr">
        <is>
          <t>19453</t>
        </is>
      </c>
      <c r="C3126" s="23" t="inlineStr">
        <is>
          <t>НТ</t>
        </is>
      </c>
      <c r="D3126" s="23" t="inlineStr">
        <is>
          <t>Сташков Н.Н</t>
        </is>
      </c>
      <c r="E3126" s="23" t="inlineStr">
        <is>
          <t>Порождение тьмы</t>
        </is>
      </c>
      <c r="F3126" s="23" t="inlineStr">
        <is>
          <t>        </t>
        </is>
      </c>
      <c r="G3126" s="23" t="n">
        <v>554</v>
      </c>
      <c r="H3126" s="23" t="n">
        <v>10</v>
      </c>
      <c r="I3126" s="23" t="n">
        <v>14</v>
      </c>
      <c r="J3126" s="23" t="inlineStr">
        <is>
          <t>978-5-227-09297-7</t>
        </is>
      </c>
      <c r="K3126" s="23" t="inlineStr">
        <is>
          <t>84x108 1/32</t>
        </is>
      </c>
      <c r="L3126" s="23" t="inlineStr">
        <is>
          <t>тв</t>
        </is>
      </c>
      <c r="M3126" s="23" t="n">
        <v>287</v>
      </c>
      <c r="N3126" s="23" t="n">
        <v>2021</v>
      </c>
      <c r="O3126" s="23" t="n">
        <v>252</v>
      </c>
      <c r="P3126" s="23" t="n"/>
      <c r="Q3126" s="23" t="n"/>
      <c r="R3126" s="25" t="n"/>
      <c r="S3126" s="26">
        <f>HYPERLINK("http://www.cnpol.ru/covers/19453.jpg","фото на сайте")</f>
        <v/>
      </c>
    </row>
    <row r="3127" ht="50.1" customHeight="1" s="3">
      <c r="A3127" s="23" t="n"/>
      <c r="B3127" s="24" t="inlineStr">
        <is>
          <t>12732</t>
        </is>
      </c>
      <c r="C3127" s="23" t="inlineStr">
        <is>
          <t>НТ</t>
        </is>
      </c>
      <c r="D3127" s="23" t="inlineStr">
        <is>
          <t>Гуткин М.</t>
        </is>
      </c>
      <c r="E3127" s="23" t="inlineStr">
        <is>
          <t>Порученец Жукова</t>
        </is>
      </c>
      <c r="F3127" s="23" t="inlineStr">
        <is>
          <t>        </t>
        </is>
      </c>
      <c r="G3127" s="23" t="n">
        <v>554</v>
      </c>
      <c r="H3127" s="23" t="n">
        <v>10</v>
      </c>
      <c r="I3127" s="23" t="n">
        <v>14</v>
      </c>
      <c r="J3127" s="23" t="inlineStr">
        <is>
          <t>978-5-227-02830-3</t>
        </is>
      </c>
      <c r="K3127" s="23" t="inlineStr">
        <is>
          <t>84x108 1/32</t>
        </is>
      </c>
      <c r="L3127" s="23" t="inlineStr">
        <is>
          <t>тв</t>
        </is>
      </c>
      <c r="M3127" s="23" t="n">
        <v>319</v>
      </c>
      <c r="N3127" s="23" t="n">
        <v>2011</v>
      </c>
      <c r="O3127" s="23" t="n">
        <v>276</v>
      </c>
      <c r="P3127" s="23" t="n"/>
      <c r="Q3127" s="23" t="n"/>
      <c r="R3127" s="25" t="n"/>
      <c r="S3127" s="26">
        <f>HYPERLINK("http://www.cnpol.ru/covers/12732.jpg","фото на сайте")</f>
        <v/>
      </c>
    </row>
    <row r="3128" ht="50.1" customHeight="1" s="3">
      <c r="A3128" s="23" t="n"/>
      <c r="B3128" s="24" t="inlineStr">
        <is>
          <t>17627</t>
        </is>
      </c>
      <c r="C3128" s="23" t="inlineStr">
        <is>
          <t>НТ</t>
        </is>
      </c>
      <c r="D3128" s="23" t="inlineStr">
        <is>
          <t>Поляков Влад</t>
        </is>
      </c>
      <c r="E3128" s="23" t="inlineStr">
        <is>
          <t>Посмотри в глаза инферно</t>
        </is>
      </c>
      <c r="F3128" s="23" t="inlineStr">
        <is>
          <t>        </t>
        </is>
      </c>
      <c r="G3128" s="23" t="n">
        <v>554</v>
      </c>
      <c r="H3128" s="23" t="n">
        <v>10</v>
      </c>
      <c r="I3128" s="23" t="n">
        <v>14</v>
      </c>
      <c r="J3128" s="23" t="inlineStr">
        <is>
          <t>978-5-227-07692-2</t>
        </is>
      </c>
      <c r="K3128" s="23" t="inlineStr">
        <is>
          <t>84x108 1/32</t>
        </is>
      </c>
      <c r="L3128" s="23" t="inlineStr">
        <is>
          <t>тв</t>
        </is>
      </c>
      <c r="M3128" s="23" t="n">
        <v>320</v>
      </c>
      <c r="N3128" s="23" t="n">
        <v>2017</v>
      </c>
      <c r="O3128" s="23" t="n">
        <v>276</v>
      </c>
      <c r="P3128" s="23" t="n"/>
      <c r="Q3128" s="23" t="n"/>
      <c r="R3128" s="25" t="n"/>
      <c r="S3128" s="26">
        <f>HYPERLINK("http://www.cnpol.ru/covers/17627.jpg","фото на сайте")</f>
        <v/>
      </c>
    </row>
    <row r="3129" ht="50.1" customHeight="1" s="3">
      <c r="A3129" s="23" t="n"/>
      <c r="B3129" s="24" t="inlineStr">
        <is>
          <t>16857</t>
        </is>
      </c>
      <c r="C3129" s="23" t="inlineStr">
        <is>
          <t>НТ</t>
        </is>
      </c>
      <c r="D3129" s="23" t="inlineStr">
        <is>
          <t>Плотников С.А.</t>
        </is>
      </c>
      <c r="E3129" s="23" t="inlineStr">
        <is>
          <t>Потерянная</t>
        </is>
      </c>
      <c r="F3129" s="23" t="inlineStr">
        <is>
          <t>        </t>
        </is>
      </c>
      <c r="G3129" s="23" t="n">
        <v>554</v>
      </c>
      <c r="H3129" s="23" t="n">
        <v>10</v>
      </c>
      <c r="I3129" s="23" t="n">
        <v>14</v>
      </c>
      <c r="J3129" s="23" t="inlineStr">
        <is>
          <t>978-5-227-06853-8</t>
        </is>
      </c>
      <c r="K3129" s="23" t="inlineStr">
        <is>
          <t>84x108 1/32</t>
        </is>
      </c>
      <c r="L3129" s="23" t="inlineStr">
        <is>
          <t>тв</t>
        </is>
      </c>
      <c r="M3129" s="23" t="n">
        <v>288</v>
      </c>
      <c r="N3129" s="23" t="n">
        <v>2016</v>
      </c>
      <c r="O3129" s="23" t="n">
        <v>250</v>
      </c>
      <c r="P3129" s="23" t="n"/>
      <c r="Q3129" s="23" t="n"/>
      <c r="R3129" s="25" t="n"/>
      <c r="S3129" s="26">
        <f>HYPERLINK("http://www.cnpol.ru/covers/16857.jpg","фото на сайте")</f>
        <v/>
      </c>
    </row>
    <row r="3130" ht="50.1" customHeight="1" s="3">
      <c r="A3130" s="23" t="n"/>
      <c r="B3130" s="24" t="inlineStr">
        <is>
          <t>19314</t>
        </is>
      </c>
      <c r="C3130" s="23" t="inlineStr">
        <is>
          <t>НТ</t>
        </is>
      </c>
      <c r="D3130" s="23" t="inlineStr">
        <is>
          <t>Лернер М.</t>
        </is>
      </c>
      <c r="E3130" s="23" t="inlineStr">
        <is>
          <t>Практическая уфология</t>
        </is>
      </c>
      <c r="F3130" s="23" t="inlineStr">
        <is>
          <t>        </t>
        </is>
      </c>
      <c r="G3130" s="23" t="n">
        <v>554</v>
      </c>
      <c r="H3130" s="23" t="n">
        <v>10</v>
      </c>
      <c r="I3130" s="23" t="n">
        <v>14</v>
      </c>
      <c r="J3130" s="23" t="inlineStr">
        <is>
          <t>978-5-227-09173-4</t>
        </is>
      </c>
      <c r="K3130" s="23" t="inlineStr">
        <is>
          <t>84x108 1/32</t>
        </is>
      </c>
      <c r="L3130" s="23" t="inlineStr">
        <is>
          <t>тв</t>
        </is>
      </c>
      <c r="M3130" s="23" t="n">
        <v>320</v>
      </c>
      <c r="N3130" s="23" t="n">
        <v>2020</v>
      </c>
      <c r="O3130" s="23" t="n">
        <v>274</v>
      </c>
      <c r="P3130" s="23" t="n"/>
      <c r="Q3130" s="23" t="n"/>
      <c r="R3130" s="25" t="n"/>
      <c r="S3130" s="26">
        <f>HYPERLINK("http://www.cnpol.ru/covers/19314.jpg","фото на сайте")</f>
        <v/>
      </c>
    </row>
    <row r="3131" ht="50.1" customHeight="1" s="3">
      <c r="A3131" s="23" t="n"/>
      <c r="B3131" s="24" t="inlineStr">
        <is>
          <t>18535</t>
        </is>
      </c>
      <c r="C3131" s="23" t="inlineStr">
        <is>
          <t>НТ</t>
        </is>
      </c>
      <c r="D3131" s="23" t="inlineStr">
        <is>
          <t>Жеребьёв В.</t>
        </is>
      </c>
      <c r="E3131" s="23" t="inlineStr">
        <is>
          <t>Приговор некроманту</t>
        </is>
      </c>
      <c r="F3131" s="23" t="inlineStr">
        <is>
          <t>        </t>
        </is>
      </c>
      <c r="G3131" s="23" t="n">
        <v>554</v>
      </c>
      <c r="H3131" s="23" t="n">
        <v>10</v>
      </c>
      <c r="I3131" s="23" t="n">
        <v>14</v>
      </c>
      <c r="J3131" s="23" t="inlineStr">
        <is>
          <t>978-5-227-08534-4</t>
        </is>
      </c>
      <c r="K3131" s="23" t="inlineStr">
        <is>
          <t>84x108 1/32</t>
        </is>
      </c>
      <c r="L3131" s="23" t="inlineStr">
        <is>
          <t>тв</t>
        </is>
      </c>
      <c r="M3131" s="23" t="n">
        <v>288</v>
      </c>
      <c r="N3131" s="23" t="n">
        <v>2019</v>
      </c>
      <c r="O3131" s="23" t="n">
        <v>252</v>
      </c>
      <c r="P3131" s="23" t="n"/>
      <c r="Q3131" s="23" t="n"/>
      <c r="R3131" s="25" t="n"/>
      <c r="S3131" s="26">
        <f>HYPERLINK("http://www.cnpol.ru/covers/18535.jpg","фото на сайте")</f>
        <v/>
      </c>
    </row>
    <row r="3132" ht="50.1" customHeight="1" s="3">
      <c r="A3132" s="23" t="n"/>
      <c r="B3132" s="24" t="inlineStr">
        <is>
          <t>18435</t>
        </is>
      </c>
      <c r="C3132" s="23" t="inlineStr">
        <is>
          <t>НТ</t>
        </is>
      </c>
      <c r="D3132" s="23" t="inlineStr">
        <is>
          <t>Шалашов Е.В.</t>
        </is>
      </c>
      <c r="E3132" s="23" t="inlineStr">
        <is>
          <t>Призраки Черного леса</t>
        </is>
      </c>
      <c r="F3132" s="23" t="inlineStr">
        <is>
          <t>        </t>
        </is>
      </c>
      <c r="G3132" s="23" t="n">
        <v>554</v>
      </c>
      <c r="H3132" s="23" t="n">
        <v>10</v>
      </c>
      <c r="I3132" s="23" t="n">
        <v>14</v>
      </c>
      <c r="J3132" s="23" t="inlineStr">
        <is>
          <t>978-5-227-08429-3</t>
        </is>
      </c>
      <c r="K3132" s="23" t="inlineStr">
        <is>
          <t>84x108 1/32</t>
        </is>
      </c>
      <c r="L3132" s="23" t="inlineStr">
        <is>
          <t>тв</t>
        </is>
      </c>
      <c r="M3132" s="23" t="n">
        <v>288</v>
      </c>
      <c r="N3132" s="23" t="n">
        <v>2018</v>
      </c>
      <c r="O3132" s="23" t="n">
        <v>254</v>
      </c>
      <c r="P3132" s="23" t="n"/>
      <c r="Q3132" s="23" t="n"/>
      <c r="R3132" s="25" t="n"/>
      <c r="S3132" s="26">
        <f>HYPERLINK("http://www.cnpol.ru/covers/18435.jpg","фото на сайте")</f>
        <v/>
      </c>
    </row>
    <row r="3133" ht="50.1" customHeight="1" s="3">
      <c r="A3133" s="23" t="n"/>
      <c r="B3133" s="24" t="inlineStr">
        <is>
          <t>17034</t>
        </is>
      </c>
      <c r="C3133" s="23" t="inlineStr">
        <is>
          <t>НТ</t>
        </is>
      </c>
      <c r="D3133" s="23" t="inlineStr">
        <is>
          <t>Масленков И.В.</t>
        </is>
      </c>
      <c r="E3133" s="23" t="inlineStr">
        <is>
          <t>Проклятие иеремитов</t>
        </is>
      </c>
      <c r="F3133" s="23" t="inlineStr">
        <is>
          <t>        </t>
        </is>
      </c>
      <c r="G3133" s="23" t="n">
        <v>554</v>
      </c>
      <c r="H3133" s="23" t="n">
        <v>10</v>
      </c>
      <c r="I3133" s="23" t="n">
        <v>10</v>
      </c>
      <c r="J3133" s="23" t="inlineStr">
        <is>
          <t>978-5-227-07107-1</t>
        </is>
      </c>
      <c r="K3133" s="23" t="inlineStr">
        <is>
          <t>84x108 1/32</t>
        </is>
      </c>
      <c r="L3133" s="23" t="inlineStr">
        <is>
          <t>тв</t>
        </is>
      </c>
      <c r="M3133" s="23" t="n">
        <v>352</v>
      </c>
      <c r="N3133" s="23" t="n">
        <v>2016</v>
      </c>
      <c r="O3133" s="23" t="n">
        <v>284</v>
      </c>
      <c r="P3133" s="23" t="n"/>
      <c r="Q3133" s="23" t="n"/>
      <c r="R3133" s="25" t="n"/>
      <c r="S3133" s="26">
        <f>HYPERLINK("http://www.cnpol.ru/covers/17034.jpg","фото на сайте")</f>
        <v/>
      </c>
    </row>
    <row r="3134" ht="50.1" customHeight="1" s="3">
      <c r="A3134" s="23" t="n"/>
      <c r="B3134" s="24" t="inlineStr">
        <is>
          <t>18933</t>
        </is>
      </c>
      <c r="C3134" s="23" t="inlineStr">
        <is>
          <t>НТ</t>
        </is>
      </c>
      <c r="D3134" s="23" t="inlineStr">
        <is>
          <t>Николенко А.Д</t>
        </is>
      </c>
      <c r="E3134" s="23" t="inlineStr">
        <is>
          <t>Пронзая ткань времени</t>
        </is>
      </c>
      <c r="F3134" s="23" t="inlineStr">
        <is>
          <t>        </t>
        </is>
      </c>
      <c r="G3134" s="23" t="n">
        <v>554</v>
      </c>
      <c r="H3134" s="23" t="n">
        <v>10</v>
      </c>
      <c r="I3134" s="23" t="n">
        <v>14</v>
      </c>
      <c r="J3134" s="23" t="inlineStr">
        <is>
          <t>978-5-227-08902-1</t>
        </is>
      </c>
      <c r="K3134" s="23" t="inlineStr">
        <is>
          <t>84x108 1/32</t>
        </is>
      </c>
      <c r="L3134" s="23" t="inlineStr">
        <is>
          <t>тв</t>
        </is>
      </c>
      <c r="M3134" s="23" t="n">
        <v>320</v>
      </c>
      <c r="N3134" s="23" t="n">
        <v>2019</v>
      </c>
      <c r="O3134" s="23" t="n">
        <v>274</v>
      </c>
      <c r="P3134" s="23" t="n"/>
      <c r="Q3134" s="23" t="n"/>
      <c r="R3134" s="25" t="n"/>
      <c r="S3134" s="26">
        <f>HYPERLINK("http://www.cnpol.ru/covers/18933.jpg","фото на сайте")</f>
        <v/>
      </c>
    </row>
    <row r="3135" ht="50.1" customHeight="1" s="3">
      <c r="A3135" s="23" t="n"/>
      <c r="B3135" s="24" t="inlineStr">
        <is>
          <t>16650</t>
        </is>
      </c>
      <c r="C3135" s="23" t="inlineStr">
        <is>
          <t>НТ</t>
        </is>
      </c>
      <c r="D3135" s="23" t="inlineStr">
        <is>
          <t>Плотников С.А.</t>
        </is>
      </c>
      <c r="E3135" s="23" t="inlineStr">
        <is>
          <t>Пропавшая</t>
        </is>
      </c>
      <c r="F3135" s="23" t="inlineStr">
        <is>
          <t>        </t>
        </is>
      </c>
      <c r="G3135" s="23" t="n">
        <v>554</v>
      </c>
      <c r="H3135" s="23" t="n">
        <v>10</v>
      </c>
      <c r="I3135" s="23" t="n">
        <v>10</v>
      </c>
      <c r="J3135" s="23" t="inlineStr">
        <is>
          <t>978-5-227-06730-2</t>
        </is>
      </c>
      <c r="K3135" s="23" t="inlineStr">
        <is>
          <t>84x108 1/32</t>
        </is>
      </c>
      <c r="L3135" s="23" t="inlineStr">
        <is>
          <t>тв</t>
        </is>
      </c>
      <c r="M3135" s="23" t="n">
        <v>288</v>
      </c>
      <c r="N3135" s="23" t="n">
        <v>2016</v>
      </c>
      <c r="O3135" s="23" t="n">
        <v>258</v>
      </c>
      <c r="P3135" s="23" t="n"/>
      <c r="Q3135" s="23" t="n"/>
      <c r="R3135" s="25" t="n"/>
      <c r="S3135" s="26">
        <f>HYPERLINK("http://www.cnpol.ru/covers/16650.jpg","фото на сайте")</f>
        <v/>
      </c>
    </row>
    <row r="3136" ht="50.1" customHeight="1" s="3">
      <c r="A3136" s="23" t="n"/>
      <c r="B3136" s="24" t="inlineStr">
        <is>
          <t>14552</t>
        </is>
      </c>
      <c r="C3136" s="23" t="inlineStr">
        <is>
          <t>НТ</t>
        </is>
      </c>
      <c r="D3136" s="23" t="inlineStr">
        <is>
          <t>Сахаров В.И.</t>
        </is>
      </c>
      <c r="E3136" s="23" t="inlineStr">
        <is>
          <t>Протектор севера</t>
        </is>
      </c>
      <c r="F3136" s="23" t="inlineStr">
        <is>
          <t>        </t>
        </is>
      </c>
      <c r="G3136" s="23" t="n">
        <v>554</v>
      </c>
      <c r="H3136" s="23" t="n">
        <v>10</v>
      </c>
      <c r="I3136" s="23" t="n">
        <v>14</v>
      </c>
      <c r="J3136" s="23" t="inlineStr">
        <is>
          <t>978-5-227-04615-4</t>
        </is>
      </c>
      <c r="K3136" s="23" t="inlineStr">
        <is>
          <t>84x108 1/32</t>
        </is>
      </c>
      <c r="L3136" s="23" t="inlineStr">
        <is>
          <t>тв</t>
        </is>
      </c>
      <c r="M3136" s="23" t="n">
        <v>317</v>
      </c>
      <c r="N3136" s="23" t="n">
        <v>2013</v>
      </c>
      <c r="O3136" s="23" t="n">
        <v>274</v>
      </c>
      <c r="P3136" s="23" t="n"/>
      <c r="Q3136" s="23" t="n"/>
      <c r="R3136" s="25" t="n"/>
      <c r="S3136" s="26">
        <f>HYPERLINK("http://www.cnpol.ru/covers/14552.jpg","фото на сайте")</f>
        <v/>
      </c>
    </row>
    <row r="3137" ht="50.1" customHeight="1" s="3">
      <c r="A3137" s="23" t="n"/>
      <c r="B3137" s="24" t="inlineStr">
        <is>
          <t>19259</t>
        </is>
      </c>
      <c r="C3137" s="23" t="inlineStr">
        <is>
          <t>НТ</t>
        </is>
      </c>
      <c r="D3137" s="23" t="inlineStr">
        <is>
          <t>Лазовский Е.</t>
        </is>
      </c>
      <c r="E3137" s="23" t="inlineStr">
        <is>
          <t>Прошлая настоящая жизнь</t>
        </is>
      </c>
      <c r="F3137" s="23" t="inlineStr">
        <is>
          <t>        </t>
        </is>
      </c>
      <c r="G3137" s="23" t="n">
        <v>554</v>
      </c>
      <c r="H3137" s="23" t="n">
        <v>10</v>
      </c>
      <c r="I3137" s="23" t="n">
        <v>14</v>
      </c>
      <c r="J3137" s="23" t="inlineStr">
        <is>
          <t>978-5-227-09163-5</t>
        </is>
      </c>
      <c r="K3137" s="23" t="inlineStr">
        <is>
          <t>84x108 1/32</t>
        </is>
      </c>
      <c r="L3137" s="23" t="inlineStr">
        <is>
          <t>тв</t>
        </is>
      </c>
      <c r="M3137" s="23" t="n">
        <v>288</v>
      </c>
      <c r="N3137" s="23" t="n">
        <v>2020</v>
      </c>
      <c r="O3137" s="23" t="n">
        <v>260</v>
      </c>
      <c r="P3137" s="23" t="n"/>
      <c r="Q3137" s="23" t="n"/>
      <c r="R3137" s="25" t="n"/>
      <c r="S3137" s="26">
        <f>HYPERLINK("http://www.cnpol.ru/covers/19259.jpg","фото на сайте")</f>
        <v/>
      </c>
    </row>
    <row r="3138" ht="50.1" customHeight="1" s="3">
      <c r="A3138" s="23" t="n"/>
      <c r="B3138" s="24" t="inlineStr">
        <is>
          <t>13432</t>
        </is>
      </c>
      <c r="C3138" s="23" t="inlineStr">
        <is>
          <t>НТ</t>
        </is>
      </c>
      <c r="D3138" s="23" t="inlineStr">
        <is>
          <t>Михеев М.А.</t>
        </is>
      </c>
      <c r="E3138" s="23" t="inlineStr">
        <is>
          <t>Путь домой</t>
        </is>
      </c>
      <c r="F3138" s="23" t="inlineStr">
        <is>
          <t>        </t>
        </is>
      </c>
      <c r="G3138" s="23" t="n">
        <v>554</v>
      </c>
      <c r="H3138" s="23" t="n">
        <v>10</v>
      </c>
      <c r="I3138" s="23" t="n">
        <v>14</v>
      </c>
      <c r="J3138" s="23" t="inlineStr">
        <is>
          <t>978-5-227-03575-2</t>
        </is>
      </c>
      <c r="K3138" s="23" t="inlineStr">
        <is>
          <t>84x108 1/32</t>
        </is>
      </c>
      <c r="L3138" s="23" t="inlineStr">
        <is>
          <t>тв</t>
        </is>
      </c>
      <c r="M3138" s="23" t="n">
        <v>319</v>
      </c>
      <c r="N3138" s="23" t="n">
        <v>2012</v>
      </c>
      <c r="O3138" s="23" t="n">
        <v>272</v>
      </c>
      <c r="P3138" s="23" t="n"/>
      <c r="Q3138" s="23" t="n"/>
      <c r="R3138" s="25" t="n"/>
      <c r="S3138" s="26">
        <f>HYPERLINK("http://www.cnpol.ru/covers/13432.jpg","фото на сайте")</f>
        <v/>
      </c>
    </row>
    <row r="3139" ht="50.1" customHeight="1" s="3">
      <c r="A3139" s="23" t="n"/>
      <c r="B3139" s="24" t="inlineStr">
        <is>
          <t>20540</t>
        </is>
      </c>
      <c r="C3139" s="23" t="inlineStr">
        <is>
          <t>НТ</t>
        </is>
      </c>
      <c r="D3139" s="23" t="inlineStr">
        <is>
          <t>Мартынов А.В.</t>
        </is>
      </c>
      <c r="E3139" s="23" t="inlineStr">
        <is>
          <t>Пятый кодекс</t>
        </is>
      </c>
      <c r="F3139" s="23" t="inlineStr">
        <is>
          <t>        </t>
        </is>
      </c>
      <c r="G3139" s="23" t="n">
        <v>554</v>
      </c>
      <c r="H3139" s="23" t="n">
        <v>10</v>
      </c>
      <c r="I3139" s="23" t="n">
        <v>4</v>
      </c>
      <c r="J3139" s="23" t="inlineStr">
        <is>
          <t>978-5-227-10259-1</t>
        </is>
      </c>
      <c r="K3139" s="23" t="inlineStr">
        <is>
          <t>84x108 1/32</t>
        </is>
      </c>
      <c r="L3139" s="23" t="inlineStr">
        <is>
          <t>тв</t>
        </is>
      </c>
      <c r="M3139" s="23" t="n">
        <v>287</v>
      </c>
      <c r="N3139" s="23" t="n">
        <v>2023</v>
      </c>
      <c r="O3139" s="23" t="n">
        <v>278</v>
      </c>
      <c r="P3139" s="23" t="n"/>
      <c r="Q3139" s="23" t="n"/>
      <c r="R3139" s="25" t="inlineStr">
        <is>
          <t>Бывший разведчик спецназа, прошедший горячие точки не только как воин-интернационалист, но и как журналист-международник, репортёр-естествоиспытатель и этнограф, Андрей Рогов в очередном опасном путешествии в Мексику пускается на поиски расшифровки одного из древних манускриптов индейцев майя. В горах Чьяпаса он и его коллеги из съёмочной группы попадают в водоворот опасных приключений, вокруг них разворачиваются события, полные тайн и мистических загадок…</t>
        </is>
      </c>
      <c r="S3139" s="26">
        <f>HYPERLINK("http://www.cnpol.ru/covers/20540.jpg","фото на сайте")</f>
        <v/>
      </c>
    </row>
    <row r="3140" ht="50.1" customHeight="1" s="3">
      <c r="A3140" s="23" t="n"/>
      <c r="B3140" s="24" t="inlineStr">
        <is>
          <t>18744</t>
        </is>
      </c>
      <c r="C3140" s="23" t="inlineStr">
        <is>
          <t>НТ</t>
        </is>
      </c>
      <c r="D3140" s="23" t="inlineStr">
        <is>
          <t>Шалыгин В.В.</t>
        </is>
      </c>
      <c r="E3140" s="23" t="inlineStr">
        <is>
          <t>Разведчики</t>
        </is>
      </c>
      <c r="F3140" s="23" t="inlineStr">
        <is>
          <t>        </t>
        </is>
      </c>
      <c r="G3140" s="23" t="n">
        <v>554</v>
      </c>
      <c r="H3140" s="23" t="n">
        <v>10</v>
      </c>
      <c r="I3140" s="23" t="n">
        <v>14</v>
      </c>
      <c r="J3140" s="23" t="inlineStr">
        <is>
          <t>978-5-227-08717-1</t>
        </is>
      </c>
      <c r="K3140" s="23" t="inlineStr">
        <is>
          <t>84x108 1/32</t>
        </is>
      </c>
      <c r="L3140" s="23" t="inlineStr">
        <is>
          <t>тв</t>
        </is>
      </c>
      <c r="M3140" s="23" t="n">
        <v>320</v>
      </c>
      <c r="N3140" s="23" t="n">
        <v>2019</v>
      </c>
      <c r="O3140" s="23" t="n">
        <v>272</v>
      </c>
      <c r="P3140" s="23" t="n"/>
      <c r="Q3140" s="23" t="n"/>
      <c r="R3140" s="25" t="n"/>
      <c r="S3140" s="26">
        <f>HYPERLINK("http://www.cnpol.ru/covers/18744.jpg","фото на сайте")</f>
        <v/>
      </c>
    </row>
    <row r="3141" ht="50.1" customHeight="1" s="3">
      <c r="A3141" s="23" t="n"/>
      <c r="B3141" s="24" t="inlineStr">
        <is>
          <t>19097</t>
        </is>
      </c>
      <c r="C3141" s="23" t="inlineStr">
        <is>
          <t>НТ</t>
        </is>
      </c>
      <c r="D3141" s="23" t="inlineStr">
        <is>
          <t>Марченко Г.Б.</t>
        </is>
      </c>
      <c r="E3141" s="23" t="inlineStr">
        <is>
          <t>Ревизор 2.0</t>
        </is>
      </c>
      <c r="F3141" s="23" t="inlineStr">
        <is>
          <t>        </t>
        </is>
      </c>
      <c r="G3141" s="23" t="n">
        <v>554</v>
      </c>
      <c r="H3141" s="23" t="n">
        <v>10</v>
      </c>
      <c r="I3141" s="23" t="n">
        <v>14</v>
      </c>
      <c r="J3141" s="23" t="inlineStr">
        <is>
          <t>978-5-227-09047-8</t>
        </is>
      </c>
      <c r="K3141" s="23" t="inlineStr">
        <is>
          <t>84x108 1/32</t>
        </is>
      </c>
      <c r="L3141" s="23" t="inlineStr">
        <is>
          <t>тв</t>
        </is>
      </c>
      <c r="M3141" s="23" t="n">
        <v>288</v>
      </c>
      <c r="N3141" s="23" t="n">
        <v>2020</v>
      </c>
      <c r="O3141" s="23" t="n">
        <v>258</v>
      </c>
      <c r="P3141" s="23" t="n"/>
      <c r="Q3141" s="23" t="n"/>
      <c r="R3141" s="25" t="n"/>
      <c r="S3141" s="26">
        <f>HYPERLINK("http://www.cnpol.ru/covers/19097.jpg","фото на сайте")</f>
        <v/>
      </c>
    </row>
    <row r="3142" ht="50.1" customHeight="1" s="3">
      <c r="A3142" s="23" t="n"/>
      <c r="B3142" s="24" t="inlineStr">
        <is>
          <t>18074</t>
        </is>
      </c>
      <c r="C3142" s="23" t="inlineStr">
        <is>
          <t>НТ</t>
        </is>
      </c>
      <c r="D3142" s="23" t="inlineStr">
        <is>
          <t>Поселягин В.Г</t>
        </is>
      </c>
      <c r="E3142" s="23" t="inlineStr">
        <is>
          <t>Рейдер</t>
        </is>
      </c>
      <c r="F3142" s="23" t="inlineStr">
        <is>
          <t>        </t>
        </is>
      </c>
      <c r="G3142" s="23" t="n">
        <v>554</v>
      </c>
      <c r="H3142" s="23" t="n">
        <v>10</v>
      </c>
      <c r="I3142" s="23" t="n">
        <v>14</v>
      </c>
      <c r="J3142" s="23" t="inlineStr">
        <is>
          <t>978-5-227-08147-6</t>
        </is>
      </c>
      <c r="K3142" s="23" t="inlineStr">
        <is>
          <t>84x108 1/32</t>
        </is>
      </c>
      <c r="L3142" s="23" t="inlineStr">
        <is>
          <t>тв</t>
        </is>
      </c>
      <c r="M3142" s="23" t="n">
        <v>288</v>
      </c>
      <c r="N3142" s="23" t="n">
        <v>2018</v>
      </c>
      <c r="O3142" s="23" t="n">
        <v>252</v>
      </c>
      <c r="P3142" s="23" t="n"/>
      <c r="Q3142" s="23" t="n"/>
      <c r="R3142" s="25" t="n"/>
      <c r="S3142" s="26">
        <f>HYPERLINK("http://www.cnpol.ru/covers/18074.jpg","фото на сайте")</f>
        <v/>
      </c>
    </row>
    <row r="3143" ht="50.1" customHeight="1" s="3">
      <c r="A3143" s="23" t="n"/>
      <c r="B3143" s="24" t="inlineStr">
        <is>
          <t>15423</t>
        </is>
      </c>
      <c r="C3143" s="23" t="inlineStr">
        <is>
          <t>НТ</t>
        </is>
      </c>
      <c r="D3143" s="23" t="inlineStr">
        <is>
          <t>Михеев М.А.</t>
        </is>
      </c>
      <c r="E3143" s="23" t="inlineStr">
        <is>
          <t>Решение</t>
        </is>
      </c>
      <c r="F3143" s="23" t="inlineStr">
        <is>
          <t>        </t>
        </is>
      </c>
      <c r="G3143" s="23" t="n">
        <v>554</v>
      </c>
      <c r="H3143" s="23" t="n">
        <v>10</v>
      </c>
      <c r="I3143" s="23" t="n">
        <v>12</v>
      </c>
      <c r="J3143" s="23" t="inlineStr">
        <is>
          <t>978-5-227-05439-5</t>
        </is>
      </c>
      <c r="K3143" s="23" t="inlineStr">
        <is>
          <t>84x108 1/32</t>
        </is>
      </c>
      <c r="L3143" s="23" t="inlineStr">
        <is>
          <t>тв</t>
        </is>
      </c>
      <c r="M3143" s="23" t="n">
        <v>285</v>
      </c>
      <c r="N3143" s="23" t="n">
        <v>2014</v>
      </c>
      <c r="O3143" s="23" t="n">
        <v>280</v>
      </c>
      <c r="P3143" s="23" t="n"/>
      <c r="Q3143" s="23" t="n"/>
      <c r="R3143" s="25" t="n"/>
      <c r="S3143" s="26">
        <f>HYPERLINK("http://www.cnpol.ru/covers/15423.jpg","фото на сайте")</f>
        <v/>
      </c>
    </row>
    <row r="3144" ht="50.1" customHeight="1" s="3">
      <c r="A3144" s="23" t="n"/>
      <c r="B3144" s="24" t="inlineStr">
        <is>
          <t>19594</t>
        </is>
      </c>
      <c r="C3144" s="23" t="inlineStr">
        <is>
          <t>НТ</t>
        </is>
      </c>
      <c r="D3144" s="23" t="inlineStr">
        <is>
          <t>Остапенко С.А</t>
        </is>
      </c>
      <c r="E3144" s="23" t="inlineStr">
        <is>
          <t>Ритуал</t>
        </is>
      </c>
      <c r="F3144" s="23" t="inlineStr">
        <is>
          <t>        </t>
        </is>
      </c>
      <c r="G3144" s="23" t="n">
        <v>554</v>
      </c>
      <c r="H3144" s="23" t="n">
        <v>10</v>
      </c>
      <c r="I3144" s="23" t="n">
        <v>14</v>
      </c>
      <c r="J3144" s="23" t="inlineStr">
        <is>
          <t>978-5-227-09414-8</t>
        </is>
      </c>
      <c r="K3144" s="23" t="inlineStr">
        <is>
          <t>84x108 1/32</t>
        </is>
      </c>
      <c r="L3144" s="23" t="inlineStr">
        <is>
          <t>тв</t>
        </is>
      </c>
      <c r="M3144" s="23" t="n">
        <v>320</v>
      </c>
      <c r="N3144" s="23" t="n">
        <v>2021</v>
      </c>
      <c r="O3144" s="23" t="n">
        <v>270</v>
      </c>
      <c r="P3144" s="23" t="n"/>
      <c r="Q3144" s="23" t="n"/>
      <c r="R3144" s="25" t="n"/>
      <c r="S3144" s="26">
        <f>HYPERLINK("http://www.cnpol.ru/covers/19594.jpg","фото на сайте")</f>
        <v/>
      </c>
    </row>
    <row r="3145" ht="50.1" customHeight="1" s="3">
      <c r="A3145" s="23" t="n"/>
      <c r="B3145" s="24" t="inlineStr">
        <is>
          <t>19266</t>
        </is>
      </c>
      <c r="C3145" s="23" t="inlineStr">
        <is>
          <t>НТ</t>
        </is>
      </c>
      <c r="D3145" s="23" t="inlineStr">
        <is>
          <t>Бармин Е.</t>
        </is>
      </c>
      <c r="E3145" s="23" t="inlineStr">
        <is>
          <t>Рождение клана. Тария-2</t>
        </is>
      </c>
      <c r="F3145" s="23" t="inlineStr">
        <is>
          <t>        </t>
        </is>
      </c>
      <c r="G3145" s="23" t="n">
        <v>554</v>
      </c>
      <c r="H3145" s="23" t="n">
        <v>10</v>
      </c>
      <c r="I3145" s="23" t="n">
        <v>12</v>
      </c>
      <c r="J3145" s="23" t="inlineStr">
        <is>
          <t>978-5-227-09165-9</t>
        </is>
      </c>
      <c r="K3145" s="23" t="inlineStr">
        <is>
          <t>84x108 1/32</t>
        </is>
      </c>
      <c r="L3145" s="23" t="inlineStr">
        <is>
          <t>тв</t>
        </is>
      </c>
      <c r="M3145" s="23" t="n">
        <v>288</v>
      </c>
      <c r="N3145" s="23" t="n">
        <v>2020</v>
      </c>
      <c r="O3145" s="23" t="n">
        <v>254</v>
      </c>
      <c r="P3145" s="23" t="n"/>
      <c r="Q3145" s="23" t="n"/>
      <c r="R3145" s="25" t="n"/>
      <c r="S3145" s="26">
        <f>HYPERLINK("http://www.cnpol.ru/covers/19266.jpg","фото на сайте")</f>
        <v/>
      </c>
    </row>
    <row r="3146" ht="50.1" customHeight="1" s="3">
      <c r="A3146" s="23" t="n"/>
      <c r="B3146" s="24" t="inlineStr">
        <is>
          <t>18828</t>
        </is>
      </c>
      <c r="C3146" s="23" t="inlineStr">
        <is>
          <t>НТ</t>
        </is>
      </c>
      <c r="D3146" s="23" t="inlineStr">
        <is>
          <t>Лобанов А.</t>
        </is>
      </c>
      <c r="E3146" s="23" t="inlineStr">
        <is>
          <t>Рокировка с прошлым</t>
        </is>
      </c>
      <c r="F3146" s="23" t="inlineStr">
        <is>
          <t>        </t>
        </is>
      </c>
      <c r="G3146" s="23" t="n">
        <v>554</v>
      </c>
      <c r="H3146" s="23" t="n">
        <v>10</v>
      </c>
      <c r="I3146" s="23" t="n">
        <v>14</v>
      </c>
      <c r="J3146" s="23" t="inlineStr">
        <is>
          <t>978-5-227-08825-3</t>
        </is>
      </c>
      <c r="K3146" s="23" t="inlineStr">
        <is>
          <t>84x108 1/32</t>
        </is>
      </c>
      <c r="L3146" s="23" t="inlineStr">
        <is>
          <t>тв</t>
        </is>
      </c>
      <c r="M3146" s="23" t="n">
        <v>320</v>
      </c>
      <c r="N3146" s="23" t="n">
        <v>2019</v>
      </c>
      <c r="O3146" s="23" t="n">
        <v>272</v>
      </c>
      <c r="P3146" s="23" t="n"/>
      <c r="Q3146" s="23" t="n"/>
      <c r="R3146" s="25" t="n"/>
      <c r="S3146" s="26">
        <f>HYPERLINK("http://www.cnpol.ru/covers/18828.jpg","фото на сайте")</f>
        <v/>
      </c>
    </row>
    <row r="3147" ht="50.1" customHeight="1" s="3">
      <c r="A3147" s="23" t="n"/>
      <c r="B3147" s="24" t="inlineStr">
        <is>
          <t>18081</t>
        </is>
      </c>
      <c r="C3147" s="23" t="inlineStr">
        <is>
          <t>НТ</t>
        </is>
      </c>
      <c r="D3147" s="23" t="inlineStr">
        <is>
          <t>Д’Эст С., Малышев А.</t>
        </is>
      </c>
      <c r="E3147" s="23" t="inlineStr">
        <is>
          <t>Рыцарь Смерти</t>
        </is>
      </c>
      <c r="F3147" s="23" t="inlineStr">
        <is>
          <t>        </t>
        </is>
      </c>
      <c r="G3147" s="23" t="n">
        <v>554</v>
      </c>
      <c r="H3147" s="23" t="n">
        <v>10</v>
      </c>
      <c r="I3147" s="23" t="n">
        <v>12</v>
      </c>
      <c r="J3147" s="23" t="inlineStr">
        <is>
          <t>978-5-227-08205-3</t>
        </is>
      </c>
      <c r="K3147" s="23" t="inlineStr">
        <is>
          <t>84x108 1/32</t>
        </is>
      </c>
      <c r="L3147" s="23" t="inlineStr">
        <is>
          <t>тв</t>
        </is>
      </c>
      <c r="M3147" s="23" t="n">
        <v>352</v>
      </c>
      <c r="N3147" s="23" t="n">
        <v>2018</v>
      </c>
      <c r="O3147" s="23" t="n">
        <v>286</v>
      </c>
      <c r="P3147" s="23" t="n"/>
      <c r="Q3147" s="23" t="n"/>
      <c r="R3147" s="25" t="n"/>
      <c r="S3147" s="26">
        <f>HYPERLINK("http://www.cnpol.ru/covers/18081.jpg","фото на сайте")</f>
        <v/>
      </c>
    </row>
    <row r="3148" ht="50.1" customHeight="1" s="3">
      <c r="A3148" s="23" t="n"/>
      <c r="B3148" s="24" t="inlineStr">
        <is>
          <t>17730</t>
        </is>
      </c>
      <c r="C3148" s="23" t="inlineStr">
        <is>
          <t>НТ</t>
        </is>
      </c>
      <c r="D3148" s="23" t="inlineStr">
        <is>
          <t>Поселягин В.Г</t>
        </is>
      </c>
      <c r="E3148" s="23" t="inlineStr">
        <is>
          <t>Сашка</t>
        </is>
      </c>
      <c r="F3148" s="23" t="inlineStr">
        <is>
          <t>        </t>
        </is>
      </c>
      <c r="G3148" s="23" t="n">
        <v>554</v>
      </c>
      <c r="H3148" s="23" t="n">
        <v>10</v>
      </c>
      <c r="I3148" s="23" t="n">
        <v>14</v>
      </c>
      <c r="J3148" s="23" t="inlineStr">
        <is>
          <t>978-5-227-07763-9</t>
        </is>
      </c>
      <c r="K3148" s="23" t="inlineStr">
        <is>
          <t>84x108 1/32</t>
        </is>
      </c>
      <c r="L3148" s="23" t="inlineStr">
        <is>
          <t>тв</t>
        </is>
      </c>
      <c r="M3148" s="23" t="n">
        <v>288</v>
      </c>
      <c r="N3148" s="23" t="n">
        <v>2017</v>
      </c>
      <c r="O3148" s="23" t="n">
        <v>252</v>
      </c>
      <c r="P3148" s="23" t="n"/>
      <c r="Q3148" s="23" t="n"/>
      <c r="R3148" s="25" t="n"/>
      <c r="S3148" s="26">
        <f>HYPERLINK("http://www.cnpol.ru/covers/17730.jpg","фото на сайте")</f>
        <v/>
      </c>
    </row>
    <row r="3149" ht="50.1" customHeight="1" s="3">
      <c r="A3149" s="23" t="n"/>
      <c r="B3149" s="24" t="inlineStr">
        <is>
          <t>18080</t>
        </is>
      </c>
      <c r="C3149" s="23" t="inlineStr">
        <is>
          <t>НТ</t>
        </is>
      </c>
      <c r="D3149" s="23" t="inlineStr">
        <is>
          <t>Аникиенко О.</t>
        </is>
      </c>
      <c r="E3149" s="23" t="inlineStr">
        <is>
          <t>Свергнутые боги</t>
        </is>
      </c>
      <c r="F3149" s="23" t="inlineStr">
        <is>
          <t>        </t>
        </is>
      </c>
      <c r="G3149" s="23" t="n">
        <v>554</v>
      </c>
      <c r="H3149" s="23" t="n">
        <v>10</v>
      </c>
      <c r="I3149" s="23" t="n">
        <v>14</v>
      </c>
      <c r="J3149" s="23" t="inlineStr">
        <is>
          <t>978-5-227-08180-3</t>
        </is>
      </c>
      <c r="K3149" s="23" t="inlineStr">
        <is>
          <t>84x108 1/32</t>
        </is>
      </c>
      <c r="L3149" s="23" t="inlineStr">
        <is>
          <t>тв</t>
        </is>
      </c>
      <c r="M3149" s="23" t="n">
        <v>320</v>
      </c>
      <c r="N3149" s="23" t="n">
        <v>2018</v>
      </c>
      <c r="O3149" s="23" t="n">
        <v>274</v>
      </c>
      <c r="P3149" s="23" t="n"/>
      <c r="Q3149" s="23" t="n"/>
      <c r="R3149" s="25" t="n"/>
      <c r="S3149" s="26">
        <f>HYPERLINK("http://www.cnpol.ru/covers/18080.jpg","фото на сайте")</f>
        <v/>
      </c>
    </row>
    <row r="3150" ht="50.1" customHeight="1" s="3">
      <c r="A3150" s="23" t="n"/>
      <c r="B3150" s="24" t="inlineStr">
        <is>
          <t>19144</t>
        </is>
      </c>
      <c r="C3150" s="23" t="inlineStr">
        <is>
          <t>НТ</t>
        </is>
      </c>
      <c r="D3150" s="23" t="inlineStr">
        <is>
          <t>Левшов Г.</t>
        </is>
      </c>
      <c r="E3150" s="23" t="inlineStr">
        <is>
          <t>Сделка с демиургом</t>
        </is>
      </c>
      <c r="F3150" s="23" t="inlineStr">
        <is>
          <t>        </t>
        </is>
      </c>
      <c r="G3150" s="23" t="n">
        <v>554</v>
      </c>
      <c r="H3150" s="23" t="n">
        <v>10</v>
      </c>
      <c r="I3150" s="23" t="n">
        <v>14</v>
      </c>
      <c r="J3150" s="23" t="inlineStr">
        <is>
          <t>978-5-227-09072-0</t>
        </is>
      </c>
      <c r="K3150" s="23" t="inlineStr">
        <is>
          <t>84x108 1/32</t>
        </is>
      </c>
      <c r="L3150" s="23" t="inlineStr">
        <is>
          <t>тв</t>
        </is>
      </c>
      <c r="M3150" s="23" t="n">
        <v>288</v>
      </c>
      <c r="N3150" s="23" t="n">
        <v>2020</v>
      </c>
      <c r="O3150" s="23" t="n">
        <v>256</v>
      </c>
      <c r="P3150" s="23" t="n"/>
      <c r="Q3150" s="23" t="n"/>
      <c r="R3150" s="25" t="n"/>
      <c r="S3150" s="26">
        <f>HYPERLINK("http://www.cnpol.ru/covers/19144.jpg","фото на сайте")</f>
        <v/>
      </c>
    </row>
    <row r="3151" ht="50.1" customHeight="1" s="3">
      <c r="A3151" s="23" t="n"/>
      <c r="B3151" s="24" t="inlineStr">
        <is>
          <t>16765</t>
        </is>
      </c>
      <c r="C3151" s="23" t="inlineStr">
        <is>
          <t>НТ</t>
        </is>
      </c>
      <c r="D3151" s="23" t="inlineStr">
        <is>
          <t>Сахаров В.И.</t>
        </is>
      </c>
      <c r="E3151" s="23" t="inlineStr">
        <is>
          <t>Северная война</t>
        </is>
      </c>
      <c r="F3151" s="23" t="inlineStr">
        <is>
          <t>        </t>
        </is>
      </c>
      <c r="G3151" s="23" t="n">
        <v>554</v>
      </c>
      <c r="H3151" s="23" t="n">
        <v>10</v>
      </c>
      <c r="I3151" s="23" t="n">
        <v>12</v>
      </c>
      <c r="J3151" s="23" t="inlineStr">
        <is>
          <t>978-5-227-06808-8</t>
        </is>
      </c>
      <c r="K3151" s="23" t="inlineStr">
        <is>
          <t>84x108 1/32</t>
        </is>
      </c>
      <c r="L3151" s="23" t="inlineStr">
        <is>
          <t>тв</t>
        </is>
      </c>
      <c r="M3151" s="23" t="n">
        <v>288</v>
      </c>
      <c r="N3151" s="23" t="n">
        <v>2016</v>
      </c>
      <c r="O3151" s="23" t="n">
        <v>260</v>
      </c>
      <c r="P3151" s="23" t="n"/>
      <c r="Q3151" s="23" t="n"/>
      <c r="R3151" s="25" t="n"/>
      <c r="S3151" s="26">
        <f>HYPERLINK("http://www.cnpol.ru/covers/16765.jpg","фото на сайте")</f>
        <v/>
      </c>
    </row>
    <row r="3152" ht="50.1" customHeight="1" s="3">
      <c r="A3152" s="23" t="n"/>
      <c r="B3152" s="24" t="inlineStr">
        <is>
          <t>18979</t>
        </is>
      </c>
      <c r="C3152" s="23" t="inlineStr">
        <is>
          <t>НТ</t>
        </is>
      </c>
      <c r="D3152" s="23" t="inlineStr">
        <is>
          <t>Тарасов С.А</t>
        </is>
      </c>
      <c r="E3152" s="23" t="inlineStr">
        <is>
          <t>Седьмой принцип</t>
        </is>
      </c>
      <c r="F3152" s="23" t="inlineStr">
        <is>
          <t>        </t>
        </is>
      </c>
      <c r="G3152" s="23" t="n">
        <v>554</v>
      </c>
      <c r="H3152" s="23" t="n">
        <v>10</v>
      </c>
      <c r="I3152" s="23" t="n">
        <v>14</v>
      </c>
      <c r="J3152" s="23" t="inlineStr">
        <is>
          <t>978-5-227-08928-1</t>
        </is>
      </c>
      <c r="K3152" s="23" t="inlineStr">
        <is>
          <t>84x108 1/32</t>
        </is>
      </c>
      <c r="L3152" s="23" t="inlineStr">
        <is>
          <t>тв</t>
        </is>
      </c>
      <c r="M3152" s="23" t="n">
        <v>288</v>
      </c>
      <c r="N3152" s="23" t="n">
        <v>2019</v>
      </c>
      <c r="O3152" s="23" t="n">
        <v>252</v>
      </c>
      <c r="P3152" s="23" t="n"/>
      <c r="Q3152" s="23" t="n"/>
      <c r="R3152" s="25" t="n"/>
      <c r="S3152" s="26">
        <f>HYPERLINK("http://www.cnpol.ru/covers/18979.jpg","фото на сайте")</f>
        <v/>
      </c>
    </row>
    <row r="3153" ht="50.1" customHeight="1" s="3">
      <c r="A3153" s="23" t="n"/>
      <c r="B3153" s="24" t="inlineStr">
        <is>
          <t>14080</t>
        </is>
      </c>
      <c r="C3153" s="23" t="inlineStr">
        <is>
          <t>НТ</t>
        </is>
      </c>
      <c r="D3153" s="23" t="inlineStr">
        <is>
          <t>Бажова Ю.</t>
        </is>
      </c>
      <c r="E3153" s="23" t="inlineStr">
        <is>
          <t>Сети. Храм сердца</t>
        </is>
      </c>
      <c r="F3153" s="23" t="inlineStr">
        <is>
          <t>        </t>
        </is>
      </c>
      <c r="G3153" s="23" t="n">
        <v>554</v>
      </c>
      <c r="H3153" s="23" t="n">
        <v>10</v>
      </c>
      <c r="I3153" s="23" t="n">
        <v>10</v>
      </c>
      <c r="J3153" s="23" t="inlineStr">
        <is>
          <t>978-5-227-04132-6</t>
        </is>
      </c>
      <c r="K3153" s="23" t="inlineStr">
        <is>
          <t>84x108 1/32</t>
        </is>
      </c>
      <c r="L3153" s="23" t="inlineStr">
        <is>
          <t>тв</t>
        </is>
      </c>
      <c r="M3153" s="23" t="n">
        <v>480</v>
      </c>
      <c r="N3153" s="23" t="n">
        <v>2012</v>
      </c>
      <c r="O3153" s="23" t="n">
        <v>358</v>
      </c>
      <c r="P3153" s="23" t="n"/>
      <c r="Q3153" s="23" t="n"/>
      <c r="R3153" s="25" t="n"/>
      <c r="S3153" s="26">
        <f>HYPERLINK("http://www.cnpol.ru/covers/14080.jpg","фото на сайте")</f>
        <v/>
      </c>
    </row>
    <row r="3154" ht="50.1" customHeight="1" s="3">
      <c r="A3154" s="23" t="n"/>
      <c r="B3154" s="24" t="inlineStr">
        <is>
          <t>12570</t>
        </is>
      </c>
      <c r="C3154" s="23" t="inlineStr">
        <is>
          <t>НТ</t>
        </is>
      </c>
      <c r="D3154" s="23" t="inlineStr">
        <is>
          <t>Абельс Ж.</t>
        </is>
      </c>
      <c r="E3154" s="23" t="inlineStr">
        <is>
          <t>Сила ведлов</t>
        </is>
      </c>
      <c r="F3154" s="23" t="inlineStr">
        <is>
          <t>        </t>
        </is>
      </c>
      <c r="G3154" s="23" t="n">
        <v>554</v>
      </c>
      <c r="H3154" s="23" t="n">
        <v>10</v>
      </c>
      <c r="I3154" s="23" t="n">
        <v>16</v>
      </c>
      <c r="J3154" s="23" t="inlineStr">
        <is>
          <t>978-5-227-02730-6</t>
        </is>
      </c>
      <c r="K3154" s="23" t="inlineStr">
        <is>
          <t>84x108 1/32</t>
        </is>
      </c>
      <c r="L3154" s="23" t="inlineStr">
        <is>
          <t>тв</t>
        </is>
      </c>
      <c r="M3154" s="23" t="n">
        <v>318</v>
      </c>
      <c r="N3154" s="23" t="n">
        <v>2011</v>
      </c>
      <c r="O3154" s="23" t="n">
        <v>266</v>
      </c>
      <c r="P3154" s="23" t="n"/>
      <c r="Q3154" s="23" t="n"/>
      <c r="R3154" s="25" t="n"/>
      <c r="S3154" s="26">
        <f>HYPERLINK("http://www.cnpol.ru/covers/12570.jpg","фото на сайте")</f>
        <v/>
      </c>
    </row>
    <row r="3155" ht="50.1" customHeight="1" s="3">
      <c r="A3155" s="23" t="n"/>
      <c r="B3155" s="24" t="inlineStr">
        <is>
          <t>20114</t>
        </is>
      </c>
      <c r="C3155" s="23" t="inlineStr">
        <is>
          <t>НТ</t>
        </is>
      </c>
      <c r="D3155" s="23" t="inlineStr">
        <is>
          <t>Красников В.</t>
        </is>
      </c>
      <c r="E3155" s="23" t="inlineStr">
        <is>
          <t>Скверная кровь</t>
        </is>
      </c>
      <c r="F3155" s="23" t="inlineStr">
        <is>
          <t>        </t>
        </is>
      </c>
      <c r="G3155" s="23" t="n">
        <v>554</v>
      </c>
      <c r="H3155" s="23" t="n">
        <v>10</v>
      </c>
      <c r="I3155" s="23" t="n">
        <v>14</v>
      </c>
      <c r="J3155" s="23" t="inlineStr">
        <is>
          <t>978-5-227-09841-2</t>
        </is>
      </c>
      <c r="K3155" s="23" t="inlineStr">
        <is>
          <t>84x108 1/32</t>
        </is>
      </c>
      <c r="L3155" s="23" t="inlineStr">
        <is>
          <t>тв</t>
        </is>
      </c>
      <c r="M3155" s="23" t="n">
        <v>319</v>
      </c>
      <c r="N3155" s="23" t="n">
        <v>2022</v>
      </c>
      <c r="O3155" s="23" t="n">
        <v>260</v>
      </c>
      <c r="P3155" s="23" t="n"/>
      <c r="Q3155" s="23" t="n"/>
      <c r="R3155" s="25" t="n"/>
      <c r="S3155" s="26">
        <f>HYPERLINK("http://www.cnpol.ru/covers/20114.jpg","фото на сайте")</f>
        <v/>
      </c>
    </row>
    <row r="3156" ht="50.1" customHeight="1" s="3">
      <c r="A3156" s="23" t="n"/>
      <c r="B3156" s="24" t="inlineStr">
        <is>
          <t>18645</t>
        </is>
      </c>
      <c r="C3156" s="23" t="inlineStr">
        <is>
          <t>НТ</t>
        </is>
      </c>
      <c r="D3156" s="23" t="inlineStr">
        <is>
          <t>Левина Н.</t>
        </is>
      </c>
      <c r="E3156" s="23" t="inlineStr">
        <is>
          <t>Сквозь портал</t>
        </is>
      </c>
      <c r="F3156" s="23" t="inlineStr">
        <is>
          <t>        </t>
        </is>
      </c>
      <c r="G3156" s="23" t="n">
        <v>554</v>
      </c>
      <c r="H3156" s="23" t="n">
        <v>10</v>
      </c>
      <c r="I3156" s="23" t="n">
        <v>14</v>
      </c>
      <c r="J3156" s="23" t="inlineStr">
        <is>
          <t>978-5-227-08649-5</t>
        </is>
      </c>
      <c r="K3156" s="23" t="inlineStr">
        <is>
          <t>84x108 1/32</t>
        </is>
      </c>
      <c r="L3156" s="23" t="inlineStr">
        <is>
          <t>тв</t>
        </is>
      </c>
      <c r="M3156" s="23" t="n">
        <v>288</v>
      </c>
      <c r="N3156" s="23" t="n">
        <v>2019</v>
      </c>
      <c r="O3156" s="23" t="n">
        <v>254</v>
      </c>
      <c r="P3156" s="23" t="n"/>
      <c r="Q3156" s="23" t="n"/>
      <c r="R3156" s="25" t="n"/>
      <c r="S3156" s="26">
        <f>HYPERLINK("http://www.cnpol.ru/covers/18645.jpg","фото на сайте")</f>
        <v/>
      </c>
    </row>
    <row r="3157" ht="50.1" customHeight="1" s="3">
      <c r="A3157" s="23" t="n"/>
      <c r="B3157" s="24" t="inlineStr">
        <is>
          <t>19260</t>
        </is>
      </c>
      <c r="C3157" s="23" t="inlineStr">
        <is>
          <t>НТ</t>
        </is>
      </c>
      <c r="D3157" s="23" t="inlineStr">
        <is>
          <t>Шабельник Р.</t>
        </is>
      </c>
      <c r="E3157" s="23" t="inlineStr">
        <is>
          <t>Следы Атомных богов</t>
        </is>
      </c>
      <c r="F3157" s="23" t="inlineStr">
        <is>
          <t>        </t>
        </is>
      </c>
      <c r="G3157" s="23" t="n">
        <v>554</v>
      </c>
      <c r="H3157" s="23" t="n">
        <v>10</v>
      </c>
      <c r="I3157" s="23" t="n">
        <v>14</v>
      </c>
      <c r="J3157" s="23" t="inlineStr">
        <is>
          <t>978-5-227-09162-8</t>
        </is>
      </c>
      <c r="K3157" s="23" t="inlineStr">
        <is>
          <t>84x108 1/32</t>
        </is>
      </c>
      <c r="L3157" s="23" t="inlineStr">
        <is>
          <t>тв</t>
        </is>
      </c>
      <c r="M3157" s="23" t="n">
        <v>288</v>
      </c>
      <c r="N3157" s="23" t="n">
        <v>2020</v>
      </c>
      <c r="O3157" s="23" t="n">
        <v>258</v>
      </c>
      <c r="P3157" s="23" t="n"/>
      <c r="Q3157" s="23" t="n"/>
      <c r="R3157" s="25" t="n"/>
      <c r="S3157" s="26">
        <f>HYPERLINK("http://www.cnpol.ru/covers/19260.jpg","фото на сайте")</f>
        <v/>
      </c>
    </row>
    <row r="3158" ht="50.1" customHeight="1" s="3">
      <c r="A3158" s="23" t="n"/>
      <c r="B3158" s="24" t="inlineStr">
        <is>
          <t>18761</t>
        </is>
      </c>
      <c r="C3158" s="23" t="inlineStr">
        <is>
          <t>НТ</t>
        </is>
      </c>
      <c r="D3158" s="23" t="inlineStr">
        <is>
          <t>Поселягин В.Г</t>
        </is>
      </c>
      <c r="E3158" s="23" t="inlineStr">
        <is>
          <t>Снайпер</t>
        </is>
      </c>
      <c r="F3158" s="23" t="inlineStr">
        <is>
          <t>        </t>
        </is>
      </c>
      <c r="G3158" s="23" t="n">
        <v>554</v>
      </c>
      <c r="H3158" s="23" t="n">
        <v>10</v>
      </c>
      <c r="I3158" s="23" t="n">
        <v>14</v>
      </c>
      <c r="J3158" s="23" t="inlineStr">
        <is>
          <t>978-5-227-08723-2</t>
        </is>
      </c>
      <c r="K3158" s="23" t="inlineStr">
        <is>
          <t>84x108 1/32</t>
        </is>
      </c>
      <c r="L3158" s="23" t="inlineStr">
        <is>
          <t>тв</t>
        </is>
      </c>
      <c r="M3158" s="23" t="n">
        <v>288</v>
      </c>
      <c r="N3158" s="23" t="n">
        <v>2019</v>
      </c>
      <c r="O3158" s="23" t="n">
        <v>252</v>
      </c>
      <c r="P3158" s="23" t="n"/>
      <c r="Q3158" s="23" t="n"/>
      <c r="R3158" s="25" t="n"/>
      <c r="S3158" s="26">
        <f>HYPERLINK("http://www.cnpol.ru/covers/18761.jpg","фото на сайте")</f>
        <v/>
      </c>
    </row>
    <row r="3159" ht="50.1" customHeight="1" s="3">
      <c r="A3159" s="23" t="n"/>
      <c r="B3159" s="24" t="inlineStr">
        <is>
          <t>19494</t>
        </is>
      </c>
      <c r="C3159" s="23" t="inlineStr">
        <is>
          <t>НТ</t>
        </is>
      </c>
      <c r="D3159" s="23" t="inlineStr">
        <is>
          <t>Петренко С.В</t>
        </is>
      </c>
      <c r="E3159" s="23" t="inlineStr">
        <is>
          <t>Снимите розовые очки</t>
        </is>
      </c>
      <c r="F3159" s="23" t="inlineStr">
        <is>
          <t>        </t>
        </is>
      </c>
      <c r="G3159" s="23" t="n">
        <v>554</v>
      </c>
      <c r="H3159" s="23" t="n">
        <v>10</v>
      </c>
      <c r="I3159" s="23" t="n">
        <v>14</v>
      </c>
      <c r="J3159" s="23" t="inlineStr">
        <is>
          <t>978-5-227-09298-4</t>
        </is>
      </c>
      <c r="K3159" s="23" t="inlineStr">
        <is>
          <t>84x108 1/32</t>
        </is>
      </c>
      <c r="L3159" s="23" t="inlineStr">
        <is>
          <t>тв</t>
        </is>
      </c>
      <c r="M3159" s="23" t="n">
        <v>287</v>
      </c>
      <c r="N3159" s="23" t="n">
        <v>2021</v>
      </c>
      <c r="O3159" s="23" t="n">
        <v>250</v>
      </c>
      <c r="P3159" s="23" t="n"/>
      <c r="Q3159" s="23" t="n"/>
      <c r="R3159" s="25" t="n"/>
      <c r="S3159" s="26">
        <f>HYPERLINK("http://www.cnpol.ru/covers/19494.jpg","фото на сайте")</f>
        <v/>
      </c>
    </row>
    <row r="3160" ht="50.1" customHeight="1" s="3">
      <c r="A3160" s="23" t="n"/>
      <c r="B3160" s="24" t="inlineStr">
        <is>
          <t>18590</t>
        </is>
      </c>
      <c r="C3160" s="23" t="inlineStr">
        <is>
          <t>НТ</t>
        </is>
      </c>
      <c r="D3160" s="23" t="inlineStr">
        <is>
          <t>Поселягин В.Г</t>
        </is>
      </c>
      <c r="E3160" s="23" t="inlineStr">
        <is>
          <t>Спец</t>
        </is>
      </c>
      <c r="F3160" s="23" t="inlineStr">
        <is>
          <t>        </t>
        </is>
      </c>
      <c r="G3160" s="23" t="n">
        <v>554</v>
      </c>
      <c r="H3160" s="23" t="n">
        <v>10</v>
      </c>
      <c r="I3160" s="23" t="n">
        <v>14</v>
      </c>
      <c r="J3160" s="23" t="inlineStr">
        <is>
          <t>978-5-227-08586-3</t>
        </is>
      </c>
      <c r="K3160" s="23" t="inlineStr">
        <is>
          <t>84x108 1/32</t>
        </is>
      </c>
      <c r="L3160" s="23" t="inlineStr">
        <is>
          <t>тв</t>
        </is>
      </c>
      <c r="M3160" s="23" t="n">
        <v>288</v>
      </c>
      <c r="N3160" s="23" t="n">
        <v>2019</v>
      </c>
      <c r="O3160" s="23" t="n">
        <v>252</v>
      </c>
      <c r="P3160" s="23" t="n"/>
      <c r="Q3160" s="23" t="n"/>
      <c r="R3160" s="25" t="n"/>
      <c r="S3160" s="26">
        <f>HYPERLINK("http://www.cnpol.ru/covers/18590.jpg","фото на сайте")</f>
        <v/>
      </c>
    </row>
    <row r="3161" ht="50.1" customHeight="1" s="3">
      <c r="A3161" s="23" t="n"/>
      <c r="B3161" s="24" t="inlineStr">
        <is>
          <t>17450</t>
        </is>
      </c>
      <c r="C3161" s="23" t="inlineStr">
        <is>
          <t>НТ</t>
        </is>
      </c>
      <c r="D3161" s="23" t="inlineStr">
        <is>
          <t>Сахаров В.И.</t>
        </is>
      </c>
      <c r="E3161" s="23" t="inlineStr">
        <is>
          <t>Степные волки</t>
        </is>
      </c>
      <c r="F3161" s="23" t="inlineStr">
        <is>
          <t>        </t>
        </is>
      </c>
      <c r="G3161" s="23" t="n">
        <v>554</v>
      </c>
      <c r="H3161" s="23" t="n">
        <v>10</v>
      </c>
      <c r="I3161" s="23" t="n">
        <v>14</v>
      </c>
      <c r="J3161" s="23" t="inlineStr">
        <is>
          <t>978-5-227-07468-3</t>
        </is>
      </c>
      <c r="K3161" s="23" t="inlineStr">
        <is>
          <t>84x108 1/32</t>
        </is>
      </c>
      <c r="L3161" s="23" t="inlineStr">
        <is>
          <t>тв</t>
        </is>
      </c>
      <c r="M3161" s="23" t="n">
        <v>320</v>
      </c>
      <c r="N3161" s="23" t="n">
        <v>2017</v>
      </c>
      <c r="O3161" s="23" t="n">
        <v>272</v>
      </c>
      <c r="P3161" s="23" t="n"/>
      <c r="Q3161" s="23" t="n"/>
      <c r="R3161" s="25" t="n"/>
      <c r="S3161" s="26">
        <f>HYPERLINK("http://www.cnpol.ru/covers/17450.jpg","фото на сайте")</f>
        <v/>
      </c>
    </row>
    <row r="3162" ht="50.1" customHeight="1" s="3">
      <c r="A3162" s="23" t="n"/>
      <c r="B3162" s="24" t="inlineStr">
        <is>
          <t>13324</t>
        </is>
      </c>
      <c r="C3162" s="23" t="inlineStr">
        <is>
          <t>НТ</t>
        </is>
      </c>
      <c r="D3162" s="23" t="inlineStr">
        <is>
          <t>Чужин И.А.</t>
        </is>
      </c>
      <c r="E3162" s="23" t="inlineStr">
        <is>
          <t>Странник. Возвращение</t>
        </is>
      </c>
      <c r="F3162" s="23" t="inlineStr">
        <is>
          <t>        </t>
        </is>
      </c>
      <c r="G3162" s="23" t="n">
        <v>554</v>
      </c>
      <c r="H3162" s="23" t="n">
        <v>10</v>
      </c>
      <c r="I3162" s="23" t="n">
        <v>10</v>
      </c>
      <c r="J3162" s="23" t="inlineStr">
        <is>
          <t>978-5-227-03494-6</t>
        </is>
      </c>
      <c r="K3162" s="23" t="inlineStr">
        <is>
          <t>84x108 1/32</t>
        </is>
      </c>
      <c r="L3162" s="23" t="inlineStr">
        <is>
          <t>тв</t>
        </is>
      </c>
      <c r="M3162" s="23" t="n">
        <v>415</v>
      </c>
      <c r="N3162" s="23" t="n">
        <v>2012</v>
      </c>
      <c r="O3162" s="23" t="n">
        <v>336</v>
      </c>
      <c r="P3162" s="23" t="n"/>
      <c r="Q3162" s="23" t="n"/>
      <c r="R3162" s="25" t="n"/>
      <c r="S3162" s="26">
        <f>HYPERLINK("http://www.cnpol.ru/covers/13324.jpg","фото на сайте")</f>
        <v/>
      </c>
    </row>
    <row r="3163" ht="50.1" customHeight="1" s="3">
      <c r="A3163" s="23" t="n"/>
      <c r="B3163" s="24" t="inlineStr">
        <is>
          <t>13266</t>
        </is>
      </c>
      <c r="C3163" s="23" t="inlineStr">
        <is>
          <t>НТ</t>
        </is>
      </c>
      <c r="D3163" s="23" t="inlineStr">
        <is>
          <t>Бергман А.</t>
        </is>
      </c>
      <c r="E3163" s="23" t="inlineStr">
        <is>
          <t>Сын безумия</t>
        </is>
      </c>
      <c r="F3163" s="23" t="inlineStr">
        <is>
          <t>        </t>
        </is>
      </c>
      <c r="G3163" s="23" t="n">
        <v>554</v>
      </c>
      <c r="H3163" s="23" t="n">
        <v>10</v>
      </c>
      <c r="I3163" s="23" t="n">
        <v>12</v>
      </c>
      <c r="J3163" s="23" t="inlineStr">
        <is>
          <t>978-5-227-03273-7</t>
        </is>
      </c>
      <c r="K3163" s="23" t="inlineStr">
        <is>
          <t>84x108 1/32</t>
        </is>
      </c>
      <c r="L3163" s="23" t="inlineStr">
        <is>
          <t>тв</t>
        </is>
      </c>
      <c r="M3163" s="23" t="n">
        <v>319</v>
      </c>
      <c r="N3163" s="23" t="n">
        <v>2012</v>
      </c>
      <c r="O3163" s="23" t="n">
        <v>270</v>
      </c>
      <c r="P3163" s="23" t="n"/>
      <c r="Q3163" s="23" t="n"/>
      <c r="R3163" s="25" t="n"/>
      <c r="S3163" s="26">
        <f>HYPERLINK("http://www.cnpol.ru/covers/13266.jpg","фото на сайте")</f>
        <v/>
      </c>
    </row>
    <row r="3164" ht="50.1" customHeight="1" s="3">
      <c r="A3164" s="23" t="n"/>
      <c r="B3164" s="24" t="inlineStr">
        <is>
          <t>18966</t>
        </is>
      </c>
      <c r="C3164" s="23" t="inlineStr">
        <is>
          <t>НТ</t>
        </is>
      </c>
      <c r="D3164" s="23" t="inlineStr">
        <is>
          <t>Самочётов А.</t>
        </is>
      </c>
      <c r="E3164" s="23" t="inlineStr">
        <is>
          <t>Сюрпризы Лебяжьего озера</t>
        </is>
      </c>
      <c r="F3164" s="23" t="inlineStr">
        <is>
          <t>        </t>
        </is>
      </c>
      <c r="G3164" s="23" t="n">
        <v>554</v>
      </c>
      <c r="H3164" s="23" t="n">
        <v>10</v>
      </c>
      <c r="I3164" s="23" t="n">
        <v>14</v>
      </c>
      <c r="J3164" s="23" t="inlineStr">
        <is>
          <t>978-5-227-08929-8</t>
        </is>
      </c>
      <c r="K3164" s="23" t="inlineStr">
        <is>
          <t>84x108 1/32</t>
        </is>
      </c>
      <c r="L3164" s="23" t="inlineStr">
        <is>
          <t>тв</t>
        </is>
      </c>
      <c r="M3164" s="23" t="n">
        <v>288</v>
      </c>
      <c r="N3164" s="23" t="n">
        <v>2019</v>
      </c>
      <c r="O3164" s="23" t="n">
        <v>252</v>
      </c>
      <c r="P3164" s="23" t="n"/>
      <c r="Q3164" s="23" t="n"/>
      <c r="R3164" s="25" t="n"/>
      <c r="S3164" s="26">
        <f>HYPERLINK("http://www.cnpol.ru/covers/18966.jpg","фото на сайте")</f>
        <v/>
      </c>
    </row>
    <row r="3165" ht="50.1" customHeight="1" s="3">
      <c r="A3165" s="23" t="n"/>
      <c r="B3165" s="24" t="inlineStr">
        <is>
          <t>18967</t>
        </is>
      </c>
      <c r="C3165" s="23" t="inlineStr">
        <is>
          <t>НТ</t>
        </is>
      </c>
      <c r="D3165" s="23" t="inlineStr">
        <is>
          <t>Леденёв И.В</t>
        </is>
      </c>
      <c r="E3165" s="23" t="inlineStr">
        <is>
          <t>Тайна золотого орла</t>
        </is>
      </c>
      <c r="F3165" s="23" t="inlineStr">
        <is>
          <t>        </t>
        </is>
      </c>
      <c r="G3165" s="23" t="n">
        <v>554</v>
      </c>
      <c r="H3165" s="23" t="n">
        <v>10</v>
      </c>
      <c r="I3165" s="23" t="n">
        <v>14</v>
      </c>
      <c r="J3165" s="23" t="inlineStr">
        <is>
          <t>978-5-227-08947-2</t>
        </is>
      </c>
      <c r="K3165" s="23" t="inlineStr">
        <is>
          <t>84x108 1/32</t>
        </is>
      </c>
      <c r="L3165" s="23" t="inlineStr">
        <is>
          <t>тв</t>
        </is>
      </c>
      <c r="M3165" s="23" t="n">
        <v>288</v>
      </c>
      <c r="N3165" s="23" t="n">
        <v>2019</v>
      </c>
      <c r="O3165" s="23" t="n">
        <v>252</v>
      </c>
      <c r="P3165" s="23" t="n"/>
      <c r="Q3165" s="23" t="n"/>
      <c r="R3165" s="25" t="n"/>
      <c r="S3165" s="26">
        <f>HYPERLINK("http://www.cnpol.ru/covers/18967.jpg","фото на сайте")</f>
        <v/>
      </c>
    </row>
    <row r="3166" ht="50.1" customHeight="1" s="3">
      <c r="A3166" s="23" t="n"/>
      <c r="B3166" s="24" t="inlineStr">
        <is>
          <t>19373</t>
        </is>
      </c>
      <c r="C3166" s="23" t="inlineStr">
        <is>
          <t>НТ</t>
        </is>
      </c>
      <c r="D3166" s="23" t="inlineStr">
        <is>
          <t>Борисов А.А.</t>
        </is>
      </c>
      <c r="E3166" s="23" t="inlineStr">
        <is>
          <t>Так не бывает, или Хрен знат</t>
        </is>
      </c>
      <c r="F3166" s="23" t="inlineStr">
        <is>
          <t>        </t>
        </is>
      </c>
      <c r="G3166" s="23" t="n">
        <v>554</v>
      </c>
      <c r="H3166" s="23" t="n">
        <v>10</v>
      </c>
      <c r="I3166" s="23" t="n">
        <v>12</v>
      </c>
      <c r="J3166" s="23" t="inlineStr">
        <is>
          <t>978-5-227-09230-4</t>
        </is>
      </c>
      <c r="K3166" s="23" t="inlineStr">
        <is>
          <t>84x108 1/32</t>
        </is>
      </c>
      <c r="L3166" s="23" t="inlineStr">
        <is>
          <t>тв</t>
        </is>
      </c>
      <c r="M3166" s="23" t="n">
        <v>352</v>
      </c>
      <c r="N3166" s="23" t="n">
        <v>2020</v>
      </c>
      <c r="O3166" s="23" t="n">
        <v>294</v>
      </c>
      <c r="P3166" s="23" t="n"/>
      <c r="Q3166" s="23" t="n"/>
      <c r="R3166" s="25" t="n"/>
      <c r="S3166" s="26">
        <f>HYPERLINK("http://www.cnpol.ru/covers/19373.jpg","фото на сайте")</f>
        <v/>
      </c>
    </row>
    <row r="3167" ht="50.1" customHeight="1" s="3">
      <c r="A3167" s="23" t="n"/>
      <c r="B3167" s="24" t="inlineStr">
        <is>
          <t>17813</t>
        </is>
      </c>
      <c r="C3167" s="23" t="inlineStr">
        <is>
          <t>НТ</t>
        </is>
      </c>
      <c r="D3167" s="23" t="inlineStr">
        <is>
          <t>Кувайкова А.А.</t>
        </is>
      </c>
      <c r="E3167" s="23" t="inlineStr">
        <is>
          <t>Танец для демона. Эпизод 1</t>
        </is>
      </c>
      <c r="F3167" s="23" t="inlineStr">
        <is>
          <t>        </t>
        </is>
      </c>
      <c r="G3167" s="23" t="n">
        <v>554</v>
      </c>
      <c r="H3167" s="23" t="n">
        <v>10</v>
      </c>
      <c r="I3167" s="23" t="n">
        <v>14</v>
      </c>
      <c r="J3167" s="23" t="inlineStr">
        <is>
          <t>978-5-227-07777-6</t>
        </is>
      </c>
      <c r="K3167" s="23" t="inlineStr">
        <is>
          <t>84x108 1/32</t>
        </is>
      </c>
      <c r="L3167" s="23" t="inlineStr">
        <is>
          <t>тв</t>
        </is>
      </c>
      <c r="M3167" s="23" t="n">
        <v>288</v>
      </c>
      <c r="N3167" s="23" t="n">
        <v>2017</v>
      </c>
      <c r="O3167" s="23" t="n">
        <v>252</v>
      </c>
      <c r="P3167" s="23" t="n"/>
      <c r="Q3167" s="23" t="n"/>
      <c r="R3167" s="25" t="n"/>
      <c r="S3167" s="26">
        <f>HYPERLINK("http://www.cnpol.ru/covers/17813.jpg","фото на сайте")</f>
        <v/>
      </c>
    </row>
    <row r="3168" ht="50.1" customHeight="1" s="3">
      <c r="A3168" s="23" t="n"/>
      <c r="B3168" s="24" t="inlineStr">
        <is>
          <t>19111</t>
        </is>
      </c>
      <c r="C3168" s="23" t="inlineStr">
        <is>
          <t>НТ</t>
        </is>
      </c>
      <c r="D3168" s="23" t="inlineStr">
        <is>
          <t>Бармин Е.</t>
        </is>
      </c>
      <c r="E3168" s="23" t="inlineStr">
        <is>
          <t>Тария</t>
        </is>
      </c>
      <c r="F3168" s="23" t="inlineStr">
        <is>
          <t>        </t>
        </is>
      </c>
      <c r="G3168" s="23" t="n">
        <v>554</v>
      </c>
      <c r="H3168" s="23" t="n">
        <v>10</v>
      </c>
      <c r="I3168" s="23" t="n">
        <v>14</v>
      </c>
      <c r="J3168" s="23" t="inlineStr">
        <is>
          <t>978-5-227-09073-7</t>
        </is>
      </c>
      <c r="K3168" s="23" t="inlineStr">
        <is>
          <t>84x108 1/32</t>
        </is>
      </c>
      <c r="L3168" s="23" t="inlineStr">
        <is>
          <t>тв</t>
        </is>
      </c>
      <c r="M3168" s="23" t="n">
        <v>288</v>
      </c>
      <c r="N3168" s="23" t="n">
        <v>2020</v>
      </c>
      <c r="O3168" s="23" t="n">
        <v>258</v>
      </c>
      <c r="P3168" s="23" t="n"/>
      <c r="Q3168" s="23" t="n"/>
      <c r="R3168" s="25" t="n"/>
      <c r="S3168" s="26">
        <f>HYPERLINK("http://www.cnpol.ru/covers/19111.jpg","фото на сайте")</f>
        <v/>
      </c>
    </row>
    <row r="3169" ht="50.1" customHeight="1" s="3">
      <c r="A3169" s="23" t="n"/>
      <c r="B3169" s="24" t="inlineStr">
        <is>
          <t>18745</t>
        </is>
      </c>
      <c r="C3169" s="23" t="inlineStr">
        <is>
          <t>НТ</t>
        </is>
      </c>
      <c r="D3169" s="23" t="inlineStr">
        <is>
          <t>Гришанин Д.</t>
        </is>
      </c>
      <c r="E3169" s="23" t="inlineStr">
        <is>
          <t>Тени Тегваара</t>
        </is>
      </c>
      <c r="F3169" s="23" t="inlineStr">
        <is>
          <t>        </t>
        </is>
      </c>
      <c r="G3169" s="23" t="n">
        <v>554</v>
      </c>
      <c r="H3169" s="23" t="n">
        <v>10</v>
      </c>
      <c r="I3169" s="23" t="n">
        <v>14</v>
      </c>
      <c r="J3169" s="23" t="inlineStr">
        <is>
          <t>978-5-227-08719-5</t>
        </is>
      </c>
      <c r="K3169" s="23" t="inlineStr">
        <is>
          <t>84x108 1/32</t>
        </is>
      </c>
      <c r="L3169" s="23" t="inlineStr">
        <is>
          <t>тв</t>
        </is>
      </c>
      <c r="M3169" s="23" t="n">
        <v>288</v>
      </c>
      <c r="N3169" s="23" t="n">
        <v>2019</v>
      </c>
      <c r="O3169" s="23" t="n">
        <v>256</v>
      </c>
      <c r="P3169" s="23" t="n"/>
      <c r="Q3169" s="23" t="n"/>
      <c r="R3169" s="25" t="n"/>
      <c r="S3169" s="26">
        <f>HYPERLINK("http://www.cnpol.ru/covers/18745.jpg","фото на сайте")</f>
        <v/>
      </c>
    </row>
    <row r="3170" ht="50.1" customHeight="1" s="3">
      <c r="A3170" s="23" t="n"/>
      <c r="B3170" s="24" t="inlineStr">
        <is>
          <t>16115</t>
        </is>
      </c>
      <c r="C3170" s="23" t="inlineStr">
        <is>
          <t>НТ</t>
        </is>
      </c>
      <c r="D3170" s="23" t="inlineStr">
        <is>
          <t>Сахаров В.И.</t>
        </is>
      </c>
      <c r="E3170" s="23" t="inlineStr">
        <is>
          <t>Тень императора</t>
        </is>
      </c>
      <c r="F3170" s="23" t="inlineStr">
        <is>
          <t>        </t>
        </is>
      </c>
      <c r="G3170" s="23" t="n">
        <v>554</v>
      </c>
      <c r="H3170" s="23" t="n">
        <v>10</v>
      </c>
      <c r="I3170" s="23" t="n">
        <v>14</v>
      </c>
      <c r="J3170" s="23" t="inlineStr">
        <is>
          <t>978-5-227-06130-0</t>
        </is>
      </c>
      <c r="K3170" s="23" t="inlineStr">
        <is>
          <t>84x108 1/32</t>
        </is>
      </c>
      <c r="L3170" s="23" t="inlineStr">
        <is>
          <t>тв</t>
        </is>
      </c>
      <c r="M3170" s="23" t="n">
        <v>318</v>
      </c>
      <c r="N3170" s="23" t="n">
        <v>2015</v>
      </c>
      <c r="O3170" s="23" t="n">
        <v>274</v>
      </c>
      <c r="P3170" s="23" t="n"/>
      <c r="Q3170" s="23" t="n"/>
      <c r="R3170" s="25" t="n"/>
      <c r="S3170" s="26">
        <f>HYPERLINK("http://www.cnpol.ru/covers/16115.jpg","фото на сайте")</f>
        <v/>
      </c>
    </row>
    <row r="3171" ht="50.1" customHeight="1" s="3">
      <c r="A3171" s="23" t="n"/>
      <c r="B3171" s="24" t="inlineStr">
        <is>
          <t>18721</t>
        </is>
      </c>
      <c r="C3171" s="23" t="inlineStr">
        <is>
          <t>НТ</t>
        </is>
      </c>
      <c r="D3171" s="23" t="inlineStr">
        <is>
          <t>Перемолотова А., Перемолотов В.</t>
        </is>
      </c>
      <c r="E3171" s="23" t="inlineStr">
        <is>
          <t>Тестировщик миров</t>
        </is>
      </c>
      <c r="F3171" s="23" t="inlineStr">
        <is>
          <t>        </t>
        </is>
      </c>
      <c r="G3171" s="23" t="n">
        <v>554</v>
      </c>
      <c r="H3171" s="23" t="n">
        <v>10</v>
      </c>
      <c r="I3171" s="23" t="n">
        <v>14</v>
      </c>
      <c r="J3171" s="23" t="inlineStr">
        <is>
          <t>978-5-227-08684-6</t>
        </is>
      </c>
      <c r="K3171" s="23" t="inlineStr">
        <is>
          <t>84x108 1/32</t>
        </is>
      </c>
      <c r="L3171" s="23" t="inlineStr">
        <is>
          <t>тв</t>
        </is>
      </c>
      <c r="M3171" s="23" t="n">
        <v>288</v>
      </c>
      <c r="N3171" s="23" t="n">
        <v>2019</v>
      </c>
      <c r="O3171" s="23" t="n">
        <v>254</v>
      </c>
      <c r="P3171" s="23" t="n"/>
      <c r="Q3171" s="23" t="n"/>
      <c r="R3171" s="25" t="n"/>
      <c r="S3171" s="26">
        <f>HYPERLINK("http://www.cnpol.ru/covers/18721.jpg","фото на сайте")</f>
        <v/>
      </c>
    </row>
    <row r="3172" ht="50.1" customHeight="1" s="3">
      <c r="A3172" s="23" t="n"/>
      <c r="B3172" s="24" t="inlineStr">
        <is>
          <t>19026</t>
        </is>
      </c>
      <c r="C3172" s="23" t="inlineStr">
        <is>
          <t>НТ</t>
        </is>
      </c>
      <c r="D3172" s="23" t="inlineStr">
        <is>
          <t>Кунин В.В</t>
        </is>
      </c>
      <c r="E3172" s="23" t="inlineStr">
        <is>
          <t>Технарь</t>
        </is>
      </c>
      <c r="F3172" s="23" t="inlineStr">
        <is>
          <t>        </t>
        </is>
      </c>
      <c r="G3172" s="23" t="n">
        <v>554</v>
      </c>
      <c r="H3172" s="23" t="n">
        <v>10</v>
      </c>
      <c r="I3172" s="23" t="n">
        <v>12</v>
      </c>
      <c r="J3172" s="23" t="inlineStr">
        <is>
          <t>978-5-227-08956-4</t>
        </is>
      </c>
      <c r="K3172" s="23" t="inlineStr">
        <is>
          <t>84x108 1/32</t>
        </is>
      </c>
      <c r="L3172" s="23" t="inlineStr">
        <is>
          <t>тв</t>
        </is>
      </c>
      <c r="M3172" s="23" t="n">
        <v>352</v>
      </c>
      <c r="N3172" s="23" t="n">
        <v>2020</v>
      </c>
      <c r="O3172" s="23" t="n">
        <v>286</v>
      </c>
      <c r="P3172" s="23" t="n"/>
      <c r="Q3172" s="23" t="n"/>
      <c r="R3172" s="25" t="n"/>
      <c r="S3172" s="26">
        <f>HYPERLINK("http://www.cnpol.ru/covers/19026.jpg","фото на сайте")</f>
        <v/>
      </c>
    </row>
    <row r="3173" ht="50.1" customHeight="1" s="3">
      <c r="A3173" s="23" t="n"/>
      <c r="B3173" s="24" t="inlineStr">
        <is>
          <t>18934</t>
        </is>
      </c>
      <c r="C3173" s="23" t="inlineStr">
        <is>
          <t>НТ</t>
        </is>
      </c>
      <c r="D3173" s="23" t="inlineStr">
        <is>
          <t>Мартынов О.Н</t>
        </is>
      </c>
      <c r="E3173" s="23" t="inlineStr">
        <is>
          <t>Тот еще космонавт!</t>
        </is>
      </c>
      <c r="F3173" s="23" t="inlineStr">
        <is>
          <t>        </t>
        </is>
      </c>
      <c r="G3173" s="23" t="n">
        <v>554</v>
      </c>
      <c r="H3173" s="23" t="n">
        <v>10</v>
      </c>
      <c r="I3173" s="23" t="n">
        <v>14</v>
      </c>
      <c r="J3173" s="23" t="inlineStr">
        <is>
          <t>978-5-227-08903-8</t>
        </is>
      </c>
      <c r="K3173" s="23" t="inlineStr">
        <is>
          <t>84x108 1/32</t>
        </is>
      </c>
      <c r="L3173" s="23" t="inlineStr">
        <is>
          <t>тв</t>
        </is>
      </c>
      <c r="M3173" s="23" t="n">
        <v>288</v>
      </c>
      <c r="N3173" s="23" t="n">
        <v>2019</v>
      </c>
      <c r="O3173" s="23" t="n">
        <v>255</v>
      </c>
      <c r="P3173" s="23" t="n"/>
      <c r="Q3173" s="23" t="n"/>
      <c r="R3173" s="25" t="n"/>
      <c r="S3173" s="26">
        <f>HYPERLINK("http://www.cnpol.ru/covers/18934.jpg","фото на сайте")</f>
        <v/>
      </c>
    </row>
    <row r="3174" ht="50.1" customHeight="1" s="3">
      <c r="A3174" s="23" t="n"/>
      <c r="B3174" s="24" t="inlineStr">
        <is>
          <t>16928</t>
        </is>
      </c>
      <c r="C3174" s="23" t="inlineStr">
        <is>
          <t>НТ</t>
        </is>
      </c>
      <c r="D3174" s="23" t="inlineStr">
        <is>
          <t>Сахаров В.И.</t>
        </is>
      </c>
      <c r="E3174" s="23" t="inlineStr">
        <is>
          <t>Тропы Трояна</t>
        </is>
      </c>
      <c r="F3174" s="23" t="inlineStr">
        <is>
          <t>        </t>
        </is>
      </c>
      <c r="G3174" s="23" t="n">
        <v>554</v>
      </c>
      <c r="H3174" s="23" t="n">
        <v>10</v>
      </c>
      <c r="I3174" s="23" t="n">
        <v>12</v>
      </c>
      <c r="J3174" s="23" t="inlineStr">
        <is>
          <t>978-5-227-06940-5</t>
        </is>
      </c>
      <c r="K3174" s="23" t="inlineStr">
        <is>
          <t>84x108 1/32</t>
        </is>
      </c>
      <c r="L3174" s="23" t="inlineStr">
        <is>
          <t>тв</t>
        </is>
      </c>
      <c r="M3174" s="23" t="n">
        <v>288</v>
      </c>
      <c r="N3174" s="23" t="n">
        <v>2016</v>
      </c>
      <c r="O3174" s="23" t="n">
        <v>242</v>
      </c>
      <c r="P3174" s="23" t="n"/>
      <c r="Q3174" s="23" t="n"/>
      <c r="R3174" s="25" t="n"/>
      <c r="S3174" s="26">
        <f>HYPERLINK("http://www.cnpol.ru/covers/16928.jpg","фото на сайте")</f>
        <v/>
      </c>
    </row>
    <row r="3175" ht="50.1" customHeight="1" s="3">
      <c r="A3175" s="23" t="n"/>
      <c r="B3175" s="24" t="inlineStr">
        <is>
          <t>18663</t>
        </is>
      </c>
      <c r="C3175" s="23" t="inlineStr">
        <is>
          <t>НТ</t>
        </is>
      </c>
      <c r="D3175" s="23" t="inlineStr">
        <is>
          <t>Дэорсе А.</t>
        </is>
      </c>
      <c r="E3175" s="23" t="inlineStr">
        <is>
          <t>Умереть тысячу раз</t>
        </is>
      </c>
      <c r="F3175" s="23" t="inlineStr">
        <is>
          <t>        </t>
        </is>
      </c>
      <c r="G3175" s="23" t="n">
        <v>554</v>
      </c>
      <c r="H3175" s="23" t="n">
        <v>10</v>
      </c>
      <c r="I3175" s="23" t="n">
        <v>14</v>
      </c>
      <c r="J3175" s="23" t="inlineStr">
        <is>
          <t>978-5-227-08656-3</t>
        </is>
      </c>
      <c r="K3175" s="23" t="inlineStr">
        <is>
          <t>84x108 1/32</t>
        </is>
      </c>
      <c r="L3175" s="23" t="inlineStr">
        <is>
          <t>тв</t>
        </is>
      </c>
      <c r="M3175" s="23" t="n">
        <v>320</v>
      </c>
      <c r="N3175" s="23" t="n">
        <v>2019</v>
      </c>
      <c r="O3175" s="23" t="n">
        <v>274</v>
      </c>
      <c r="P3175" s="23" t="n"/>
      <c r="Q3175" s="23" t="n"/>
      <c r="R3175" s="25" t="n"/>
      <c r="S3175" s="26">
        <f>HYPERLINK("http://www.cnpol.ru/covers/18663.jpg","фото на сайте")</f>
        <v/>
      </c>
    </row>
    <row r="3176" ht="50.1" customHeight="1" s="3">
      <c r="A3176" s="23" t="n"/>
      <c r="B3176" s="24" t="inlineStr">
        <is>
          <t>15290</t>
        </is>
      </c>
      <c r="C3176" s="23" t="inlineStr">
        <is>
          <t>НТ</t>
        </is>
      </c>
      <c r="D3176" s="23" t="inlineStr">
        <is>
          <t>Замковой А.В.</t>
        </is>
      </c>
      <c r="E3176" s="23" t="inlineStr">
        <is>
          <t>Унесенные магией</t>
        </is>
      </c>
      <c r="F3176" s="23" t="inlineStr">
        <is>
          <t>        </t>
        </is>
      </c>
      <c r="G3176" s="23" t="n">
        <v>554</v>
      </c>
      <c r="H3176" s="23" t="n">
        <v>10</v>
      </c>
      <c r="I3176" s="23" t="n">
        <v>14</v>
      </c>
      <c r="J3176" s="23" t="inlineStr">
        <is>
          <t>978-5-227-05308-4</t>
        </is>
      </c>
      <c r="K3176" s="23" t="inlineStr">
        <is>
          <t>82x108 1/32</t>
        </is>
      </c>
      <c r="L3176" s="23" t="inlineStr">
        <is>
          <t>тв</t>
        </is>
      </c>
      <c r="M3176" s="23" t="n">
        <v>317</v>
      </c>
      <c r="N3176" s="23" t="n">
        <v>2014</v>
      </c>
      <c r="O3176" s="23" t="n">
        <v>266</v>
      </c>
      <c r="P3176" s="23" t="n"/>
      <c r="Q3176" s="23" t="n"/>
      <c r="R3176" s="25" t="n"/>
      <c r="S3176" s="26">
        <f>HYPERLINK("http://www.cnpol.ru/covers/15290.jpg","фото на сайте")</f>
        <v/>
      </c>
    </row>
    <row r="3177" ht="50.1" customHeight="1" s="3">
      <c r="A3177" s="23" t="n"/>
      <c r="B3177" s="24" t="inlineStr">
        <is>
          <t>19649</t>
        </is>
      </c>
      <c r="C3177" s="23" t="inlineStr">
        <is>
          <t>НТ</t>
        </is>
      </c>
      <c r="D3177" s="23" t="inlineStr">
        <is>
          <t>Нуртазин С.</t>
        </is>
      </c>
      <c r="E3177" s="23" t="inlineStr">
        <is>
          <t>Уничтожить Бессмертного</t>
        </is>
      </c>
      <c r="F3177" s="23" t="inlineStr">
        <is>
          <t>        </t>
        </is>
      </c>
      <c r="G3177" s="23" t="n">
        <v>554</v>
      </c>
      <c r="H3177" s="23" t="n">
        <v>10</v>
      </c>
      <c r="I3177" s="23" t="n">
        <v>14</v>
      </c>
      <c r="J3177" s="23" t="inlineStr">
        <is>
          <t>978-5-227-09436-0</t>
        </is>
      </c>
      <c r="K3177" s="23" t="inlineStr">
        <is>
          <t>84x108 1/32</t>
        </is>
      </c>
      <c r="L3177" s="23" t="inlineStr">
        <is>
          <t>тв</t>
        </is>
      </c>
      <c r="M3177" s="23" t="n">
        <v>320</v>
      </c>
      <c r="N3177" s="23" t="n">
        <v>2021</v>
      </c>
      <c r="O3177" s="23" t="n">
        <v>270</v>
      </c>
      <c r="P3177" s="23" t="n"/>
      <c r="Q3177" s="23" t="n"/>
      <c r="R3177" s="25" t="n"/>
      <c r="S3177" s="26">
        <f>HYPERLINK("http://www.cnpol.ru/covers/19649.jpg","фото на сайте")</f>
        <v/>
      </c>
    </row>
    <row r="3178" ht="50.1" customHeight="1" s="3">
      <c r="A3178" s="23" t="n"/>
      <c r="B3178" s="24" t="inlineStr">
        <is>
          <t>16447</t>
        </is>
      </c>
      <c r="C3178" s="23" t="inlineStr">
        <is>
          <t>НТ</t>
        </is>
      </c>
      <c r="D3178" s="23" t="inlineStr">
        <is>
          <t>Поселягин В.Г</t>
        </is>
      </c>
      <c r="E3178" s="23" t="inlineStr">
        <is>
          <t>Управленец</t>
        </is>
      </c>
      <c r="F3178" s="23" t="inlineStr">
        <is>
          <t>        </t>
        </is>
      </c>
      <c r="G3178" s="23" t="n">
        <v>554</v>
      </c>
      <c r="H3178" s="23" t="n">
        <v>10</v>
      </c>
      <c r="I3178" s="23" t="n">
        <v>14</v>
      </c>
      <c r="J3178" s="23" t="inlineStr">
        <is>
          <t>978-5-227-06376-2</t>
        </is>
      </c>
      <c r="K3178" s="23" t="inlineStr">
        <is>
          <t>84x108 1/32</t>
        </is>
      </c>
      <c r="L3178" s="23" t="inlineStr">
        <is>
          <t>тв</t>
        </is>
      </c>
      <c r="M3178" s="23" t="n">
        <v>288</v>
      </c>
      <c r="N3178" s="23" t="n">
        <v>2016</v>
      </c>
      <c r="O3178" s="23" t="n">
        <v>254</v>
      </c>
      <c r="P3178" s="23" t="n"/>
      <c r="Q3178" s="23" t="n"/>
      <c r="R3178" s="25" t="n"/>
      <c r="S3178" s="26">
        <f>HYPERLINK("http://www.cnpol.ru/covers/16447.jpg","фото на сайте")</f>
        <v/>
      </c>
    </row>
    <row r="3179" ht="50.1" customHeight="1" s="3">
      <c r="A3179" s="23" t="n"/>
      <c r="B3179" s="24" t="inlineStr">
        <is>
          <t>19028</t>
        </is>
      </c>
      <c r="C3179" s="23" t="inlineStr">
        <is>
          <t>НТ</t>
        </is>
      </c>
      <c r="D3179" s="23" t="inlineStr">
        <is>
          <t>Болховский Д.Л.</t>
        </is>
      </c>
      <c r="E3179" s="23" t="inlineStr">
        <is>
          <t>Ход в Шаолинь</t>
        </is>
      </c>
      <c r="F3179" s="23" t="inlineStr">
        <is>
          <t>        </t>
        </is>
      </c>
      <c r="G3179" s="23" t="n">
        <v>554</v>
      </c>
      <c r="H3179" s="23" t="n">
        <v>10</v>
      </c>
      <c r="I3179" s="23" t="n">
        <v>12</v>
      </c>
      <c r="J3179" s="23" t="inlineStr">
        <is>
          <t>978-5-227-08955-7</t>
        </is>
      </c>
      <c r="K3179" s="23" t="inlineStr">
        <is>
          <t>84x108 1/32</t>
        </is>
      </c>
      <c r="L3179" s="23" t="inlineStr">
        <is>
          <t>тв</t>
        </is>
      </c>
      <c r="M3179" s="23" t="n">
        <v>352</v>
      </c>
      <c r="N3179" s="23" t="n">
        <v>2020</v>
      </c>
      <c r="O3179" s="23" t="n">
        <v>288</v>
      </c>
      <c r="P3179" s="23" t="n"/>
      <c r="Q3179" s="23" t="n"/>
      <c r="R3179" s="25" t="n"/>
      <c r="S3179" s="26">
        <f>HYPERLINK("http://www.cnpol.ru/covers/19028.jpg","фото на сайте")</f>
        <v/>
      </c>
    </row>
    <row r="3180" ht="50.1" customHeight="1" s="3">
      <c r="A3180" s="23" t="n"/>
      <c r="B3180" s="24" t="inlineStr">
        <is>
          <t>19436</t>
        </is>
      </c>
      <c r="C3180" s="23" t="inlineStr">
        <is>
          <t>НТ</t>
        </is>
      </c>
      <c r="D3180" s="23" t="inlineStr">
        <is>
          <t>Гулевич А.М</t>
        </is>
      </c>
      <c r="E3180" s="23" t="inlineStr">
        <is>
          <t>Хортарианский ястреб</t>
        </is>
      </c>
      <c r="F3180" s="23" t="inlineStr">
        <is>
          <t>        </t>
        </is>
      </c>
      <c r="G3180" s="23" t="n">
        <v>554</v>
      </c>
      <c r="H3180" s="23" t="n">
        <v>10</v>
      </c>
      <c r="I3180" s="23" t="n">
        <v>14</v>
      </c>
      <c r="J3180" s="23" t="inlineStr">
        <is>
          <t>978-5-227-09266-3</t>
        </is>
      </c>
      <c r="K3180" s="23" t="inlineStr">
        <is>
          <t>84x108 1/32</t>
        </is>
      </c>
      <c r="L3180" s="23" t="inlineStr">
        <is>
          <t>тв</t>
        </is>
      </c>
      <c r="M3180" s="23" t="n">
        <v>288</v>
      </c>
      <c r="N3180" s="23" t="n">
        <v>2020</v>
      </c>
      <c r="O3180" s="23" t="n">
        <v>254</v>
      </c>
      <c r="P3180" s="23" t="n"/>
      <c r="Q3180" s="23" t="n"/>
      <c r="R3180" s="25" t="n"/>
      <c r="S3180" s="26">
        <f>HYPERLINK("http://www.cnpol.ru/covers/19436.jpg","фото на сайте")</f>
        <v/>
      </c>
    </row>
    <row r="3181" ht="50.1" customHeight="1" s="3">
      <c r="A3181" s="23" t="n"/>
      <c r="B3181" s="24" t="inlineStr">
        <is>
          <t>20348</t>
        </is>
      </c>
      <c r="C3181" s="23" t="inlineStr">
        <is>
          <t>НТ</t>
        </is>
      </c>
      <c r="D3181" s="23" t="inlineStr">
        <is>
          <t>Кацман И.</t>
        </is>
      </c>
      <c r="E3181" s="23" t="inlineStr">
        <is>
          <t>Хрен с Горы</t>
        </is>
      </c>
      <c r="F3181" s="23" t="inlineStr">
        <is>
          <t>        </t>
        </is>
      </c>
      <c r="G3181" s="23" t="n">
        <v>554</v>
      </c>
      <c r="H3181" s="23" t="n">
        <v>10</v>
      </c>
      <c r="I3181" s="23" t="n">
        <v>10</v>
      </c>
      <c r="J3181" s="23" t="inlineStr">
        <is>
          <t>978-5-227-10064-1</t>
        </is>
      </c>
      <c r="K3181" s="23" t="inlineStr">
        <is>
          <t>84x108 1/32</t>
        </is>
      </c>
      <c r="L3181" s="23" t="inlineStr">
        <is>
          <t>тв</t>
        </is>
      </c>
      <c r="M3181" s="23" t="n">
        <v>415</v>
      </c>
      <c r="N3181" s="23" t="n">
        <v>2022</v>
      </c>
      <c r="O3181" s="23" t="n">
        <v>334</v>
      </c>
      <c r="P3181" s="23" t="n"/>
      <c r="Q3181" s="23" t="n"/>
      <c r="R3181" s="25" t="n"/>
      <c r="S3181" s="26">
        <f>HYPERLINK("http://www.cnpol.ru/covers/20348.jpg","фото на сайте")</f>
        <v/>
      </c>
    </row>
    <row r="3182" ht="50.1" customHeight="1" s="3">
      <c r="A3182" s="23" t="n"/>
      <c r="B3182" s="24" t="inlineStr">
        <is>
          <t>18823</t>
        </is>
      </c>
      <c r="C3182" s="23" t="inlineStr">
        <is>
          <t>НТ</t>
        </is>
      </c>
      <c r="D3182" s="23" t="inlineStr">
        <is>
          <t>Вереснев И.</t>
        </is>
      </c>
      <c r="E3182" s="23" t="inlineStr">
        <is>
          <t>Хроники Максима Волгина</t>
        </is>
      </c>
      <c r="F3182" s="23" t="inlineStr">
        <is>
          <t>        </t>
        </is>
      </c>
      <c r="G3182" s="23" t="n">
        <v>554</v>
      </c>
      <c r="H3182" s="23" t="n">
        <v>10</v>
      </c>
      <c r="I3182" s="23" t="n">
        <v>12</v>
      </c>
      <c r="J3182" s="23" t="inlineStr">
        <is>
          <t>978-5-227-08786-7</t>
        </is>
      </c>
      <c r="K3182" s="23" t="inlineStr">
        <is>
          <t>84x108 1/32</t>
        </is>
      </c>
      <c r="L3182" s="23" t="inlineStr">
        <is>
          <t>тв</t>
        </is>
      </c>
      <c r="M3182" s="23" t="n">
        <v>352</v>
      </c>
      <c r="N3182" s="23" t="n">
        <v>2019</v>
      </c>
      <c r="O3182" s="23" t="n">
        <v>252</v>
      </c>
      <c r="P3182" s="23" t="n"/>
      <c r="Q3182" s="23" t="n"/>
      <c r="R3182" s="25" t="n"/>
      <c r="S3182" s="26">
        <f>HYPERLINK("http://www.cnpol.ru/covers/18823.jpg","фото на сайте")</f>
        <v/>
      </c>
    </row>
    <row r="3183" ht="50.1" customHeight="1" s="3">
      <c r="A3183" s="23" t="n"/>
      <c r="B3183" s="24" t="inlineStr">
        <is>
          <t>19435</t>
        </is>
      </c>
      <c r="C3183" s="23" t="inlineStr">
        <is>
          <t>НТ</t>
        </is>
      </c>
      <c r="D3183" s="23" t="inlineStr">
        <is>
          <t>Старинщиков Н.А</t>
        </is>
      </c>
      <c r="E3183" s="23" t="inlineStr">
        <is>
          <t>Цифры нации</t>
        </is>
      </c>
      <c r="F3183" s="23" t="inlineStr">
        <is>
          <t>        </t>
        </is>
      </c>
      <c r="G3183" s="23" t="n">
        <v>554</v>
      </c>
      <c r="H3183" s="23" t="n">
        <v>10</v>
      </c>
      <c r="I3183" s="23" t="n">
        <v>14</v>
      </c>
      <c r="J3183" s="23" t="inlineStr">
        <is>
          <t>978-5-227-09227-4</t>
        </is>
      </c>
      <c r="K3183" s="23" t="inlineStr">
        <is>
          <t>84x108 1/32</t>
        </is>
      </c>
      <c r="L3183" s="23" t="inlineStr">
        <is>
          <t>тв</t>
        </is>
      </c>
      <c r="M3183" s="23" t="n">
        <v>288</v>
      </c>
      <c r="N3183" s="23" t="n">
        <v>2020</v>
      </c>
      <c r="O3183" s="23" t="n">
        <v>258</v>
      </c>
      <c r="P3183" s="23" t="n"/>
      <c r="Q3183" s="23" t="n"/>
      <c r="R3183" s="25" t="n"/>
      <c r="S3183" s="26">
        <f>HYPERLINK("http://www.cnpol.ru/covers/19435.jpg","фото на сайте")</f>
        <v/>
      </c>
    </row>
    <row r="3184" ht="50.1" customHeight="1" s="3">
      <c r="A3184" s="23" t="n"/>
      <c r="B3184" s="24" t="inlineStr">
        <is>
          <t>19098</t>
        </is>
      </c>
      <c r="C3184" s="23" t="inlineStr">
        <is>
          <t>НТ</t>
        </is>
      </c>
      <c r="D3184" s="23" t="inlineStr">
        <is>
          <t>Богданов А.В.</t>
        </is>
      </c>
      <c r="E3184" s="23" t="inlineStr">
        <is>
          <t>Чары Мареллы</t>
        </is>
      </c>
      <c r="F3184" s="23" t="inlineStr">
        <is>
          <t>        </t>
        </is>
      </c>
      <c r="G3184" s="23" t="n">
        <v>554</v>
      </c>
      <c r="H3184" s="23" t="n">
        <v>10</v>
      </c>
      <c r="I3184" s="23" t="n">
        <v>14</v>
      </c>
      <c r="J3184" s="23" t="inlineStr">
        <is>
          <t>978-5-227-08688-4</t>
        </is>
      </c>
      <c r="K3184" s="23" t="inlineStr">
        <is>
          <t>84x108 1/32</t>
        </is>
      </c>
      <c r="L3184" s="23" t="inlineStr">
        <is>
          <t>тв</t>
        </is>
      </c>
      <c r="M3184" s="23" t="n">
        <v>288</v>
      </c>
      <c r="N3184" s="23" t="n">
        <v>2020</v>
      </c>
      <c r="O3184" s="23" t="n">
        <v>258</v>
      </c>
      <c r="P3184" s="23" t="n"/>
      <c r="Q3184" s="23" t="n"/>
      <c r="R3184" s="25" t="n"/>
      <c r="S3184" s="26">
        <f>HYPERLINK("http://www.cnpol.ru/covers/19098.jpg","фото на сайте")</f>
        <v/>
      </c>
    </row>
    <row r="3185" ht="50.1" customHeight="1" s="3">
      <c r="A3185" s="23" t="n"/>
      <c r="B3185" s="24" t="inlineStr">
        <is>
          <t>19162</t>
        </is>
      </c>
      <c r="C3185" s="23" t="inlineStr">
        <is>
          <t>НТ</t>
        </is>
      </c>
      <c r="D3185" s="23" t="inlineStr">
        <is>
          <t>Ньюман Р.</t>
        </is>
      </c>
      <c r="E3185" s="23" t="inlineStr">
        <is>
          <t>Человек-радар</t>
        </is>
      </c>
      <c r="F3185" s="23" t="inlineStr">
        <is>
          <t>        </t>
        </is>
      </c>
      <c r="G3185" s="23" t="n">
        <v>554</v>
      </c>
      <c r="H3185" s="23" t="n">
        <v>10</v>
      </c>
      <c r="I3185" s="23" t="n">
        <v>14</v>
      </c>
      <c r="J3185" s="23" t="inlineStr">
        <is>
          <t>978-5-227-09103-1</t>
        </is>
      </c>
      <c r="K3185" s="23" t="inlineStr">
        <is>
          <t>84x108 1/32</t>
        </is>
      </c>
      <c r="L3185" s="23" t="inlineStr">
        <is>
          <t>тв</t>
        </is>
      </c>
      <c r="M3185" s="23" t="n">
        <v>288</v>
      </c>
      <c r="N3185" s="23" t="n">
        <v>2020</v>
      </c>
      <c r="O3185" s="23" t="n">
        <v>260</v>
      </c>
      <c r="P3185" s="23" t="n"/>
      <c r="Q3185" s="23" t="n"/>
      <c r="R3185" s="25" t="n"/>
      <c r="S3185" s="26">
        <f>HYPERLINK("http://www.cnpol.ru/covers/19162.jpg","фото на сайте")</f>
        <v/>
      </c>
    </row>
    <row r="3186" ht="50.1" customHeight="1" s="3">
      <c r="A3186" s="23" t="n"/>
      <c r="B3186" s="24" t="inlineStr">
        <is>
          <t>18958</t>
        </is>
      </c>
      <c r="C3186" s="23" t="inlineStr">
        <is>
          <t>НТ</t>
        </is>
      </c>
      <c r="D3186" s="23" t="inlineStr">
        <is>
          <t>Махавкин А.А</t>
        </is>
      </c>
      <c r="E3186" s="23" t="inlineStr">
        <is>
          <t>Черепа</t>
        </is>
      </c>
      <c r="F3186" s="23" t="inlineStr">
        <is>
          <t>        </t>
        </is>
      </c>
      <c r="G3186" s="23" t="n">
        <v>554</v>
      </c>
      <c r="H3186" s="23" t="n">
        <v>10</v>
      </c>
      <c r="I3186" s="23" t="n">
        <v>12</v>
      </c>
      <c r="J3186" s="23" t="inlineStr">
        <is>
          <t>978-5-227-08922-9</t>
        </is>
      </c>
      <c r="K3186" s="23" t="inlineStr">
        <is>
          <t>84x108 1/32</t>
        </is>
      </c>
      <c r="L3186" s="23" t="inlineStr">
        <is>
          <t>тв</t>
        </is>
      </c>
      <c r="M3186" s="23" t="n">
        <v>352</v>
      </c>
      <c r="N3186" s="23" t="n">
        <v>2019</v>
      </c>
      <c r="O3186" s="23" t="n">
        <v>352</v>
      </c>
      <c r="P3186" s="23" t="n"/>
      <c r="Q3186" s="23" t="n"/>
      <c r="R3186" s="25" t="n"/>
      <c r="S3186" s="26">
        <f>HYPERLINK("http://www.cnpol.ru/covers/18958.jpg","фото на сайте")</f>
        <v/>
      </c>
    </row>
    <row r="3187" ht="50.1" customHeight="1" s="3">
      <c r="A3187" s="23" t="n"/>
      <c r="B3187" s="24" t="inlineStr">
        <is>
          <t>13382</t>
        </is>
      </c>
      <c r="C3187" s="23" t="inlineStr">
        <is>
          <t>НТ</t>
        </is>
      </c>
      <c r="D3187" s="23" t="inlineStr">
        <is>
          <t>Шеховцов А.А.</t>
        </is>
      </c>
      <c r="E3187" s="23" t="inlineStr">
        <is>
          <t>Черный властелин</t>
        </is>
      </c>
      <c r="F3187" s="23" t="inlineStr">
        <is>
          <t>        </t>
        </is>
      </c>
      <c r="G3187" s="23" t="n">
        <v>554</v>
      </c>
      <c r="H3187" s="23" t="n">
        <v>10</v>
      </c>
      <c r="I3187" s="23" t="n">
        <v>14</v>
      </c>
      <c r="J3187" s="23" t="inlineStr">
        <is>
          <t>978-5-227-03490-8</t>
        </is>
      </c>
      <c r="K3187" s="23" t="inlineStr">
        <is>
          <t>84x108 1/32</t>
        </is>
      </c>
      <c r="L3187" s="23" t="inlineStr">
        <is>
          <t>тв</t>
        </is>
      </c>
      <c r="M3187" s="23" t="n">
        <v>319</v>
      </c>
      <c r="N3187" s="23" t="n">
        <v>2012</v>
      </c>
      <c r="O3187" s="23" t="n">
        <v>270</v>
      </c>
      <c r="P3187" s="23" t="n"/>
      <c r="Q3187" s="23" t="n"/>
      <c r="R3187" s="25" t="n"/>
      <c r="S3187" s="26">
        <f>HYPERLINK("http://www.cnpol.ru/covers/13382.jpg","фото на сайте")</f>
        <v/>
      </c>
    </row>
    <row r="3188" ht="50.1" customHeight="1" s="3">
      <c r="A3188" s="23" t="n"/>
      <c r="B3188" s="24" t="inlineStr">
        <is>
          <t>18486</t>
        </is>
      </c>
      <c r="C3188" s="23" t="inlineStr">
        <is>
          <t>НТ</t>
        </is>
      </c>
      <c r="D3188" s="23" t="inlineStr">
        <is>
          <t>Куприянов Д.В.</t>
        </is>
      </c>
      <c r="E3188" s="23" t="inlineStr">
        <is>
          <t>Четырнадцать - в цель!</t>
        </is>
      </c>
      <c r="F3188" s="23" t="inlineStr">
        <is>
          <t>        </t>
        </is>
      </c>
      <c r="G3188" s="23" t="n">
        <v>554</v>
      </c>
      <c r="H3188" s="23" t="n">
        <v>10</v>
      </c>
      <c r="I3188" s="23" t="n">
        <v>14</v>
      </c>
      <c r="J3188" s="23" t="inlineStr">
        <is>
          <t>978-5-227-08503-0</t>
        </is>
      </c>
      <c r="K3188" s="23" t="inlineStr">
        <is>
          <t>84x108 1/32</t>
        </is>
      </c>
      <c r="L3188" s="23" t="inlineStr">
        <is>
          <t>тв</t>
        </is>
      </c>
      <c r="M3188" s="23" t="n">
        <v>288</v>
      </c>
      <c r="N3188" s="23" t="n">
        <v>2019</v>
      </c>
      <c r="O3188" s="23" t="n">
        <v>252</v>
      </c>
      <c r="P3188" s="23" t="n"/>
      <c r="Q3188" s="23" t="n"/>
      <c r="R3188" s="25" t="n"/>
      <c r="S3188" s="26">
        <f>HYPERLINK("http://www.cnpol.ru/covers/18486.jpg","фото на сайте")</f>
        <v/>
      </c>
    </row>
    <row r="3189" ht="50.1" customHeight="1" s="3">
      <c r="A3189" s="23" t="n"/>
      <c r="B3189" s="24" t="inlineStr">
        <is>
          <t>18035</t>
        </is>
      </c>
      <c r="C3189" s="23" t="inlineStr">
        <is>
          <t>НТ</t>
        </is>
      </c>
      <c r="D3189" s="23" t="inlineStr">
        <is>
          <t>Марченко Г.Б.</t>
        </is>
      </c>
      <c r="E3189" s="23" t="inlineStr">
        <is>
          <t>Чистилище</t>
        </is>
      </c>
      <c r="F3189" s="23" t="inlineStr">
        <is>
          <t>        </t>
        </is>
      </c>
      <c r="G3189" s="23" t="n">
        <v>554</v>
      </c>
      <c r="H3189" s="23" t="n">
        <v>10</v>
      </c>
      <c r="I3189" s="23" t="n">
        <v>14</v>
      </c>
      <c r="J3189" s="23" t="inlineStr">
        <is>
          <t>978-5-227-08124-7</t>
        </is>
      </c>
      <c r="K3189" s="23" t="inlineStr">
        <is>
          <t>84x108 1/32</t>
        </is>
      </c>
      <c r="L3189" s="23" t="inlineStr">
        <is>
          <t>тв</t>
        </is>
      </c>
      <c r="M3189" s="23" t="n">
        <v>320</v>
      </c>
      <c r="N3189" s="23" t="n">
        <v>2018</v>
      </c>
      <c r="O3189" s="23" t="n">
        <v>270</v>
      </c>
      <c r="P3189" s="23" t="n"/>
      <c r="Q3189" s="23" t="n"/>
      <c r="R3189" s="25" t="n"/>
      <c r="S3189" s="26">
        <f>HYPERLINK("http://www.cnpol.ru/covers/18035.jpg","фото на сайте")</f>
        <v/>
      </c>
    </row>
    <row r="3190" ht="50.1" customHeight="1" s="3">
      <c r="A3190" s="23" t="n"/>
      <c r="B3190" s="24" t="inlineStr">
        <is>
          <t>20186</t>
        </is>
      </c>
      <c r="C3190" s="23" t="inlineStr">
        <is>
          <t>НТ</t>
        </is>
      </c>
      <c r="D3190" s="23" t="inlineStr">
        <is>
          <t>Быков С.Н.</t>
        </is>
      </c>
      <c r="E3190" s="23" t="inlineStr">
        <is>
          <t>Шаг в палеолит</t>
        </is>
      </c>
      <c r="F3190" s="23" t="inlineStr">
        <is>
          <t>        </t>
        </is>
      </c>
      <c r="G3190" s="23" t="n">
        <v>554</v>
      </c>
      <c r="H3190" s="23" t="n">
        <v>10</v>
      </c>
      <c r="I3190" s="23" t="n">
        <v>12</v>
      </c>
      <c r="J3190" s="23" t="inlineStr">
        <is>
          <t>978-5-227-09941-9</t>
        </is>
      </c>
      <c r="K3190" s="23" t="inlineStr">
        <is>
          <t>84x108 1/32</t>
        </is>
      </c>
      <c r="L3190" s="23" t="inlineStr">
        <is>
          <t>тв</t>
        </is>
      </c>
      <c r="M3190" s="23" t="n">
        <v>383</v>
      </c>
      <c r="N3190" s="23" t="n">
        <v>2022</v>
      </c>
      <c r="O3190" s="23" t="n">
        <v>382</v>
      </c>
      <c r="P3190" s="23" t="n"/>
      <c r="Q3190" s="23" t="n"/>
      <c r="R3190" s="25" t="n"/>
      <c r="S3190" s="26">
        <f>HYPERLINK("http://www.cnpol.ru/covers/20186.jpg","фото на сайте")</f>
        <v/>
      </c>
    </row>
    <row r="3191" ht="50.1" customHeight="1" s="3">
      <c r="A3191" s="23" t="n"/>
      <c r="B3191" s="24" t="inlineStr">
        <is>
          <t>18400</t>
        </is>
      </c>
      <c r="C3191" s="23" t="inlineStr">
        <is>
          <t>НТ</t>
        </is>
      </c>
      <c r="D3191" s="23" t="inlineStr">
        <is>
          <t>Поселягин В.Г</t>
        </is>
      </c>
      <c r="E3191" s="23" t="inlineStr">
        <is>
          <t>Шатун</t>
        </is>
      </c>
      <c r="F3191" s="23" t="inlineStr">
        <is>
          <t>        </t>
        </is>
      </c>
      <c r="G3191" s="23" t="n">
        <v>554</v>
      </c>
      <c r="H3191" s="23" t="n">
        <v>10</v>
      </c>
      <c r="I3191" s="23" t="n">
        <v>16</v>
      </c>
      <c r="J3191" s="23" t="inlineStr">
        <is>
          <t>978-5-227-08406-4</t>
        </is>
      </c>
      <c r="K3191" s="23" t="inlineStr">
        <is>
          <t>84x108 1/32</t>
        </is>
      </c>
      <c r="L3191" s="23" t="inlineStr">
        <is>
          <t>тв</t>
        </is>
      </c>
      <c r="M3191" s="23" t="n">
        <v>288</v>
      </c>
      <c r="N3191" s="23" t="n">
        <v>2018</v>
      </c>
      <c r="O3191" s="23" t="n">
        <v>256</v>
      </c>
      <c r="P3191" s="23" t="n"/>
      <c r="Q3191" s="23" t="n"/>
      <c r="R3191" s="25" t="n"/>
      <c r="S3191" s="26">
        <f>HYPERLINK("http://www.cnpol.ru/covers/18400.jpg","фото на сайте")</f>
        <v/>
      </c>
    </row>
    <row r="3192" ht="50.1" customHeight="1" s="3">
      <c r="A3192" s="23" t="n"/>
      <c r="B3192" s="24" t="inlineStr">
        <is>
          <t>17376</t>
        </is>
      </c>
      <c r="C3192" s="23" t="inlineStr">
        <is>
          <t>НТ</t>
        </is>
      </c>
      <c r="D3192" s="23" t="inlineStr">
        <is>
          <t>Авраменко А., Гетто В.</t>
        </is>
      </c>
      <c r="E3192" s="23" t="inlineStr">
        <is>
          <t>Экспансия</t>
        </is>
      </c>
      <c r="F3192" s="23" t="inlineStr">
        <is>
          <t>        </t>
        </is>
      </c>
      <c r="G3192" s="23" t="n">
        <v>554</v>
      </c>
      <c r="H3192" s="23" t="n">
        <v>10</v>
      </c>
      <c r="I3192" s="23" t="n">
        <v>14</v>
      </c>
      <c r="J3192" s="23" t="inlineStr">
        <is>
          <t>978-5-227-07442-3</t>
        </is>
      </c>
      <c r="K3192" s="23" t="inlineStr">
        <is>
          <t>84x108 1/32</t>
        </is>
      </c>
      <c r="L3192" s="23" t="inlineStr">
        <is>
          <t>тв</t>
        </is>
      </c>
      <c r="M3192" s="23" t="n">
        <v>320</v>
      </c>
      <c r="N3192" s="23" t="n">
        <v>2017</v>
      </c>
      <c r="O3192" s="23" t="n">
        <v>274</v>
      </c>
      <c r="P3192" s="23" t="n"/>
      <c r="Q3192" s="23" t="n"/>
      <c r="R3192" s="25" t="n"/>
      <c r="S3192" s="26">
        <f>HYPERLINK("http://www.cnpol.ru/covers/17376.jpg","фото на сайте")</f>
        <v/>
      </c>
    </row>
    <row r="3193" ht="50.1" customHeight="1" s="3">
      <c r="A3193" s="23" t="n"/>
      <c r="B3193" s="24" t="inlineStr">
        <is>
          <t>19452</t>
        </is>
      </c>
      <c r="C3193" s="23" t="inlineStr">
        <is>
          <t>НТ</t>
        </is>
      </c>
      <c r="D3193" s="23" t="inlineStr">
        <is>
          <t>Бектурганов А.</t>
        </is>
      </c>
      <c r="E3193" s="23" t="inlineStr">
        <is>
          <t>Энуэмент</t>
        </is>
      </c>
      <c r="F3193" s="23" t="inlineStr">
        <is>
          <t>        </t>
        </is>
      </c>
      <c r="G3193" s="23" t="n">
        <v>554</v>
      </c>
      <c r="H3193" s="23" t="n">
        <v>10</v>
      </c>
      <c r="I3193" s="23" t="n">
        <v>14</v>
      </c>
      <c r="J3193" s="23" t="inlineStr">
        <is>
          <t>978-5-227-09279-3</t>
        </is>
      </c>
      <c r="K3193" s="23" t="inlineStr">
        <is>
          <t>84x108 1/32</t>
        </is>
      </c>
      <c r="L3193" s="23" t="inlineStr">
        <is>
          <t>тв</t>
        </is>
      </c>
      <c r="M3193" s="23" t="n">
        <v>319</v>
      </c>
      <c r="N3193" s="23" t="n">
        <v>2021</v>
      </c>
      <c r="O3193" s="23" t="n">
        <v>272</v>
      </c>
      <c r="P3193" s="23" t="n"/>
      <c r="Q3193" s="23" t="n"/>
      <c r="R3193" s="25" t="n"/>
      <c r="S3193" s="26">
        <f>HYPERLINK("http://www.cnpol.ru/covers/19452.jpg","фото на сайте")</f>
        <v/>
      </c>
    </row>
    <row r="3194" ht="50.1" customHeight="1" s="3">
      <c r="A3194" s="23" t="n"/>
      <c r="B3194" s="24" t="inlineStr">
        <is>
          <t>13401</t>
        </is>
      </c>
      <c r="C3194" s="23" t="inlineStr">
        <is>
          <t>НТ</t>
        </is>
      </c>
      <c r="D3194" s="23" t="inlineStr">
        <is>
          <t>Ланцов М.А.</t>
        </is>
      </c>
      <c r="E3194" s="23" t="inlineStr">
        <is>
          <t>Эрик. Железом и кровью</t>
        </is>
      </c>
      <c r="F3194" s="23" t="inlineStr">
        <is>
          <t>        </t>
        </is>
      </c>
      <c r="G3194" s="23" t="n">
        <v>554</v>
      </c>
      <c r="H3194" s="23" t="n">
        <v>10</v>
      </c>
      <c r="I3194" s="23" t="n">
        <v>14</v>
      </c>
      <c r="J3194" s="23" t="inlineStr">
        <is>
          <t>978-5-227-03562-2</t>
        </is>
      </c>
      <c r="K3194" s="23" t="inlineStr">
        <is>
          <t>84x108 1/32</t>
        </is>
      </c>
      <c r="L3194" s="23" t="inlineStr">
        <is>
          <t>тв</t>
        </is>
      </c>
      <c r="M3194" s="23" t="n">
        <v>319</v>
      </c>
      <c r="N3194" s="23" t="n">
        <v>2012</v>
      </c>
      <c r="O3194" s="23" t="n">
        <v>262</v>
      </c>
      <c r="P3194" s="23" t="n"/>
      <c r="Q3194" s="23" t="n"/>
      <c r="R3194" s="25" t="n"/>
      <c r="S3194" s="26">
        <f>HYPERLINK("http://www.cnpol.ru/covers/13401.jpg","фото на сайте")</f>
        <v/>
      </c>
    </row>
    <row r="3195" ht="50.1" customHeight="1" s="3">
      <c r="A3195" s="23" t="n"/>
      <c r="B3195" s="24" t="inlineStr">
        <is>
          <t>17950</t>
        </is>
      </c>
      <c r="C3195" s="23" t="inlineStr">
        <is>
          <t>НТ</t>
        </is>
      </c>
      <c r="D3195" s="23" t="inlineStr">
        <is>
          <t>О' Санчес</t>
        </is>
      </c>
      <c r="E3195" s="23" t="inlineStr">
        <is>
          <t>Я Кирпич</t>
        </is>
      </c>
      <c r="F3195" s="23" t="inlineStr">
        <is>
          <t>        </t>
        </is>
      </c>
      <c r="G3195" s="23" t="n">
        <v>554</v>
      </c>
      <c r="H3195" s="23" t="n">
        <v>10</v>
      </c>
      <c r="I3195" s="23" t="n">
        <v>12</v>
      </c>
      <c r="J3195" s="23" t="inlineStr">
        <is>
          <t>978-5-227-08063-9</t>
        </is>
      </c>
      <c r="K3195" s="23" t="inlineStr">
        <is>
          <t>84x108 1/32</t>
        </is>
      </c>
      <c r="L3195" s="23" t="inlineStr">
        <is>
          <t>тв</t>
        </is>
      </c>
      <c r="M3195" s="23" t="n">
        <v>384</v>
      </c>
      <c r="N3195" s="23" t="n">
        <v>2018</v>
      </c>
      <c r="O3195" s="23" t="n">
        <v>300</v>
      </c>
      <c r="P3195" s="23" t="n"/>
      <c r="Q3195" s="23" t="n"/>
      <c r="R3195" s="25" t="n"/>
      <c r="S3195" s="26">
        <f>HYPERLINK("http://www.cnpol.ru/covers/17950.jpg","фото на сайте")</f>
        <v/>
      </c>
    </row>
    <row r="3196" ht="50.1" customHeight="1" s="3">
      <c r="A3196" s="23" t="n"/>
      <c r="B3196" s="24" t="inlineStr">
        <is>
          <t>17241</t>
        </is>
      </c>
      <c r="C3196" s="23" t="inlineStr">
        <is>
          <t>НТ</t>
        </is>
      </c>
      <c r="D3196" s="23" t="inlineStr">
        <is>
          <t>Макменде Д.</t>
        </is>
      </c>
      <c r="E3196" s="23" t="inlineStr">
        <is>
          <t>Я, Рейван</t>
        </is>
      </c>
      <c r="F3196" s="23" t="inlineStr">
        <is>
          <t>        </t>
        </is>
      </c>
      <c r="G3196" s="23" t="n">
        <v>554</v>
      </c>
      <c r="H3196" s="23" t="n">
        <v>10</v>
      </c>
      <c r="I3196" s="23" t="n">
        <v>10</v>
      </c>
      <c r="J3196" s="23" t="inlineStr">
        <is>
          <t>978-5-227-07307-5</t>
        </is>
      </c>
      <c r="K3196" s="23" t="inlineStr">
        <is>
          <t>84x108 1/32</t>
        </is>
      </c>
      <c r="L3196" s="23" t="inlineStr">
        <is>
          <t>тв</t>
        </is>
      </c>
      <c r="M3196" s="23" t="n">
        <v>384</v>
      </c>
      <c r="N3196" s="23" t="n">
        <v>2016</v>
      </c>
      <c r="O3196" s="23" t="n">
        <v>284</v>
      </c>
      <c r="P3196" s="23" t="n"/>
      <c r="Q3196" s="23" t="n"/>
      <c r="R3196" s="25" t="n"/>
      <c r="S3196" s="26">
        <f>HYPERLINK("http://www.cnpol.ru/covers/17241.jpg","фото на сайте")</f>
        <v/>
      </c>
    </row>
    <row r="3197" ht="50.1" customHeight="1" s="3">
      <c r="A3197" s="23" t="inlineStr">
        <is>
          <t>Д</t>
        </is>
      </c>
      <c r="B3197" s="24" t="inlineStr">
        <is>
          <t>21452</t>
        </is>
      </c>
      <c r="C3197" s="23" t="inlineStr">
        <is>
          <t>ОИ</t>
        </is>
      </c>
      <c r="D3197" s="23" t="inlineStr">
        <is>
          <t>Мочульский К.В.</t>
        </is>
      </c>
      <c r="E3197" s="23" t="inlineStr">
        <is>
          <t>Александр Блок</t>
        </is>
      </c>
      <c r="F3197" s="23" t="inlineStr">
        <is>
          <t>        </t>
        </is>
      </c>
      <c r="G3197" s="27" t="n">
        <v>1319</v>
      </c>
      <c r="H3197" s="23" t="n">
        <v>10</v>
      </c>
      <c r="I3197" s="23" t="n">
        <v>5</v>
      </c>
      <c r="J3197" s="23" t="inlineStr">
        <is>
          <t>978-5-227-10948-4</t>
        </is>
      </c>
      <c r="K3197" s="23" t="inlineStr">
        <is>
          <t>84x108 1/32</t>
        </is>
      </c>
      <c r="L3197" s="23" t="inlineStr">
        <is>
          <t>тв</t>
        </is>
      </c>
      <c r="M3197" s="23" t="n">
        <v>543</v>
      </c>
      <c r="N3197" s="23" t="n">
        <v>2025</v>
      </c>
      <c r="O3197" s="23" t="n">
        <v>546</v>
      </c>
      <c r="P3197" s="23" t="n"/>
      <c r="Q3197" s="23" t="n"/>
      <c r="R3197" s="25" t="inlineStr">
        <is>
          <t>Книга литературоведа Константина Васильевича Мочульского посвящена жизни и творчеству одного из крупнейших представителей русского символизма Александра Блока. Автор прослеживает жизненный путь поэта с детских лет до последних дней жизни, рассказывает о его творческой деятельности, анализирует произведения, уделяя особое внимание проблемам философского содержания творчества А. Блока.</t>
        </is>
      </c>
      <c r="S3197" s="26">
        <f>HYPERLINK("http://www.cnpol.ru/covers/21452.jpg","фото на сайте")</f>
        <v/>
      </c>
    </row>
    <row r="3198" ht="50.1" customHeight="1" s="3">
      <c r="A3198" s="23" t="n"/>
      <c r="B3198" s="24" t="inlineStr">
        <is>
          <t>18093</t>
        </is>
      </c>
      <c r="C3198" s="23" t="inlineStr">
        <is>
          <t>ОИ</t>
        </is>
      </c>
      <c r="D3198" s="23" t="inlineStr">
        <is>
          <t>Грейвс У.</t>
        </is>
      </c>
      <c r="E3198" s="23" t="inlineStr">
        <is>
          <t>Американская интервенция в Сибири. 1918—1920. Воспоминания командующего экспедиционным корпусом</t>
        </is>
      </c>
      <c r="F3198" s="23" t="inlineStr">
        <is>
          <t>        </t>
        </is>
      </c>
      <c r="G3198" s="23" t="n">
        <v>508</v>
      </c>
      <c r="H3198" s="23" t="n">
        <v>10</v>
      </c>
      <c r="I3198" s="23" t="n">
        <v>14</v>
      </c>
      <c r="J3198" s="23" t="inlineStr">
        <is>
          <t>978-5-9524-5294-7</t>
        </is>
      </c>
      <c r="K3198" s="23" t="inlineStr">
        <is>
          <t>84x108 1/32</t>
        </is>
      </c>
      <c r="L3198" s="23" t="inlineStr">
        <is>
          <t>тв</t>
        </is>
      </c>
      <c r="M3198" s="23" t="n">
        <v>288</v>
      </c>
      <c r="N3198" s="23" t="n">
        <v>2018</v>
      </c>
      <c r="O3198" s="23" t="n">
        <v>254</v>
      </c>
      <c r="P3198" s="23" t="n"/>
      <c r="Q3198" s="23" t="n"/>
      <c r="R3198" s="25" t="inlineStr">
        <is>
          <t>Командующий американским экспедиционным корпусом в Сибири во время Гражданской войны в России генерал Уильям Грейвс в своих воспоминаниях описывает обстоятельства и причины, которые заставили президента Соединенных Штатов Вильсона присоединиться к решению стран Антанты об интервенции, а также причины, которые, по его мнению, привели к ее провалу. В книге приводится множество примеров действий Англии, Франции и Японии, дока­зывающих, что реальные поступки этих держав су­щественно рас­ходились с заявленными целями, а также примеры, раскрывающие роль Госдепартамента и Красного Креста США во время пребывания американских войск в Сибири.</t>
        </is>
      </c>
      <c r="S3198" s="26">
        <f>HYPERLINK("http://www.cnpol.ru/covers/18093.jpg","фото на сайте")</f>
        <v/>
      </c>
    </row>
    <row r="3199" ht="50.1" customHeight="1" s="3">
      <c r="A3199" s="23" t="n"/>
      <c r="B3199" s="24" t="inlineStr">
        <is>
          <t>18036</t>
        </is>
      </c>
      <c r="C3199" s="23" t="inlineStr">
        <is>
          <t>ОИ</t>
        </is>
      </c>
      <c r="D3199" s="23" t="inlineStr">
        <is>
          <t>Эплби Д.Т.</t>
        </is>
      </c>
      <c r="E3199" s="23" t="inlineStr">
        <is>
          <t>Англия времен Ричарда Львиное Сердце</t>
        </is>
      </c>
      <c r="F3199" s="23" t="inlineStr">
        <is>
          <t>        </t>
        </is>
      </c>
      <c r="G3199" s="23" t="n">
        <v>508</v>
      </c>
      <c r="H3199" s="23" t="n">
        <v>10</v>
      </c>
      <c r="I3199" s="23" t="n">
        <v>16</v>
      </c>
      <c r="J3199" s="23" t="inlineStr">
        <is>
          <t>978-5-9524-5314-2</t>
        </is>
      </c>
      <c r="K3199" s="23" t="inlineStr">
        <is>
          <t>84x108 1/32</t>
        </is>
      </c>
      <c r="L3199" s="23" t="inlineStr">
        <is>
          <t>тв</t>
        </is>
      </c>
      <c r="M3199" s="23" t="n">
        <v>256</v>
      </c>
      <c r="N3199" s="23" t="n">
        <v>2018</v>
      </c>
      <c r="O3199" s="23" t="n">
        <v>234</v>
      </c>
      <c r="P3199" s="23" t="n"/>
      <c r="Q3199" s="23" t="n"/>
      <c r="R3199" s="25" t="inlineStr">
        <is>
          <t>Король­крестоносец Ричард I был истинным рыцарем, прирожденным полководцем и несравненным воином. С львиной храб­ростью он боролся за свои владения на континенте, сражался с неверными в бесплодных пустынях Святой земли. Ричард никогда не правил Англией так, как его отец, монарх­реформатор Генрих II, или так, как его брат, сумасбродный король Иоанн. На целое десятилетие Англия стала королевством без короля. Ричард провел в стране всего шесть месяцев, однако за годы его правления было сделано немало в совершенствовании законодательной, административной и финансовой системы. Это стало возможным благодаря ярким личностям, на которых было возложено управление государст­вом. Автор приводит много интересных фактов, а также использует цитаты из воспоминаний свидетелей той далекой эпохи и выдержки из трудов знаменитых хронистов.</t>
        </is>
      </c>
      <c r="S3199" s="26">
        <f>HYPERLINK("http://www.cnpol.ru/covers/18036.jpg","фото на сайте")</f>
        <v/>
      </c>
    </row>
    <row r="3200" ht="50.1" customHeight="1" s="3">
      <c r="A3200" s="23" t="inlineStr">
        <is>
          <t>Н</t>
        </is>
      </c>
      <c r="B3200" s="24" t="inlineStr">
        <is>
          <t>21023</t>
        </is>
      </c>
      <c r="C3200" s="23" t="inlineStr">
        <is>
          <t>ОИ</t>
        </is>
      </c>
      <c r="D3200" s="23" t="inlineStr">
        <is>
          <t>Мочульский К.В.</t>
        </is>
      </c>
      <c r="E3200" s="23" t="inlineStr">
        <is>
          <t>Андрей Белый. Новаторское творчество и личные катастрофы знаменитого поэта и писателя-символиста</t>
        </is>
      </c>
      <c r="F3200" s="23" t="inlineStr">
        <is>
          <t>        </t>
        </is>
      </c>
      <c r="G3200" s="23" t="n">
        <v>936</v>
      </c>
      <c r="H3200" s="23" t="n">
        <v>10</v>
      </c>
      <c r="I3200" s="23" t="n">
        <v>14</v>
      </c>
      <c r="J3200" s="23" t="inlineStr">
        <is>
          <t>978-5-227-10602-5</t>
        </is>
      </c>
      <c r="K3200" s="23" t="inlineStr">
        <is>
          <t>84x108 1/32</t>
        </is>
      </c>
      <c r="L3200" s="23" t="inlineStr">
        <is>
          <t>тв</t>
        </is>
      </c>
      <c r="M3200" s="23" t="n">
        <v>287</v>
      </c>
      <c r="N3200" s="23" t="n">
        <v>2024</v>
      </c>
      <c r="O3200" s="23" t="n">
        <v>339</v>
      </c>
      <c r="P3200" s="23" t="n"/>
      <c r="Q3200" s="23" t="n"/>
      <c r="R3200" s="25" t="inlineStr">
        <is>
          <t>Книга литературоведа Константина Васильевича Мочульского посвящена жизни и творчеству известного русского символиста Андрея Белого. Автор прослеживает жизненный путь поэта с детских лет до последних дней жизни, рассказывает о его творческой деятельности и взаимоотношениях с товарищами по литературному цеху, уделяя особое внимание проблемам философского содержания его творчества.</t>
        </is>
      </c>
      <c r="S3200" s="26">
        <f>HYPERLINK("http://www.cnpol.ru/covers/21023.jpg","фото на сайте")</f>
        <v/>
      </c>
    </row>
    <row r="3201" ht="50.1" customHeight="1" s="3">
      <c r="A3201" s="23" t="n"/>
      <c r="B3201" s="24" t="inlineStr">
        <is>
          <t>16858</t>
        </is>
      </c>
      <c r="C3201" s="23" t="inlineStr">
        <is>
          <t>ОИ</t>
        </is>
      </c>
      <c r="D3201" s="23" t="inlineStr">
        <is>
          <t>Зобнин Ю.В</t>
        </is>
      </c>
      <c r="E3201" s="23" t="inlineStr">
        <is>
          <t>Анна Ахматова. Юные годы царскосельской музы</t>
        </is>
      </c>
      <c r="F3201" s="23" t="inlineStr">
        <is>
          <t>        </t>
        </is>
      </c>
      <c r="G3201" s="27" t="n">
        <v>1075</v>
      </c>
      <c r="H3201" s="23" t="n">
        <v>10</v>
      </c>
      <c r="I3201" s="23" t="n">
        <v>10</v>
      </c>
      <c r="J3201" s="23" t="inlineStr">
        <is>
          <t>978-5-227-06893-4</t>
        </is>
      </c>
      <c r="K3201" s="23" t="inlineStr">
        <is>
          <t>84x108 1/32</t>
        </is>
      </c>
      <c r="L3201" s="23" t="inlineStr">
        <is>
          <t>тв</t>
        </is>
      </c>
      <c r="M3201" s="23" t="n">
        <v>544</v>
      </c>
      <c r="N3201" s="23" t="n">
        <v>2016</v>
      </c>
      <c r="O3201" s="23" t="n">
        <v>560</v>
      </c>
      <c r="P3201" s="23" t="n"/>
      <c r="Q3201" s="23" t="n"/>
      <c r="R3201" s="25" t="inlineStr">
        <is>
          <t>От первых публикаций Анны Ахматовой до настоящего времени её творчество, и удивительная судьба неизменно привлекают интерес всех поклонников русской литературы. Однако путь Ахматовой к триумфальному поэтическому дебюту всегда был окружён таинственностью. По её собственным словам, «когда в 1910 г. люди встречали двадцатилетнюю жену Н. Гумилёва, бледную, темноволосую, очень стройную, с красивыми руками и бурбонским профилем, то едва ли приходило в голову, что у этого существа за плечами уже очень большая и страшная жизнь». Новая книга петербургского литератора и историка Серебряного века Юрия Зобнина — первый подробный рассказ о жизни Ахматовой до литературного признания, жизни, полной драматических событий, тесно переплетённых с историческими триумфами и катастрофами Российской империи конца XIX — начала XX века. Настоящее издание, рассчитанное на широкий круг читателей, выходит в юбилейный год 50-летия со дня кончины Анны Ахматовой и открывает цикл книг Юрия Зобнина, посвящённых жизнеописанию великого поэта России.</t>
        </is>
      </c>
      <c r="S3201" s="26">
        <f>HYPERLINK("http://www.cnpol.ru/covers/16858.jpg","фото на сайте")</f>
        <v/>
      </c>
    </row>
    <row r="3202" ht="50.1" customHeight="1" s="3">
      <c r="A3202" s="23" t="n"/>
      <c r="B3202" s="24" t="inlineStr">
        <is>
          <t>17427</t>
        </is>
      </c>
      <c r="C3202" s="23" t="inlineStr">
        <is>
          <t>ОИ</t>
        </is>
      </c>
      <c r="D3202" s="23" t="inlineStr">
        <is>
          <t>Качан В.</t>
        </is>
      </c>
      <c r="E3202" s="23" t="inlineStr">
        <is>
          <t>Аплодисменты после...</t>
        </is>
      </c>
      <c r="F3202" s="23" t="inlineStr">
        <is>
          <t>        </t>
        </is>
      </c>
      <c r="G3202" s="23" t="n">
        <v>534</v>
      </c>
      <c r="H3202" s="23" t="n">
        <v>10</v>
      </c>
      <c r="I3202" s="23" t="n">
        <v>16</v>
      </c>
      <c r="J3202" s="23" t="inlineStr">
        <is>
          <t>978-5-227-07267-2</t>
        </is>
      </c>
      <c r="K3202" s="23" t="inlineStr">
        <is>
          <t>70x108 1/32</t>
        </is>
      </c>
      <c r="L3202" s="23" t="inlineStr">
        <is>
          <t>тв</t>
        </is>
      </c>
      <c r="M3202" s="23" t="n">
        <v>224</v>
      </c>
      <c r="N3202" s="23" t="n">
        <v>2017</v>
      </c>
      <c r="O3202" s="23" t="n">
        <v>220</v>
      </c>
      <c r="P3202" s="23" t="n"/>
      <c r="Q3202" s="23" t="n"/>
      <c r="R3202" s="25" t="inlineStr">
        <is>
          <t>Название этой книги «Аплодисменты после...» - правильное, отвечающее содержанию, но не полное. Потому что персонажи этой книги по-прежнему действуют на наше воображение, наши чувства, наши привязанности и антипатии. Они продолжают жить с нами, и на всякий раз, когда нам удается встретиться с ним на экране, в книге, и в чьем-то живом рассказе, мы с радостью еще и еще раз аплодируем им, понимая. Что каждый из них сделал нашу жизнь богаче и праздничнее.</t>
        </is>
      </c>
      <c r="S3202" s="26">
        <f>HYPERLINK("http://www.cnpol.ru/covers/17427.jpg","фото на сайте")</f>
        <v/>
      </c>
    </row>
    <row r="3203" ht="50.1" customHeight="1" s="3">
      <c r="A3203" s="23" t="n"/>
      <c r="B3203" s="24" t="inlineStr">
        <is>
          <t>17721</t>
        </is>
      </c>
      <c r="C3203" s="23" t="inlineStr">
        <is>
          <t>ОИ</t>
        </is>
      </c>
      <c r="D3203" s="23" t="inlineStr">
        <is>
          <t>Мокиенко В.М</t>
        </is>
      </c>
      <c r="E3203" s="23" t="inlineStr">
        <is>
          <t>Библеизмы в современной русской речи</t>
        </is>
      </c>
      <c r="F3203" s="23" t="inlineStr">
        <is>
          <t>        </t>
        </is>
      </c>
      <c r="G3203" s="23" t="n">
        <v>347</v>
      </c>
      <c r="H3203" s="23" t="n">
        <v>10</v>
      </c>
      <c r="I3203" s="23" t="n">
        <v>14</v>
      </c>
      <c r="J3203" s="23" t="inlineStr">
        <is>
          <t>978-5-227-07554-3</t>
        </is>
      </c>
      <c r="K3203" s="23" t="inlineStr">
        <is>
          <t>84x108 1/32 (обл)</t>
        </is>
      </c>
      <c r="L3203" s="23" t="inlineStr">
        <is>
          <t>мяг</t>
        </is>
      </c>
      <c r="M3203" s="23" t="n">
        <v>240</v>
      </c>
      <c r="N3203" s="23" t="n">
        <v>2017</v>
      </c>
      <c r="O3203" s="23" t="n">
        <v>151</v>
      </c>
      <c r="P3203" s="23" t="n"/>
      <c r="Q3203" s="23" t="n"/>
      <c r="R3203" s="25" t="inlineStr">
        <is>
          <t>Предлагаем читателям очередную книгу доктора филологических наук В.М. Мокиенко. Она адресована тем, кто желает излагать мысли ясно, говорить красочно и грамотно. Эта книга посвящена библеизмам — лексическим, фразеологическим и афористическим единицам разного типа, вошедшим в русский язык из Библии или возникшим на её основе._x000D_
Как часто мы произносим фразы, не задумываясь об их происхождении, например: метать бисер перед свиньями, глас вопиющего в пустыне, служить двум господам, изливать душу, ни на йоту, корень зла, внести свою лепту, манна небесная, злачное место, запретный плод сладок… А ведь все эти и многие другие часто употребляемые и вроде бы знакомые слова пришли к нам из Великой Книги — Библии!_x000D_
Основной трудностью употребления библеизмов является неточное или ошибочное знание их первоисточника, а также неверное воспроизведение их формы и содержания, что разрушает или искажает историческую и культурологическую информацию, которая аккумулирована в них. Чтобы этого не произошло, читайте книгу!</t>
        </is>
      </c>
      <c r="S3203" s="26">
        <f>HYPERLINK("http://www.cnpol.ru/covers/17721.jpg","фото на сайте")</f>
        <v/>
      </c>
    </row>
    <row r="3204" ht="50.1" customHeight="1" s="3">
      <c r="A3204" s="23" t="n"/>
      <c r="B3204" s="24" t="inlineStr">
        <is>
          <t>16890</t>
        </is>
      </c>
      <c r="C3204" s="23" t="inlineStr">
        <is>
          <t>ОИ</t>
        </is>
      </c>
      <c r="D3204" s="23" t="inlineStr">
        <is>
          <t>Троицкий С.</t>
        </is>
      </c>
      <c r="E3204" s="23" t="inlineStr">
        <is>
          <t>Битва за водку</t>
        </is>
      </c>
      <c r="F3204" s="23" t="inlineStr">
        <is>
          <t>        </t>
        </is>
      </c>
      <c r="G3204" s="23" t="n">
        <v>743</v>
      </c>
      <c r="H3204" s="23" t="n">
        <v>10</v>
      </c>
      <c r="I3204" s="23" t="n">
        <v>16</v>
      </c>
      <c r="J3204" s="23" t="inlineStr">
        <is>
          <t>978-5-227-06581-0</t>
        </is>
      </c>
      <c r="K3204" s="23" t="inlineStr">
        <is>
          <t>84x108 1/32</t>
        </is>
      </c>
      <c r="L3204" s="23" t="inlineStr">
        <is>
          <t>тв</t>
        </is>
      </c>
      <c r="M3204" s="23" t="n">
        <v>368</v>
      </c>
      <c r="N3204" s="23" t="n">
        <v>2016</v>
      </c>
      <c r="O3204" s="23" t="n">
        <v>402</v>
      </c>
      <c r="P3204" s="23" t="n"/>
      <c r="Q3204" s="23" t="n"/>
      <c r="R3204" s="25" t="n"/>
      <c r="S3204" s="26">
        <f>HYPERLINK("http://www.cnpol.ru/covers/16890.jpg","фото на сайте")</f>
        <v/>
      </c>
    </row>
    <row r="3205" ht="50.1" customHeight="1" s="3">
      <c r="A3205" s="23" t="n"/>
      <c r="B3205" s="24" t="inlineStr">
        <is>
          <t>17541</t>
        </is>
      </c>
      <c r="C3205" s="23" t="inlineStr">
        <is>
          <t>ОИ</t>
        </is>
      </c>
      <c r="D3205" s="23" t="inlineStr">
        <is>
          <t>Дегтев Д., Зубов Д.</t>
        </is>
      </c>
      <c r="E3205" s="23" t="inlineStr">
        <is>
          <t>Борис Немцов. Слишком неизвестный человек. Отповедь бунтарю.</t>
        </is>
      </c>
      <c r="F3205" s="23" t="inlineStr">
        <is>
          <t>        </t>
        </is>
      </c>
      <c r="G3205" s="23" t="n">
        <v>593</v>
      </c>
      <c r="H3205" s="23" t="n">
        <v>10</v>
      </c>
      <c r="I3205" s="23" t="n">
        <v>12</v>
      </c>
      <c r="J3205" s="23" t="inlineStr">
        <is>
          <t>978-5-227-07588-8</t>
        </is>
      </c>
      <c r="K3205" s="23" t="inlineStr">
        <is>
          <t>84x108 1/32</t>
        </is>
      </c>
      <c r="L3205" s="23" t="inlineStr">
        <is>
          <t>тв</t>
        </is>
      </c>
      <c r="M3205" s="23" t="n">
        <v>352</v>
      </c>
      <c r="N3205" s="23" t="n">
        <v>2017</v>
      </c>
      <c r="O3205" s="23" t="n">
        <v>370</v>
      </c>
      <c r="P3205" s="23" t="n"/>
      <c r="Q3205" s="23" t="n"/>
      <c r="R3205" s="25" t="inlineStr">
        <is>
          <t>Спустя два года после трагической гибели политика Бориса Немцова страсти и споры вокруг его личности не утихают ни в России, ни на Западе, где его считают чуть ли не «отцом русской демократии». Для одних имя Немцова стало символом «борьбы за свободу» и «либерализма», для других, напротив, синонимом «предательства России» и «развала страны». Пожалуй, ни об одном из политиков эпохи «лихих девяностых» не говорят и не пишут так много, в то время как имена других уже позабыли. Что касается нижегородского губернаторства Немцова, то этот период оброс многочисленными легендами в духе «область стала передовой», «там была столица реформ» и т. п._x000D_
В данной работе, являющейся первой книгой о скандально известном реформаторе, впервые подробно рассказано о биографии и политической деятельности Бориса Немцова с начала его карьеры до краха правительства молодых реформаторов в августе 1998 года. В ней при­ведены малоизвестные факты, касающиеся работы Немцова на посту губернатора Нижегородской области и вице­премьера российского правительства, многочисленные его высказывания и заявления, раскрыты психологические особенности его личности, причины привлекательности и мотивы поступков в политике и в личной жизни. Кроме того, работа отвечает на ряд интересных вопросов: был ли Немцов демократом, действительно ли он сделал свой Нижегородский регион процветающим, но потом был «съеден» в правительстве, почему Ельцин хотел сделать его своим преемником, а потом отказался от этого намерения, какую роль сыграл Немцов в продвижении на политический олимп одних людей и низвержении других, насколько образ Немцова был создан им самим и его окружением и т. д.</t>
        </is>
      </c>
      <c r="S3205" s="26">
        <f>HYPERLINK("http://www.cnpol.ru/covers/17541.jpg","фото на сайте")</f>
        <v/>
      </c>
    </row>
    <row r="3206" ht="50.1" customHeight="1" s="3">
      <c r="A3206" s="23" t="n"/>
      <c r="B3206" s="24" t="inlineStr">
        <is>
          <t>16592</t>
        </is>
      </c>
      <c r="C3206" s="23" t="inlineStr">
        <is>
          <t>ОИ</t>
        </is>
      </c>
      <c r="D3206" s="23" t="inlineStr">
        <is>
          <t>Максимов А.</t>
        </is>
      </c>
      <c r="E3206" s="23" t="inlineStr">
        <is>
          <t>Бредятинки. Без лишних слов</t>
        </is>
      </c>
      <c r="F3206" s="23" t="inlineStr">
        <is>
          <t>        </t>
        </is>
      </c>
      <c r="G3206" s="23" t="n">
        <v>508</v>
      </c>
      <c r="H3206" s="23" t="n">
        <v>10</v>
      </c>
      <c r="I3206" s="23" t="n">
        <v>28</v>
      </c>
      <c r="J3206" s="23" t="inlineStr">
        <is>
          <t>978-5-227-05798-3</t>
        </is>
      </c>
      <c r="K3206" s="23" t="inlineStr">
        <is>
          <t>82x100 1/32</t>
        </is>
      </c>
      <c r="L3206" s="23" t="inlineStr">
        <is>
          <t>тв</t>
        </is>
      </c>
      <c r="M3206" s="23" t="n">
        <v>128</v>
      </c>
      <c r="N3206" s="23" t="n">
        <v>2016</v>
      </c>
      <c r="O3206" s="23" t="n">
        <v>192</v>
      </c>
      <c r="P3206" s="23" t="n"/>
      <c r="Q3206" s="23" t="n"/>
      <c r="R3206" s="25" t="inlineStr">
        <is>
          <t>«Бредятинки» Андрея Максимова — не афоризмы и не мысли вслух. Это всполохи сознания, фиксация неуловимых чувств, стремление сказать коротко и понятно. Но все же — это бредятинки. Новый жанр, придуманный Андреем Максимовым.</t>
        </is>
      </c>
      <c r="S3206" s="26">
        <f>HYPERLINK("http://www.cnpol.ru/covers/16592.jpg","фото на сайте")</f>
        <v/>
      </c>
    </row>
    <row r="3207" ht="50.1" customHeight="1" s="3">
      <c r="A3207" s="23" t="n"/>
      <c r="B3207" s="24" t="inlineStr">
        <is>
          <t>16930</t>
        </is>
      </c>
      <c r="C3207" s="23" t="inlineStr">
        <is>
          <t>ОИ</t>
        </is>
      </c>
      <c r="D3207" s="23" t="inlineStr">
        <is>
          <t>Фрай Р.Н</t>
        </is>
      </c>
      <c r="E3207" s="23" t="inlineStr">
        <is>
          <t>Бухара в средние века</t>
        </is>
      </c>
      <c r="F3207" s="23" t="inlineStr">
        <is>
          <t>        </t>
        </is>
      </c>
      <c r="G3207" s="23" t="n">
        <v>468</v>
      </c>
      <c r="H3207" s="23" t="n">
        <v>10</v>
      </c>
      <c r="I3207" s="23" t="n">
        <v>14</v>
      </c>
      <c r="J3207" s="23" t="inlineStr">
        <is>
          <t>978-5-9524-5207-7</t>
        </is>
      </c>
      <c r="K3207" s="23" t="inlineStr">
        <is>
          <t>84x108 1/32</t>
        </is>
      </c>
      <c r="L3207" s="23" t="inlineStr">
        <is>
          <t>тв</t>
        </is>
      </c>
      <c r="M3207" s="23" t="n">
        <v>224</v>
      </c>
      <c r="N3207" s="23" t="n">
        <v>2016</v>
      </c>
      <c r="O3207" s="23" t="n">
        <v>206</v>
      </c>
      <c r="P3207" s="23" t="n"/>
      <c r="Q3207" s="23" t="n"/>
      <c r="R3207" s="25" t="inlineStr">
        <is>
          <t>Американский иранист, почетный профессор Гарвардского университета, почетный доктор Таджикского университета Ричард Нельсон Фрай в настоящей книге постарался объяснить роль средневековой Бухары в восточно­исламском мире и тюркизации Средней Азии. Учитывая многочисленные пробелы исламской истории, автор реконструирует золотой век Бухары, ставшей в X веке столицей восточноиранского культурного пространства и символом нового порядка — персидского ренессанса.</t>
        </is>
      </c>
      <c r="S3207" s="26">
        <f>HYPERLINK("http://www.cnpol.ru/covers/16930.jpg","фото на сайте")</f>
        <v/>
      </c>
    </row>
    <row r="3208" ht="50.1" customHeight="1" s="3">
      <c r="A3208" s="23" t="n"/>
      <c r="B3208" s="24" t="inlineStr">
        <is>
          <t>18508</t>
        </is>
      </c>
      <c r="C3208" s="23" t="inlineStr">
        <is>
          <t>ОИ</t>
        </is>
      </c>
      <c r="D3208" s="23" t="inlineStr">
        <is>
          <t>Фалина Н.А</t>
        </is>
      </c>
      <c r="E3208" s="23" t="inlineStr">
        <is>
          <t>Валентин Фалин глазами жены и друзей. Подлинная история жизни и любви</t>
        </is>
      </c>
      <c r="F3208" s="23" t="inlineStr">
        <is>
          <t>        </t>
        </is>
      </c>
      <c r="G3208" s="23" t="n">
        <v>851</v>
      </c>
      <c r="H3208" s="23" t="n">
        <v>10</v>
      </c>
      <c r="I3208" s="23" t="n">
        <v>10</v>
      </c>
      <c r="J3208" s="23" t="inlineStr">
        <is>
          <t>978-5-227-07875-9</t>
        </is>
      </c>
      <c r="K3208" s="23" t="inlineStr">
        <is>
          <t>84x108 1/32</t>
        </is>
      </c>
      <c r="L3208" s="23" t="inlineStr">
        <is>
          <t>тв</t>
        </is>
      </c>
      <c r="M3208" s="23" t="n">
        <v>288</v>
      </c>
      <c r="N3208" s="23" t="n">
        <v>2019</v>
      </c>
      <c r="O3208" s="23" t="n">
        <v>388</v>
      </c>
      <c r="P3208" s="23" t="n"/>
      <c r="Q3208" s="23" t="n"/>
      <c r="R3208" s="25" t="inlineStr">
        <is>
          <t>Валентин Михайлович Фалин не просто высокопоставленный функционер, он символ того самого ценного, что было у нас в советскую эпоху. Великий политик и дипломат, профессиональный аналитик, историк, знаток искусства, он излагал свою позицию одинаково прямо в любой аудитории — и в СМИ, и начальству, и в научном сообществе. Не юлил, не прятался за чужие спины, не менял своей позиции подобно флюгеру._x000D_
Про таких как он говорят: «ушла эпоха». Но это не совсем так. Он был и остается в памяти людей той самой эпохой. Эта книга памяти написана его женой Ниной Анатольевной и дополнена очерками близких друзей.</t>
        </is>
      </c>
      <c r="S3208" s="26">
        <f>HYPERLINK("http://www.cnpol.ru/covers/18508.jpg","фото на сайте")</f>
        <v/>
      </c>
    </row>
    <row r="3209" ht="50.1" customHeight="1" s="3">
      <c r="A3209" s="23" t="n"/>
      <c r="B3209" s="24" t="inlineStr">
        <is>
          <t>16364</t>
        </is>
      </c>
      <c r="C3209" s="23" t="inlineStr">
        <is>
          <t>ОИ</t>
        </is>
      </c>
      <c r="D3209" s="23" t="inlineStr">
        <is>
          <t>Докучаев В.В., Докучаева Л.Н</t>
        </is>
      </c>
      <c r="E3209" s="23" t="inlineStr">
        <is>
          <t>Власть рода</t>
        </is>
      </c>
      <c r="F3209" s="23" t="inlineStr">
        <is>
          <t>        </t>
        </is>
      </c>
      <c r="G3209" s="23" t="n">
        <v>168</v>
      </c>
      <c r="H3209" s="23" t="n">
        <v>10</v>
      </c>
      <c r="I3209" s="23" t="n">
        <v>32</v>
      </c>
      <c r="J3209" s="23" t="inlineStr">
        <is>
          <t>978-5-227-05876-8</t>
        </is>
      </c>
      <c r="K3209" s="23" t="inlineStr">
        <is>
          <t>84x108 1/32 (обл)</t>
        </is>
      </c>
      <c r="L3209" s="23" t="inlineStr">
        <is>
          <t>мяг</t>
        </is>
      </c>
      <c r="M3209" s="23" t="n">
        <v>192</v>
      </c>
      <c r="N3209" s="23" t="n">
        <v>2015</v>
      </c>
      <c r="O3209" s="23" t="n">
        <v>121</v>
      </c>
      <c r="P3209" s="23" t="n"/>
      <c r="Q3209" s="23" t="n"/>
      <c r="R3209" s="25" t="inlineStr">
        <is>
          <t>В книге основателей родологии на примерах реальных жизненных историй показано, как родовые программы влияют на качество жизни потомков. Родологический метод Докучаевых помогает читателю овладеть силой Рода и обрести духовное, душевное и физическое здоровье. Обретая силу своего Рода, вы получаете путеводитель по счастливой и благополучной жизни._x000D_
Книга предназначена для широкого круга читателей, а также для тех, кого интересуют законы развития Рода. Специалисты по работе с семьей, психологи, медики, педагоги, социальные работники, студенты найдут много интересного для своей профессиональной практики.</t>
        </is>
      </c>
      <c r="S3209" s="26">
        <f>HYPERLINK("http://www.cnpol.ru/covers/16364.jpg","фото на сайте")</f>
        <v/>
      </c>
    </row>
    <row r="3210" ht="50.1" customHeight="1" s="3">
      <c r="A3210" s="23" t="n"/>
      <c r="B3210" s="24" t="inlineStr">
        <is>
          <t>18364</t>
        </is>
      </c>
      <c r="C3210" s="23" t="inlineStr">
        <is>
          <t>ОИ</t>
        </is>
      </c>
      <c r="D3210" s="23" t="inlineStr">
        <is>
          <t>Млечин Л.М.</t>
        </is>
      </c>
      <c r="E3210" s="23" t="inlineStr">
        <is>
          <t>Вожди комсомола. 100 лет ВЛКСМ в биографиях лидеров</t>
        </is>
      </c>
      <c r="F3210" s="23" t="inlineStr">
        <is>
          <t>        </t>
        </is>
      </c>
      <c r="G3210" s="23" t="n">
        <v>672</v>
      </c>
      <c r="H3210" s="23" t="n">
        <v>10</v>
      </c>
      <c r="I3210" s="23" t="n">
        <v>14</v>
      </c>
      <c r="J3210" s="23" t="inlineStr">
        <is>
          <t>978-5-227-08374-6</t>
        </is>
      </c>
      <c r="K3210" s="23" t="inlineStr">
        <is>
          <t>84x108 1/32</t>
        </is>
      </c>
      <c r="L3210" s="23" t="inlineStr">
        <is>
          <t>тв</t>
        </is>
      </c>
      <c r="M3210" s="23" t="n">
        <v>320</v>
      </c>
      <c r="N3210" s="23" t="n">
        <v>2018</v>
      </c>
      <c r="O3210" s="23" t="n">
        <v>282</v>
      </c>
      <c r="P3210" s="23" t="n"/>
      <c r="Q3210" s="23" t="n"/>
      <c r="R3210" s="25" t="inlineStr">
        <is>
          <t>Сто лет назад, в октябре 1918 года, был создан комсомол, который просуществовал до конца советской власти. Каким комсомол был на самом деле? И кто им руководил? Новая книга Леонида Млечина посвящена судьбам комсомольских вождей. История комсомола — это история нашей страны. А политическая история России немыслима без комсомольских вождей, которые находились на вершине власти. Выходцы из комсомола в значительной степени определили судьбу нашего государства.</t>
        </is>
      </c>
      <c r="S3210" s="26">
        <f>HYPERLINK("http://www.cnpol.ru/covers/18364.jpg","фото на сайте")</f>
        <v/>
      </c>
    </row>
    <row r="3211" ht="50.1" customHeight="1" s="3">
      <c r="A3211" s="23" t="n"/>
      <c r="B3211" s="24" t="inlineStr">
        <is>
          <t>19515</t>
        </is>
      </c>
      <c r="C3211" s="23" t="inlineStr">
        <is>
          <t>ОИ</t>
        </is>
      </c>
      <c r="D3211" s="23" t="inlineStr">
        <is>
          <t>Васильев Л.М.</t>
        </is>
      </c>
      <c r="E3211" s="23" t="inlineStr">
        <is>
          <t>Война во Вьетнаме: Почему американцы потерпели поражение</t>
        </is>
      </c>
      <c r="F3211" s="23" t="inlineStr">
        <is>
          <t>        </t>
        </is>
      </c>
      <c r="G3211" s="27" t="n">
        <v>1281</v>
      </c>
      <c r="H3211" s="23" t="n">
        <v>10</v>
      </c>
      <c r="I3211" s="23" t="n">
        <v>10</v>
      </c>
      <c r="J3211" s="23" t="inlineStr">
        <is>
          <t>978-5-227-07919-0</t>
        </is>
      </c>
      <c r="K3211" s="23" t="inlineStr">
        <is>
          <t>60x90 1/16</t>
        </is>
      </c>
      <c r="L3211" s="23" t="inlineStr">
        <is>
          <t>тв</t>
        </is>
      </c>
      <c r="M3211" s="23" t="n">
        <v>384</v>
      </c>
      <c r="N3211" s="23" t="n">
        <v>2021</v>
      </c>
      <c r="O3211" s="23" t="n">
        <v>532</v>
      </c>
      <c r="P3211" s="23" t="n"/>
      <c r="Q3211" s="23" t="n"/>
      <c r="R3211" s="25" t="inlineStr">
        <is>
          <t>В книге отражена правда о самой страшной, самой кровопролитной после Второй мировой — о войне США во Вьетнаме, которая длилась почти 15 лет. Материалы основаны на личных свидетельствах автора — корреспондента во Вьетнаме в 1967—1969 гг., на раскрытых сейчас, раньше сверхсекретных воспоминаниях советских ракетчиков, летчиков, военных инженеров, военно­морских разведчиков. На замалчиваемых американских исследованиях, посвященных преступлениям вооруженных сил США. На раскрытых тайнах переговоров, которые привели к соглашениям о мире — фактической капитуляции чудовищной военной машины американской сверхдержавы.</t>
        </is>
      </c>
      <c r="S3211" s="26">
        <f>HYPERLINK("http://www.cnpol.ru/covers/19515.jpg","фото на сайте")</f>
        <v/>
      </c>
    </row>
    <row r="3212" ht="50.1" customHeight="1" s="3">
      <c r="A3212" s="23" t="n"/>
      <c r="B3212" s="24" t="inlineStr">
        <is>
          <t>16771</t>
        </is>
      </c>
      <c r="C3212" s="23" t="inlineStr">
        <is>
          <t>ОИ</t>
        </is>
      </c>
      <c r="D3212" s="23" t="inlineStr">
        <is>
          <t>Макмиллан М.</t>
        </is>
      </c>
      <c r="E3212" s="23" t="inlineStr">
        <is>
          <t>Война, которая покончила с миром</t>
        </is>
      </c>
      <c r="F3212" s="23" t="inlineStr">
        <is>
          <t>        </t>
        </is>
      </c>
      <c r="G3212" s="27" t="n">
        <v>1460</v>
      </c>
      <c r="H3212" s="23" t="n">
        <v>10</v>
      </c>
      <c r="I3212" s="23" t="n">
        <v>8</v>
      </c>
      <c r="J3212" s="23" t="inlineStr">
        <is>
          <t>978-5-227-06772-2</t>
        </is>
      </c>
      <c r="K3212" s="23" t="inlineStr">
        <is>
          <t>60x90 1/16</t>
        </is>
      </c>
      <c r="L3212" s="23" t="inlineStr">
        <is>
          <t>тв</t>
        </is>
      </c>
      <c r="M3212" s="23" t="n">
        <v>720</v>
      </c>
      <c r="N3212" s="23" t="n">
        <v>2016</v>
      </c>
      <c r="O3212" s="23" t="n">
        <v>684</v>
      </c>
      <c r="P3212" s="23" t="n"/>
      <c r="Q3212" s="23" t="n"/>
      <c r="R3212" s="25" t="inlineStr">
        <is>
          <t>Всемирно известный историк, профессор Оксфордского университета Маргарет Макмиллан исследует причины развязывания Первой мировой войны, последовавшей после длительного периода мира в Европе, который, казалось, и впредь сулил ей процветание и прогресс. Автор рассматривает основные политические и технологические преобразования Европы за годы, предшествующие войне, то есть с конца XIX в. до августа 1914 г., когда был убит эрцгерцог Франц­Фердинанд.  Анализируя идеи, чувства и решения, которые, выйдя из­под контроля, нарушили равновесие и привели Европу к катастрофе, Макмиллан дает яркое, образное описание участников событий и анализ мотивов их действий. Книга Марга­рет Макмиллан – блистательное исследование и наиболее полный отчет о последних годах старой Европы.</t>
        </is>
      </c>
      <c r="S3212" s="26">
        <f>HYPERLINK("http://www.cnpol.ru/covers/16771.jpg","фото на сайте")</f>
        <v/>
      </c>
    </row>
    <row r="3213" ht="50.1" customHeight="1" s="3">
      <c r="A3213" s="23" t="n"/>
      <c r="B3213" s="24" t="inlineStr">
        <is>
          <t>17980</t>
        </is>
      </c>
      <c r="C3213" s="23" t="inlineStr">
        <is>
          <t>ОИ</t>
        </is>
      </c>
      <c r="D3213" s="23" t="inlineStr">
        <is>
          <t>Кшесинская М.Ф</t>
        </is>
      </c>
      <c r="E3213" s="23" t="inlineStr">
        <is>
          <t>Воспоминания</t>
        </is>
      </c>
      <c r="F3213" s="23" t="inlineStr">
        <is>
          <t>        </t>
        </is>
      </c>
      <c r="G3213" s="23" t="n">
        <v>822</v>
      </c>
      <c r="H3213" s="23" t="n">
        <v>10</v>
      </c>
      <c r="I3213" s="23" t="n">
        <v>8</v>
      </c>
      <c r="J3213" s="23" t="inlineStr">
        <is>
          <t>978-5-9524-5296-1</t>
        </is>
      </c>
      <c r="K3213" s="23" t="inlineStr">
        <is>
          <t>84x108 1/32</t>
        </is>
      </c>
      <c r="L3213" s="23" t="inlineStr">
        <is>
          <t>тв</t>
        </is>
      </c>
      <c r="M3213" s="23" t="n">
        <v>416</v>
      </c>
      <c r="N3213" s="23" t="n">
        <v>2018</v>
      </c>
      <c r="O3213" s="23" t="n">
        <v>360</v>
      </c>
      <c r="P3213" s="23" t="n"/>
      <c r="Q3213" s="23" t="n"/>
      <c r="R3213" s="25" t="inlineStr">
        <is>
          <t>Судьба знаменитой балерины, неповторимой и загадочной Матильды Кшесинской, подруги наследника престола и жены великого князя, не перестает привлекать к себе внимание. В мемуарах, которые она ­написала вместе с мужем, великим князем Андреем Владимировичем, Кшесинская знакомит с семейными преданиями и рассказывает о наиболее ярких эпизодах своей творческой судьбы в России и в эмиграции.</t>
        </is>
      </c>
      <c r="S3213" s="26">
        <f>HYPERLINK("http://www.cnpol.ru/covers/17980.jpg","фото на сайте")</f>
        <v/>
      </c>
    </row>
    <row r="3214" ht="50.1" customHeight="1" s="3">
      <c r="A3214" s="23" t="n"/>
      <c r="B3214" s="24" t="inlineStr">
        <is>
          <t>16145</t>
        </is>
      </c>
      <c r="C3214" s="23" t="inlineStr">
        <is>
          <t>ОИ</t>
        </is>
      </c>
      <c r="D3214" s="23" t="inlineStr">
        <is>
          <t>Алешин М.Л.</t>
        </is>
      </c>
      <c r="E3214" s="23" t="inlineStr">
        <is>
          <t>Гороскоп. Ваша финансовая совместимость.</t>
        </is>
      </c>
      <c r="F3214" s="23" t="inlineStr">
        <is>
          <t>        </t>
        </is>
      </c>
      <c r="G3214" s="23" t="n">
        <v>229</v>
      </c>
      <c r="H3214" s="23" t="n">
        <v>10</v>
      </c>
      <c r="I3214" s="23" t="n">
        <v>20</v>
      </c>
      <c r="J3214" s="23" t="inlineStr">
        <is>
          <t>978-5-227-06053-2</t>
        </is>
      </c>
      <c r="K3214" s="23" t="inlineStr">
        <is>
          <t>84x108 1/32 (обл)</t>
        </is>
      </c>
      <c r="L3214" s="23" t="inlineStr">
        <is>
          <t>мяг</t>
        </is>
      </c>
      <c r="M3214" s="23" t="n">
        <v>319</v>
      </c>
      <c r="N3214" s="23" t="n">
        <v>2015</v>
      </c>
      <c r="O3214" s="23" t="n">
        <v>192</v>
      </c>
      <c r="P3214" s="23" t="n"/>
      <c r="Q3214" s="23" t="n"/>
      <c r="R3214" s="25" t="inlineStr">
        <is>
          <t>Предлагаем вашему вниманию уникальный гороскоп. В отличие от гороскопов любовной совместимости, достаточно широко представленных публике, гороскопа финансовой совместимости до сегодняшнего дня  на книжном рынке не было, хотя этот аспект человеческих отно­шений является очень важным, особенно в наше нестабильное время. Данный гороскоп включает в себя несколько пунктов: совместимость любовных партнеров, совместимость начальника и подчиненного, совместимость коллег по работе, совместимость друзей. Вы узнаете, будет ли ваш союз изобильным, а дом полной чашей, в чьих руках должна находиться совместная казна, кто из вас транжира, а кто скопидом. Удастся ли вам добиться финансовой стабильности под руководством своего начальника…_x000D_
Читатель сможет проверить свою финансовую совместимость с каждым знаком зодиака и узнать перспективность тех или иных отношений, а также лучше понять мотивы, движущие партнером. Несмотря на то что основной акцент сделан на разнополых партнеров, коллеги  и друзья одного пола смело могут применять рекомендации автора на себя, трактовав текст чуть более свободно.</t>
        </is>
      </c>
      <c r="S3214" s="26">
        <f>HYPERLINK("http://www.cnpol.ru/covers/16145.jpg","фото на сайте")</f>
        <v/>
      </c>
    </row>
    <row r="3215" ht="50.1" customHeight="1" s="3">
      <c r="A3215" s="23" t="n"/>
      <c r="B3215" s="24" t="inlineStr">
        <is>
          <t>17808</t>
        </is>
      </c>
      <c r="C3215" s="23" t="inlineStr">
        <is>
          <t>ОИ</t>
        </is>
      </c>
      <c r="D3215" s="23" t="inlineStr">
        <is>
          <t>Агабеков Г.С., Думбадзе Е.В.</t>
        </is>
      </c>
      <c r="E3215" s="23" t="inlineStr">
        <is>
          <t>ГПУ</t>
        </is>
      </c>
      <c r="F3215" s="23" t="inlineStr">
        <is>
          <t>        </t>
        </is>
      </c>
      <c r="G3215" s="23" t="n">
        <v>593</v>
      </c>
      <c r="H3215" s="23" t="n">
        <v>10</v>
      </c>
      <c r="I3215" s="23" t="n">
        <v>14</v>
      </c>
      <c r="J3215" s="23" t="inlineStr">
        <is>
          <t>978-5-227-07510-9</t>
        </is>
      </c>
      <c r="K3215" s="23" t="inlineStr">
        <is>
          <t>84x108 1/32</t>
        </is>
      </c>
      <c r="L3215" s="23" t="inlineStr">
        <is>
          <t>тв</t>
        </is>
      </c>
      <c r="M3215" s="23" t="n">
        <v>320</v>
      </c>
      <c r="N3215" s="23" t="n">
        <v>2017</v>
      </c>
      <c r="O3215" s="23" t="n">
        <v>272</v>
      </c>
      <c r="P3215" s="23" t="n"/>
      <c r="Q3215" s="23" t="n"/>
      <c r="R3215" s="25" t="inlineStr">
        <is>
          <t>Объединяет этих двух авторов то, что оба служили в ГПУ, оба бежали на Запад и обоих ликвидировали сотрудники НКВД. Агабекова — явно, судьба Думбадзе неизвестна, он просто пропал. Оба в своих мемуарах разоблачали большевистский режим</t>
        </is>
      </c>
      <c r="S3215" s="26">
        <f>HYPERLINK("http://www.cnpol.ru/covers/17808.jpg","фото на сайте")</f>
        <v/>
      </c>
    </row>
    <row r="3216" ht="50.1" customHeight="1" s="3">
      <c r="A3216" s="23" t="n"/>
      <c r="B3216" s="24" t="inlineStr">
        <is>
          <t>16913</t>
        </is>
      </c>
      <c r="C3216" s="23" t="inlineStr">
        <is>
          <t>ОИ</t>
        </is>
      </c>
      <c r="D3216" s="23" t="inlineStr">
        <is>
          <t>Гриллс Б.</t>
        </is>
      </c>
      <c r="E3216" s="23" t="inlineStr">
        <is>
          <t>Грязь, пот и слезы</t>
        </is>
      </c>
      <c r="F3216" s="23" t="inlineStr">
        <is>
          <t>        </t>
        </is>
      </c>
      <c r="G3216" s="23" t="n">
        <v>803</v>
      </c>
      <c r="H3216" s="23" t="n">
        <v>10</v>
      </c>
      <c r="I3216" s="23" t="n">
        <v>14</v>
      </c>
      <c r="J3216" s="23" t="inlineStr">
        <is>
          <t>978-5-227-06927-6</t>
        </is>
      </c>
      <c r="K3216" s="23" t="inlineStr">
        <is>
          <t>84x108 1/32</t>
        </is>
      </c>
      <c r="L3216" s="23" t="inlineStr">
        <is>
          <t>тв</t>
        </is>
      </c>
      <c r="M3216" s="23" t="n">
        <v>352</v>
      </c>
      <c r="N3216" s="23" t="n">
        <v>2016</v>
      </c>
      <c r="O3216" s="23" t="n">
        <v>388</v>
      </c>
      <c r="P3216" s="23" t="n"/>
      <c r="Q3216" s="23" t="n"/>
      <c r="R3216" s="25" t="inlineStr">
        <is>
          <t>Известный британский путешественник, телеведущий и писатель Беар Гриллс рассказывает о том, как и почему умение выживать любой ценой стало его профессией. Еще в детстве он увлекся физкультурой, много и упорно тренировался, лазал по горам, висел на турнике, выдумывал способы сбежать из запертого помещения, выходил в море на маленькой парусной лодке и наслаждался ощущением опасности. Позже, повзрослев, Гриллс прошел суровые испытания отбора в САС (британский спецназ), а затем, после нескольких лет службы в нем, осуществил главную мечту своей жизни — восхождение на Эверест. Автор подробно описывает, как готовился к этому событию и какие трудности ему пришлось преодолеть в достижении своих целей.</t>
        </is>
      </c>
      <c r="S3216" s="26">
        <f>HYPERLINK("http://www.cnpol.ru/covers/16913.jpg","фото на сайте")</f>
        <v/>
      </c>
    </row>
    <row r="3217" ht="50.1" customHeight="1" s="3">
      <c r="A3217" s="23" t="n"/>
      <c r="B3217" s="24" t="inlineStr">
        <is>
          <t>16345</t>
        </is>
      </c>
      <c r="C3217" s="23" t="inlineStr">
        <is>
          <t>ОИ</t>
        </is>
      </c>
      <c r="D3217" s="23" t="inlineStr">
        <is>
          <t>Финн Питер, Куве Петра</t>
        </is>
      </c>
      <c r="E3217" s="23" t="inlineStr">
        <is>
          <t>Дело Живаго</t>
        </is>
      </c>
      <c r="F3217" s="23" t="inlineStr">
        <is>
          <t>        </t>
        </is>
      </c>
      <c r="G3217" s="23" t="n">
        <v>743</v>
      </c>
      <c r="H3217" s="23" t="n">
        <v>10</v>
      </c>
      <c r="I3217" s="23" t="n">
        <v>10</v>
      </c>
      <c r="J3217" s="23" t="inlineStr">
        <is>
          <t>978-5-227-06244-4</t>
        </is>
      </c>
      <c r="K3217" s="23" t="inlineStr">
        <is>
          <t>84x108 1/32</t>
        </is>
      </c>
      <c r="L3217" s="23" t="inlineStr">
        <is>
          <t>тв</t>
        </is>
      </c>
      <c r="M3217" s="23" t="n">
        <v>352</v>
      </c>
      <c r="N3217" s="23" t="n">
        <v>2015</v>
      </c>
      <c r="O3217" s="23" t="n">
        <v>392</v>
      </c>
      <c r="P3217" s="23" t="n"/>
      <c r="Q3217" s="23" t="n"/>
      <c r="R3217" s="25" t="inlineStr">
        <is>
          <t>В 1957 году за рубежом вышел в свет роман «Доктор Живаго», ко­торый его автор считал вершиной своего прозаического творчества. В 1958 году Шведская академия наградила Б.Л. Пастернака Нобелевской премией по литературе. В СССР разгорелся скандал, за которым последовала травля писателя. История публикации «Доктора Живаго» за границей и в СССР, а также сопутствующие этому драматические обстоятельства описаны на страницах предлагаемой читателю книги со всеми подробностями не только фактической стороны дела, подтвержденной документальными свидетельствами, но и воссозданием  атмосферы того времени.</t>
        </is>
      </c>
      <c r="S3217" s="26">
        <f>HYPERLINK("http://www.cnpol.ru/covers/16345.jpg","фото на сайте")</f>
        <v/>
      </c>
    </row>
    <row r="3218" ht="50.1" customHeight="1" s="3">
      <c r="A3218" s="23" t="n"/>
      <c r="B3218" s="24" t="inlineStr">
        <is>
          <t>17628</t>
        </is>
      </c>
      <c r="C3218" s="23" t="inlineStr">
        <is>
          <t>ОИ</t>
        </is>
      </c>
      <c r="D3218" s="23" t="inlineStr">
        <is>
          <t>Молотов И.</t>
        </is>
      </c>
      <c r="E3218" s="23" t="inlineStr">
        <is>
          <t>Демоны и ангелы российской политики лихих 90-х. Сбитые летчики</t>
        </is>
      </c>
      <c r="F3218" s="23" t="inlineStr">
        <is>
          <t>        </t>
        </is>
      </c>
      <c r="G3218" s="23" t="n">
        <v>534</v>
      </c>
      <c r="H3218" s="23" t="n">
        <v>10</v>
      </c>
      <c r="I3218" s="23" t="n">
        <v>14</v>
      </c>
      <c r="J3218" s="23" t="inlineStr">
        <is>
          <t>978-5-227-07497-3</t>
        </is>
      </c>
      <c r="K3218" s="23" t="inlineStr">
        <is>
          <t>84x108 1/32</t>
        </is>
      </c>
      <c r="L3218" s="23" t="inlineStr">
        <is>
          <t>тв</t>
        </is>
      </c>
      <c r="M3218" s="23" t="n">
        <v>336</v>
      </c>
      <c r="N3218" s="23" t="n">
        <v>2017</v>
      </c>
      <c r="O3218" s="23" t="n">
        <v>286</v>
      </c>
      <c r="P3218" s="23" t="n"/>
      <c r="Q3218" s="23" t="n"/>
      <c r="R3218" s="25" t="inlineStr">
        <is>
          <t>«Независимая газета» опубликовала свой ежегодный рейтинг 100 ведущих политиков России, которые на сегодняшний день являются лицом политической системы, которую выстроил лидер этого списка — Владимир Путин. Это произошло не за один год — 15 лет ушло на формирование новых элит, имеющих большой вес в политике, экономике и медиапространстве. Но куда ушли все те, кто в 2001 году претендовал пусть и не на лидерство, но все же на первые роли в управлении государством? Почему непотопляемые телемагнаты, полевые командиры, лидеры партий и могущественные руководители силовых ведомств канули в небытие? Кто­то ностальгирует по былому величию, кого­то уж нет, а кто­то по­прежнему пышет даже уже не здоровьем, а прямо ка­ким то жаром бессмертия.</t>
        </is>
      </c>
      <c r="S3218" s="26">
        <f>HYPERLINK("http://www.cnpol.ru/covers/17628.jpg","фото на сайте")</f>
        <v/>
      </c>
    </row>
    <row r="3219" ht="50.1" customHeight="1" s="3">
      <c r="A3219" s="23" t="n"/>
      <c r="B3219" s="24" t="inlineStr">
        <is>
          <t>17215</t>
        </is>
      </c>
      <c r="C3219" s="23" t="inlineStr">
        <is>
          <t>ОИ</t>
        </is>
      </c>
      <c r="D3219" s="23" t="inlineStr">
        <is>
          <t>Адлер С.</t>
        </is>
      </c>
      <c r="E3219" s="23" t="inlineStr">
        <is>
          <t>Джейкоб Генри Шифф. Гений финансового мира и главный спонсор русских революций</t>
        </is>
      </c>
      <c r="F3219" s="23" t="inlineStr">
        <is>
          <t>        </t>
        </is>
      </c>
      <c r="G3219" s="23" t="n">
        <v>704</v>
      </c>
      <c r="H3219" s="23" t="n">
        <v>10</v>
      </c>
      <c r="I3219" s="23" t="n">
        <v>8</v>
      </c>
      <c r="J3219" s="23" t="inlineStr">
        <is>
          <t>978-5-9524-5218-3</t>
        </is>
      </c>
      <c r="K3219" s="23" t="inlineStr">
        <is>
          <t>84x108 1/32</t>
        </is>
      </c>
      <c r="L3219" s="23" t="inlineStr">
        <is>
          <t>тв</t>
        </is>
      </c>
      <c r="M3219" s="23" t="n">
        <v>576</v>
      </c>
      <c r="N3219" s="23" t="n">
        <v>2016</v>
      </c>
      <c r="O3219" s="23" t="n">
        <v>386</v>
      </c>
      <c r="P3219" s="23" t="n"/>
      <c r="Q3219" s="23" t="n"/>
      <c r="R3219" s="25" t="inlineStr">
        <is>
          <t>Джейкоб Генри Шифф (1847—1920) — знаменитый американский банкир, филантроп и общественный деятель. С 1885 г.  управлял банкирским домом «Кун, Лёб и Ко» — одним из самых успешных в США, который участвовал в финансировании многих крупных проектов, в том числе сети железных дорог. Шифф проявил себя и как политический деятель. Это касается, в частности, самодержавной России, в отношении которой он вел непримиримую борьбу, активно противодействуя получению ею займов от США. Он бурно приветствовал Временное правительство и готов был вести переговоры о предоставлении ему финансовой помощи. То же касалось и Японии, которую Шифф всячески поддерживал во время Русско­японской войны. В книге приводятся интересные факты биографии Шиффа и письма, которые свидетельствуют о его разносторонних интересах и деятельности.</t>
        </is>
      </c>
      <c r="S3219" s="26">
        <f>HYPERLINK("http://www.cnpol.ru/covers/17215.jpg","фото на сайте")</f>
        <v/>
      </c>
    </row>
    <row r="3220" ht="50.1" customHeight="1" s="3">
      <c r="A3220" s="23" t="n"/>
      <c r="B3220" s="24" t="inlineStr">
        <is>
          <t>17304</t>
        </is>
      </c>
      <c r="C3220" s="23" t="inlineStr">
        <is>
          <t>ОИ</t>
        </is>
      </c>
      <c r="D3220" s="23" t="inlineStr">
        <is>
          <t>Млечин Л.М.</t>
        </is>
      </c>
      <c r="E3220" s="23" t="inlineStr">
        <is>
          <t>Дональд Трамп. Роль и маска. От ведущего реалити-шоу до хозяина Белого дома</t>
        </is>
      </c>
      <c r="F3220" s="23" t="inlineStr">
        <is>
          <t>        </t>
        </is>
      </c>
      <c r="G3220" s="23" t="n">
        <v>672</v>
      </c>
      <c r="H3220" s="23" t="n">
        <v>10</v>
      </c>
      <c r="I3220" s="23" t="n">
        <v>10</v>
      </c>
      <c r="J3220" s="23" t="inlineStr">
        <is>
          <t>978-5-227-07359-4</t>
        </is>
      </c>
      <c r="K3220" s="23" t="inlineStr">
        <is>
          <t>84x108 1/32</t>
        </is>
      </c>
      <c r="L3220" s="23" t="inlineStr">
        <is>
          <t>тв</t>
        </is>
      </c>
      <c r="M3220" s="23" t="n">
        <v>352</v>
      </c>
      <c r="N3220" s="23" t="n">
        <v>2017</v>
      </c>
      <c r="O3220" s="23" t="n">
        <v>294</v>
      </c>
      <c r="P3220" s="23" t="n"/>
      <c r="Q3220" s="23" t="n"/>
      <c r="R3220" s="25" t="inlineStr">
        <is>
          <t>Президентские выборы в Соединенных Штатах Америки всегда вызывают интерес. Но никогда результат не был столь ошеломительным. И весь мир пытается понять, что за человек сорок пятый президент Дональд Трамп? Трамп — символ перемен к лучшему для множества американцев, впавших в тоску и утративших надежду. А для всего мира его избрание — симптом кардинальных перемен в политической жизни Запада. Но чего от него ожидать? В новой книге Леонида Млечина — описание жизни и политический портрет нового хозяина Белого дома на фоне всей истории американского президентства. У Трампа руки развязаны. Он никому ничем не обязан. Не должен следовать каким-то догмам. И ему простят любые глупости — по крайней мере, на первых порах. У него полно восторженных поклонников, которые голосовали за него не умом, а сердцем.Его первые решения многих испугали и удивили. Но каждый шаг нового президента продуман и подготовлен, у него есть система. Дональд Трамп уверен, что его образ непредсказуемого и опасного политика позволит запутать и запугать врагов; они занервничают, не зная, чего от него ждать, и растеряются. Он не желает играть по чужим правилам. Он создает их сам. Склонен делать большие ставки. И сражается до победы.</t>
        </is>
      </c>
      <c r="S3220" s="26">
        <f>HYPERLINK("http://www.cnpol.ru/covers/17304.jpg","фото на сайте")</f>
        <v/>
      </c>
    </row>
    <row r="3221" ht="50.1" customHeight="1" s="3">
      <c r="A3221" s="23" t="n"/>
      <c r="B3221" s="24" t="inlineStr">
        <is>
          <t>17195</t>
        </is>
      </c>
      <c r="C3221" s="23" t="inlineStr">
        <is>
          <t>ОИ</t>
        </is>
      </c>
      <c r="D3221" s="23" t="inlineStr">
        <is>
          <t>Цветков С.Э.</t>
        </is>
      </c>
      <c r="E3221" s="23" t="inlineStr">
        <is>
          <t>Древняя Русь. Эпоха междоусобиц. От Ярославичей до Всеволода Большое Гнездо.</t>
        </is>
      </c>
      <c r="F3221" s="23" t="inlineStr">
        <is>
          <t>        </t>
        </is>
      </c>
      <c r="G3221" s="27" t="n">
        <v>1018</v>
      </c>
      <c r="H3221" s="23" t="n">
        <v>10</v>
      </c>
      <c r="I3221" s="23" t="n">
        <v>10</v>
      </c>
      <c r="J3221" s="23" t="inlineStr">
        <is>
          <t>978-5-227-07136-1</t>
        </is>
      </c>
      <c r="K3221" s="23" t="inlineStr">
        <is>
          <t>60x90 1/16</t>
        </is>
      </c>
      <c r="L3221" s="23" t="inlineStr">
        <is>
          <t>тв</t>
        </is>
      </c>
      <c r="M3221" s="23" t="n">
        <v>528</v>
      </c>
      <c r="N3221" s="23" t="n">
        <v>2016</v>
      </c>
      <c r="O3221" s="23" t="n">
        <v>568</v>
      </c>
      <c r="P3221" s="23" t="n"/>
      <c r="Q3221" s="23" t="n"/>
      <c r="R3221" s="25" t="inlineStr">
        <is>
          <t>Книга известного писателя и историка С.Э. Цветкова посвящена эпохе расцвета Древней Руси (XI—XIII вв.). Автор показывает это время во всем его сложном противоречии: с одной стороны — бесконечные княжеские распри, с другой — настойчивое стремление великих представителей древнерусской государственности объединить страну. Цветков подробно прослеживает постепенное угасание могущества Киева и перемещение государственного центра тяжести на земли Северо-Восточной Руси. Необычайно интересно прорисованы ключевые фигуры этого времени: Юрия Долгорукого, Андрея Боголюбского и Всеволода Большое Гнездо.</t>
        </is>
      </c>
      <c r="S3221" s="26">
        <f>HYPERLINK("http://www.cnpol.ru/covers/17195.jpg","фото на сайте")</f>
        <v/>
      </c>
    </row>
    <row r="3222" ht="50.1" customHeight="1" s="3">
      <c r="A3222" s="23" t="n"/>
      <c r="B3222" s="24" t="inlineStr">
        <is>
          <t>17145</t>
        </is>
      </c>
      <c r="C3222" s="23" t="inlineStr">
        <is>
          <t>ОИ</t>
        </is>
      </c>
      <c r="D3222" s="23" t="inlineStr">
        <is>
          <t>Робб Г.</t>
        </is>
      </c>
      <c r="E3222" s="23" t="inlineStr">
        <is>
          <t>Жизнь Гюго</t>
        </is>
      </c>
      <c r="F3222" s="23" t="inlineStr">
        <is>
          <t>        </t>
        </is>
      </c>
      <c r="G3222" s="27" t="n">
        <v>1537</v>
      </c>
      <c r="H3222" s="23" t="n">
        <v>10</v>
      </c>
      <c r="I3222" s="23" t="n">
        <v>8</v>
      </c>
      <c r="J3222" s="23" t="inlineStr">
        <is>
          <t>978-5-227-05847-8</t>
        </is>
      </c>
      <c r="K3222" s="23" t="inlineStr">
        <is>
          <t>60x90 1/16</t>
        </is>
      </c>
      <c r="L3222" s="23" t="inlineStr">
        <is>
          <t>тв</t>
        </is>
      </c>
      <c r="M3222" s="23" t="n">
        <v>606</v>
      </c>
      <c r="N3222" s="23" t="n">
        <v>2016</v>
      </c>
      <c r="O3222" s="23" t="n">
        <v>696</v>
      </c>
      <c r="P3222" s="23" t="n"/>
      <c r="Q3222" s="23" t="n"/>
      <c r="R3222" s="25" t="inlineStr">
        <is>
          <t>Предлагаемая читателю биография великого французского писателя принадлежит перу крупнейшего специалиста по истории, культуре и литературе Франции. Грэм Робб — не только блестящий знаток жизни и творчества В.Гюго, но и ве­ликолепный рассказчик, благодаря чему его исследование приобретает черты захватывающего романа.</t>
        </is>
      </c>
      <c r="S3222" s="26">
        <f>HYPERLINK("http://www.cnpol.ru/covers/17145.jpg","фото на сайте")</f>
        <v/>
      </c>
    </row>
    <row r="3223" ht="50.1" customHeight="1" s="3">
      <c r="A3223" s="23" t="n"/>
      <c r="B3223" s="24" t="inlineStr">
        <is>
          <t>17148</t>
        </is>
      </c>
      <c r="C3223" s="23" t="inlineStr">
        <is>
          <t>ОИ</t>
        </is>
      </c>
      <c r="D3223" s="23" t="inlineStr">
        <is>
          <t>Робб Г.</t>
        </is>
      </c>
      <c r="E3223" s="23" t="inlineStr">
        <is>
          <t>Жизнь Рембо</t>
        </is>
      </c>
      <c r="F3223" s="23" t="inlineStr">
        <is>
          <t>        </t>
        </is>
      </c>
      <c r="G3223" s="27" t="n">
        <v>1391</v>
      </c>
      <c r="H3223" s="23" t="n">
        <v>10</v>
      </c>
      <c r="I3223" s="23" t="n">
        <v>10</v>
      </c>
      <c r="J3223" s="23" t="inlineStr">
        <is>
          <t>978-5-227-06939-9</t>
        </is>
      </c>
      <c r="K3223" s="23" t="inlineStr">
        <is>
          <t>60x90 1/16</t>
        </is>
      </c>
      <c r="L3223" s="23" t="inlineStr">
        <is>
          <t>тв</t>
        </is>
      </c>
      <c r="M3223" s="23" t="n">
        <v>495</v>
      </c>
      <c r="N3223" s="23" t="n">
        <v>2016</v>
      </c>
      <c r="O3223" s="23" t="n">
        <v>588</v>
      </c>
      <c r="P3223" s="23" t="n"/>
      <c r="Q3223" s="23" t="n"/>
      <c r="R3223" s="25" t="inlineStr">
        <is>
          <t>Жизнь Артюра Рембо (1854—1891) была более странной, чем любой вымысел. В юности он был ясновидцем, обличавшим буржуазию, нарушителем запретов, изобретателем нового языка и методов восприятия, поэтом, путешественником и наемником­авантюристом. В возрасте двадцати одного года Рембо повернулся спиной к своим литературным достижениям и после нескольких лет странствий обосновался в Абиссинии, где снискал репутацию успешного торговца, авто­ритетного исследова­теля и толкователя божественных откровений. Гениальная биография Грэма Робба, одного из крупнейших специалистов по французской литературе, объединила обе составля­ющие его жизни, показав неистовую, выбивающую из колеи поэзию в качестве отправного пункта для будущих экзотических приключений. Это история Рембо­первопроходца и духом, и телом.</t>
        </is>
      </c>
      <c r="S3223" s="26">
        <f>HYPERLINK("http://www.cnpol.ru/covers/17148.jpg","фото на сайте")</f>
        <v/>
      </c>
    </row>
    <row r="3224" ht="50.1" customHeight="1" s="3">
      <c r="A3224" s="23" t="inlineStr">
        <is>
          <t>Н</t>
        </is>
      </c>
      <c r="B3224" s="24" t="inlineStr">
        <is>
          <t>21027</t>
        </is>
      </c>
      <c r="C3224" s="23" t="inlineStr">
        <is>
          <t>ОИ</t>
        </is>
      </c>
      <c r="D3224" s="23" t="inlineStr">
        <is>
          <t>Александрович А.Д.</t>
        </is>
      </c>
      <c r="E3224" s="23" t="inlineStr">
        <is>
          <t>Записки певца. Воспоминания прославленного тенора, артиста оперы Мариинского театра, участника «Русских сезонов» Сергея Дягилева в Париже и Лондоне</t>
        </is>
      </c>
      <c r="F3224" s="23" t="inlineStr">
        <is>
          <t>        </t>
        </is>
      </c>
      <c r="G3224" s="23" t="n">
        <v>936</v>
      </c>
      <c r="H3224" s="23" t="n">
        <v>10</v>
      </c>
      <c r="I3224" s="23" t="n">
        <v>14</v>
      </c>
      <c r="J3224" s="23" t="inlineStr">
        <is>
          <t>978-5-9524-6095-9</t>
        </is>
      </c>
      <c r="K3224" s="23" t="inlineStr">
        <is>
          <t>84x108 1/32</t>
        </is>
      </c>
      <c r="L3224" s="23" t="inlineStr">
        <is>
          <t>тв</t>
        </is>
      </c>
      <c r="M3224" s="23" t="n">
        <v>287</v>
      </c>
      <c r="N3224" s="23" t="n">
        <v>2024</v>
      </c>
      <c r="O3224" s="23" t="n">
        <v>340</v>
      </c>
      <c r="P3224" s="23" t="n"/>
      <c r="Q3224" s="23" t="n"/>
      <c r="R3224" s="25" t="inlineStr">
        <is>
          <t>Александр Дмитриевич Александрович (Покровский) — известный оперный певец, лирический тенор — описывает свою жизнь и творческий путь на фоне глобальных событий, происходящих в мире и в России. Без надрыва и излишней патетики Александрович рассказывает о том, как трудно было в эту пору сохранять русское культурное наследие, какие препятствия преодолевали и лишения терпели преданные музыке образованные, поистине творческие люди. Он рассказывает о своих учителях, о выступлениях на мировых сценах, об интересных оперных постановках, концертах, особое внимание уделяя русской музыке, и о замечательных исполнителях. Отдельные главы автор посвящает великим деятелям искусства С.П. Дягилеву и Ф.И. Шаляпину.</t>
        </is>
      </c>
      <c r="S3224" s="26">
        <f>HYPERLINK("http://www.cnpol.ru/covers/21027.jpg","фото на сайте")</f>
        <v/>
      </c>
    </row>
    <row r="3225" ht="50.1" customHeight="1" s="3">
      <c r="A3225" s="23" t="n"/>
      <c r="B3225" s="24" t="inlineStr">
        <is>
          <t>19789</t>
        </is>
      </c>
      <c r="C3225" s="23" t="inlineStr">
        <is>
          <t>ОИ</t>
        </is>
      </c>
      <c r="D3225" s="23" t="inlineStr">
        <is>
          <t>Шпулер Б.</t>
        </is>
      </c>
      <c r="E3225" s="23" t="inlineStr">
        <is>
          <t>Золотая Орда. Монголы на Руси. 1223–1502</t>
        </is>
      </c>
      <c r="F3225" s="23" t="inlineStr">
        <is>
          <t>        </t>
        </is>
      </c>
      <c r="G3225" s="23" t="n">
        <v>615</v>
      </c>
      <c r="H3225" s="23" t="n">
        <v>10</v>
      </c>
      <c r="I3225" s="23" t="n">
        <v>10</v>
      </c>
      <c r="J3225" s="23" t="inlineStr">
        <is>
          <t>978-5-9524-5538-2</t>
        </is>
      </c>
      <c r="K3225" s="23" t="inlineStr">
        <is>
          <t>84x108 1/32</t>
        </is>
      </c>
      <c r="L3225" s="23" t="inlineStr">
        <is>
          <t>тв</t>
        </is>
      </c>
      <c r="M3225" s="23" t="n">
        <v>416</v>
      </c>
      <c r="N3225" s="23" t="n">
        <v>2021</v>
      </c>
      <c r="O3225" s="23" t="n">
        <v>334</v>
      </c>
      <c r="P3225" s="23" t="n"/>
      <c r="Q3225" s="23" t="n"/>
      <c r="R3225" s="25" t="n"/>
      <c r="S3225" s="26">
        <f>HYPERLINK("http://www.cnpol.ru/covers/19789.jpg","фото на сайте")</f>
        <v/>
      </c>
    </row>
    <row r="3226" ht="50.1" customHeight="1" s="3">
      <c r="A3226" s="23" t="inlineStr">
        <is>
          <t>Д</t>
        </is>
      </c>
      <c r="B3226" s="24" t="inlineStr">
        <is>
          <t>21038</t>
        </is>
      </c>
      <c r="C3226" s="23" t="inlineStr">
        <is>
          <t>ОИ</t>
        </is>
      </c>
      <c r="D3226" s="23" t="inlineStr">
        <is>
          <t>Шпулер Б.</t>
        </is>
      </c>
      <c r="E3226" s="23" t="inlineStr">
        <is>
          <t>Золотая Орда. Монголы на Руси. 1223–1502</t>
        </is>
      </c>
      <c r="F3226" s="23" t="inlineStr">
        <is>
          <t>        </t>
        </is>
      </c>
      <c r="G3226" s="23" t="n">
        <v>619</v>
      </c>
      <c r="H3226" s="23" t="n">
        <v>10</v>
      </c>
      <c r="I3226" s="23" t="n">
        <v>10</v>
      </c>
      <c r="J3226" s="23" t="inlineStr">
        <is>
          <t>978-5-9524-6111-6</t>
        </is>
      </c>
      <c r="K3226" s="23" t="inlineStr">
        <is>
          <t>84x108 1/32</t>
        </is>
      </c>
      <c r="L3226" s="23" t="inlineStr">
        <is>
          <t>тв</t>
        </is>
      </c>
      <c r="M3226" s="23" t="n">
        <v>416</v>
      </c>
      <c r="N3226" s="23" t="n">
        <v>2024</v>
      </c>
      <c r="O3226" s="23" t="n">
        <v>334</v>
      </c>
      <c r="P3226" s="23" t="n"/>
      <c r="Q3226" s="23" t="n"/>
      <c r="R3226" s="25" t="inlineStr">
        <is>
          <t>Книга немецкого историка, востоковеда, тюрколога, специалиста по истории монголов Бертольда Шпулера посвящена истории и культуре Золотой Орды. Опираясь на широкий круг источников и литературы, автор исследует широкий спектр вопросов: помимо политической истории он рассматривает религиозные отношения, государственный строй, право, военное дело, экономику, искусство, питание и одежду.</t>
        </is>
      </c>
      <c r="S3226" s="26">
        <f>HYPERLINK("http://www.cnpol.ru/covers/21038.jpg","фото на сайте")</f>
        <v/>
      </c>
    </row>
    <row r="3227" ht="50.1" customHeight="1" s="3">
      <c r="A3227" s="23" t="n"/>
      <c r="B3227" s="24" t="inlineStr">
        <is>
          <t>18095</t>
        </is>
      </c>
      <c r="C3227" s="23" t="inlineStr">
        <is>
          <t>ОИ</t>
        </is>
      </c>
      <c r="D3227" s="23" t="inlineStr">
        <is>
          <t>Эплби Д.Т.</t>
        </is>
      </c>
      <c r="E3227" s="23" t="inlineStr">
        <is>
          <t>Иоанн, король Англии. Самый коварный монарх средневековой Европы</t>
        </is>
      </c>
      <c r="F3227" s="23" t="inlineStr">
        <is>
          <t>        </t>
        </is>
      </c>
      <c r="G3227" s="23" t="n">
        <v>593</v>
      </c>
      <c r="H3227" s="23" t="n">
        <v>10</v>
      </c>
      <c r="I3227" s="23" t="n">
        <v>14</v>
      </c>
      <c r="J3227" s="23" t="inlineStr">
        <is>
          <t>978-5-9524-5288-6</t>
        </is>
      </c>
      <c r="K3227" s="23" t="inlineStr">
        <is>
          <t>84x108 1/32</t>
        </is>
      </c>
      <c r="L3227" s="23" t="inlineStr">
        <is>
          <t>тв</t>
        </is>
      </c>
      <c r="M3227" s="23" t="n">
        <v>320</v>
      </c>
      <c r="N3227" s="23" t="n">
        <v>2018</v>
      </c>
      <c r="O3227" s="23" t="n">
        <v>272</v>
      </c>
      <c r="P3227" s="23" t="n"/>
      <c r="Q3227" s="23" t="n"/>
      <c r="R3227" s="25" t="inlineStr">
        <is>
          <t>Джон Т. Эплби, автор ряда жизнеописаний английских королей XI—XIII веков, на страницах своей книги воссоздает эпоху правления Иоанна Безземельного — сына великого Генриха II и брата Ричарда Львиное Сердце, оказавшегося в тени прославленных предшественников и снискавшего славу предателя и сумасбродного тирана. Историк описывает окружение и двор Иоанна, уделяя особое внимание особенностям быта того времени, рассказывает о столкновениях со знатью, противостоянии с французским королем и конфликте с Римско­католической церковью, который едва не закончился принятием ислама для всех подданных взбалмошного монарха. Раскрывая противоречивый характер короля Иоанна, Эплби не дает однозначно отрицательной оценки его деяниям, описывая его не только как тирана и узурпатора, но и как человека, который любил жизнь во всех ее проявлениях.</t>
        </is>
      </c>
      <c r="S3227" s="26">
        <f>HYPERLINK("http://www.cnpol.ru/covers/18095.jpg","фото на сайте")</f>
        <v/>
      </c>
    </row>
    <row r="3228" ht="50.1" customHeight="1" s="3">
      <c r="A3228" s="23" t="n"/>
      <c r="B3228" s="24" t="inlineStr">
        <is>
          <t>17949</t>
        </is>
      </c>
      <c r="C3228" s="23" t="inlineStr">
        <is>
          <t>ОИ</t>
        </is>
      </c>
      <c r="D3228" s="23" t="inlineStr">
        <is>
          <t>Дрейер Д.</t>
        </is>
      </c>
      <c r="E3228" s="23" t="inlineStr">
        <is>
          <t>История астрономии. Великие открытия с древности до средневековья</t>
        </is>
      </c>
      <c r="F3228" s="23" t="inlineStr">
        <is>
          <t>        </t>
        </is>
      </c>
      <c r="G3228" s="23" t="n">
        <v>615</v>
      </c>
      <c r="H3228" s="23" t="n">
        <v>10</v>
      </c>
      <c r="I3228" s="23" t="n">
        <v>10</v>
      </c>
      <c r="J3228" s="23" t="inlineStr">
        <is>
          <t>978-5-9524-5284-8</t>
        </is>
      </c>
      <c r="K3228" s="23" t="inlineStr">
        <is>
          <t>84x108 1/32</t>
        </is>
      </c>
      <c r="L3228" s="23" t="inlineStr">
        <is>
          <t>тв</t>
        </is>
      </c>
      <c r="M3228" s="23" t="n">
        <v>416</v>
      </c>
      <c r="N3228" s="23" t="n">
        <v>2018</v>
      </c>
      <c r="O3228" s="23" t="n">
        <v>324</v>
      </c>
      <c r="P3228" s="23" t="n"/>
      <c r="Q3228" s="23" t="n"/>
      <c r="R3228" s="25" t="inlineStr">
        <is>
          <t>Книга авторитетного британского ученого Джона Дрейера посвящена истории астрономии с древнейших времен до XVII века. Автор прослеживает эволюцию представлений об устройстве Вселенной, начиная с воззрений древних египтян, вавилонян и греков, освещает космологические теории Фалеса, Анаксимандра, Парменида и других греческих натурфилософов, знакомит с учением пифагорейцев и идеями Платона. Дрейер подробно описывает теорию концентрических планетных сфер Евдокса и Калиппа и геоцентрическую систему мироздания Птолемея. Далее автор рассматривает научные воззрения средневековых ученых Запада и Востока, идеи Николая Кузанского, Региомонтана, Кальканьини и других мыслителей эпохи Возрождения и завершает свой исчерпывающий труд изложением теорий Коперника, Тихо Браге и Кеплера.</t>
        </is>
      </c>
      <c r="S3228" s="26">
        <f>HYPERLINK("http://www.cnpol.ru/covers/17949.jpg","фото на сайте")</f>
        <v/>
      </c>
    </row>
    <row r="3229" ht="50.1" customHeight="1" s="3">
      <c r="A3229" s="23" t="n"/>
      <c r="B3229" s="24" t="inlineStr">
        <is>
          <t>17849</t>
        </is>
      </c>
      <c r="C3229" s="23" t="inlineStr">
        <is>
          <t>ОИ</t>
        </is>
      </c>
      <c r="D3229" s="23" t="inlineStr">
        <is>
          <t>Дэвис У.С</t>
        </is>
      </c>
      <c r="E3229" s="23" t="inlineStr">
        <is>
          <t>История Франции. С древнейших времен до Версальского договора</t>
        </is>
      </c>
      <c r="F3229" s="23" t="inlineStr">
        <is>
          <t>        </t>
        </is>
      </c>
      <c r="G3229" s="23" t="n">
        <v>822</v>
      </c>
      <c r="H3229" s="23" t="n">
        <v>10</v>
      </c>
      <c r="I3229" s="23" t="n">
        <v>6</v>
      </c>
      <c r="J3229" s="23" t="inlineStr">
        <is>
          <t>978-5-9524-5283-1</t>
        </is>
      </c>
      <c r="K3229" s="23" t="inlineStr">
        <is>
          <t>84x108 1/32</t>
        </is>
      </c>
      <c r="L3229" s="23" t="inlineStr">
        <is>
          <t>тв</t>
        </is>
      </c>
      <c r="M3229" s="23" t="n">
        <v>672</v>
      </c>
      <c r="N3229" s="23" t="n">
        <v>2017</v>
      </c>
      <c r="O3229" s="23" t="n">
        <v>466</v>
      </c>
      <c r="P3229" s="23" t="n"/>
      <c r="Q3229" s="23" t="n"/>
      <c r="R3229" s="25" t="inlineStr">
        <is>
          <t>Уильям Стирнс Дэвис, профессор истории Университета штата Миннесота, рассказывает в своей книге о самых главных событиях двухтысячелетней истории Франции, начиная с древних галлов и заканчивая подписанием Версальского договора в 1919 г. Благодаря своей сжатости и насыщенности информацией этот обзор многих веков жизни страны становится увлекательным экскурсом во времена антики и Средневе­ковья, царствования Генриха IV и Людовика XIII, правления кардинала Ришелье и Людовика XIV с идеями просвещения и величайшими писателями и учеными тогдашней Франции. Революция конца XVIII в., провозглашение республики, империя Наполеона, Реставрация Бурбонов, монархия Луи­Филиппа, Вторая империя Наполеона III, снова респуб­лика и Первая мировая война… Автору не всегда удается сохранить то беспристрастие, которого обычно требуют от историка, но это лишь добавляет книге интереса, привлекая читателей, изучающих или увлекающихся историей Франции и Западной Европы в целом.</t>
        </is>
      </c>
      <c r="S3229" s="26">
        <f>HYPERLINK("http://www.cnpol.ru/covers/17849.jpg","фото на сайте")</f>
        <v/>
      </c>
    </row>
    <row r="3230" ht="50.1" customHeight="1" s="3">
      <c r="A3230" s="23" t="n"/>
      <c r="B3230" s="24" t="inlineStr">
        <is>
          <t>18058</t>
        </is>
      </c>
      <c r="C3230" s="23" t="inlineStr">
        <is>
          <t>ОИ</t>
        </is>
      </c>
      <c r="D3230" s="23" t="inlineStr">
        <is>
          <t>Казин В.Х. Шенк В.К.</t>
        </is>
      </c>
      <c r="E3230" s="23" t="inlineStr">
        <is>
          <t>Казачьи войска</t>
        </is>
      </c>
      <c r="F3230" s="23" t="inlineStr">
        <is>
          <t>        </t>
        </is>
      </c>
      <c r="G3230" s="23" t="n">
        <v>743</v>
      </c>
      <c r="H3230" s="23" t="n">
        <v>10</v>
      </c>
      <c r="I3230" s="23" t="n">
        <v>14</v>
      </c>
      <c r="J3230" s="23" t="inlineStr">
        <is>
          <t>978-5-227-07832-2</t>
        </is>
      </c>
      <c r="K3230" s="23" t="inlineStr">
        <is>
          <t>60x90 1/16</t>
        </is>
      </c>
      <c r="L3230" s="23" t="inlineStr">
        <is>
          <t>тв</t>
        </is>
      </c>
      <c r="M3230" s="23" t="n">
        <v>448</v>
      </c>
      <c r="N3230" s="23" t="n">
        <v>2018</v>
      </c>
      <c r="O3230" s="23" t="n">
        <v>398</v>
      </c>
      <c r="P3230" s="23" t="n"/>
      <c r="Q3230" s="23" t="n"/>
      <c r="R3230" s="25" t="inlineStr">
        <is>
          <t>В настоящей книге кратко и последовательно изложены хронологические данные о казачьих войсках и об их первоочередных частях на основании существующих печатных сведений. Ценность этого справочного издания заключается в документальной обоснованности представленных здесь данных, которые рассказывают нам о героическом прошлом казаков. В издании описаны краткие истории казачьих частей русской армии, хронологические сведения, наименования и переименования, командиры, шефы, боевой путь, награды кавалерийских частей._x000D_
Работу Владимира Христофоровича Казина «Казачьи войска» можно назвать родословной всех казачьих войск России.</t>
        </is>
      </c>
      <c r="S3230" s="26">
        <f>HYPERLINK("http://www.cnpol.ru/covers/18058.jpg","фото на сайте")</f>
        <v/>
      </c>
    </row>
    <row r="3231" ht="50.1" customHeight="1" s="3">
      <c r="A3231" s="23" t="n"/>
      <c r="B3231" s="24" t="inlineStr">
        <is>
          <t>17184</t>
        </is>
      </c>
      <c r="C3231" s="23" t="inlineStr">
        <is>
          <t>ОИ</t>
        </is>
      </c>
      <c r="D3231" s="23" t="inlineStr">
        <is>
          <t>Млечин Л.М.</t>
        </is>
      </c>
      <c r="E3231" s="23" t="inlineStr">
        <is>
          <t>Комитет-1991. Нерассказанная история КГБ России</t>
        </is>
      </c>
      <c r="F3231" s="23" t="inlineStr">
        <is>
          <t>        </t>
        </is>
      </c>
      <c r="G3231" s="23" t="n">
        <v>672</v>
      </c>
      <c r="H3231" s="23" t="n">
        <v>10</v>
      </c>
      <c r="I3231" s="23" t="n">
        <v>10</v>
      </c>
      <c r="J3231" s="23" t="inlineStr">
        <is>
          <t>978-5-227-07231-3</t>
        </is>
      </c>
      <c r="K3231" s="23" t="inlineStr">
        <is>
          <t>84x108 1/32</t>
        </is>
      </c>
      <c r="L3231" s="23" t="inlineStr">
        <is>
          <t>тв</t>
        </is>
      </c>
      <c r="M3231" s="23" t="n">
        <v>384</v>
      </c>
      <c r="N3231" s="23" t="n">
        <v>2016</v>
      </c>
      <c r="O3231" s="23" t="n">
        <v>310</v>
      </c>
      <c r="P3231" s="23" t="n"/>
      <c r="Q3231" s="23" t="n"/>
      <c r="R3231" s="25" t="inlineStr">
        <is>
          <t>Люди, далекие от власти, и не подозревают, что в основе большой политики лежат изощренные интриги, и даже благие цели достигаются весьма низменными средствами. Иногда со временем мы узнаем подлинный смысл этих интриг. Иногда все это остается для нас тайной. Не только августовский путч, но и многое другое, что происходило в 1991 году, все еще таит в себе множество тайн и загадок. Именно этот год определил судьбу нашей страны. Ключевую роль в трагических событиях 1991 года играл Комитет государственной безопасности, внутри которого развернулась отчаянная и мало кому известная борьба за будущее самого чекистского ведомства и государства. В своей новой книге Л. Млечин, опираясь на неизвестные прежде документы и свидетельства непосредственных участников событий, в первую очередь высокопоставленных чекистов, рассказывает, как в том году развивались события на Лубянке и во всей стране.</t>
        </is>
      </c>
      <c r="S3231" s="26">
        <f>HYPERLINK("http://www.cnpol.ru/covers/17184.jpg","фото на сайте")</f>
        <v/>
      </c>
    </row>
    <row r="3232" ht="50.1" customHeight="1" s="3">
      <c r="A3232" s="23" t="n"/>
      <c r="B3232" s="24" t="inlineStr">
        <is>
          <t>17372</t>
        </is>
      </c>
      <c r="C3232" s="23" t="inlineStr">
        <is>
          <t>ОИ</t>
        </is>
      </c>
      <c r="D3232" s="23" t="inlineStr">
        <is>
          <t>Мокиенко В.М., Сидоренко К.П.</t>
        </is>
      </c>
      <c r="E3232" s="23" t="inlineStr">
        <is>
          <t>Крылатые выражения, литературные образы и цитаты из басен Ивана Андреевича Крылова</t>
        </is>
      </c>
      <c r="F3232" s="23" t="inlineStr">
        <is>
          <t>        </t>
        </is>
      </c>
      <c r="G3232" s="23" t="n">
        <v>347</v>
      </c>
      <c r="H3232" s="23" t="n">
        <v>10</v>
      </c>
      <c r="I3232" s="23" t="n">
        <v>12</v>
      </c>
      <c r="J3232" s="23" t="inlineStr">
        <is>
          <t>978-5-227-07170-5</t>
        </is>
      </c>
      <c r="K3232" s="23" t="inlineStr">
        <is>
          <t>84x108 1/32 (обл)</t>
        </is>
      </c>
      <c r="L3232" s="23" t="inlineStr">
        <is>
          <t>мяг</t>
        </is>
      </c>
      <c r="M3232" s="23" t="n">
        <v>352</v>
      </c>
      <c r="N3232" s="23" t="n">
        <v>2017</v>
      </c>
      <c r="O3232" s="23" t="n">
        <v>214</v>
      </c>
      <c r="P3232" s="23" t="n"/>
      <c r="Q3232" s="23" t="n"/>
      <c r="R3232" s="25" t="inlineStr">
        <is>
          <t>С раннего школьного возраста сталкиваемся мы с творчеством Ивана Андреевича Крылова. Многие его крылатые выражения остаются в нашей памяти на всю жизнь. Мы употребляем их, чтобы блеснуть остроумием и украсить свою речь… Предлагаемая книга поможет делать это своевременно, правильно и не искажая смысла, заложенного автором. Уникальный словарь-справочник является собранием цитат, литературных образов и крылатых выражений из произведений. Издание включает около 500 словарных статей, созданных на основе картотеки выписок из публицистики, художественной, научной, научно-популярной, эпистолярной и мемуарной литературы, а также из периодической печати за последние два столетия. Активно привлекались источники Интернета. В словаре рассматривается большая часть басен, объединенных в «канонические» 9 книг, а также некоторые басни, не вошедшие в основной корпус. Книга адресована самому широкому кругу читателей. Она будет полезна учащимся средних учебных заведений, преподавателям-словесникам, студентам-филологам, изучающим историю русского языка, русскую диалектологию, современный русский язык, русскую речевую культуру и историю формирования русской литературной нормы, а также всем, кому дорого наследие великого баснописца.</t>
        </is>
      </c>
      <c r="S3232" s="26">
        <f>HYPERLINK("http://www.cnpol.ru/covers/17372.jpg","фото на сайте")</f>
        <v/>
      </c>
    </row>
    <row r="3233" ht="50.1" customHeight="1" s="3">
      <c r="A3233" s="23" t="n"/>
      <c r="B3233" s="24" t="inlineStr">
        <is>
          <t>17391</t>
        </is>
      </c>
      <c r="C3233" s="23" t="inlineStr">
        <is>
          <t>ОИ</t>
        </is>
      </c>
      <c r="D3233" s="23" t="inlineStr">
        <is>
          <t>Вирконделе А</t>
        </is>
      </c>
      <c r="E3233" s="23" t="inlineStr">
        <is>
          <t>Легендарная любовь. 10 самых эпатажных пар ХХ века</t>
        </is>
      </c>
      <c r="F3233" s="23" t="inlineStr">
        <is>
          <t>        </t>
        </is>
      </c>
      <c r="G3233" s="23" t="n">
        <v>927</v>
      </c>
      <c r="H3233" s="23" t="n">
        <v>10</v>
      </c>
      <c r="I3233" s="23" t="n">
        <v>12</v>
      </c>
      <c r="J3233" s="23" t="inlineStr">
        <is>
          <t>978-5-227-07423-2</t>
        </is>
      </c>
      <c r="K3233" s="23" t="inlineStr">
        <is>
          <t>60x90 1/16</t>
        </is>
      </c>
      <c r="L3233" s="23" t="inlineStr">
        <is>
          <t>тв</t>
        </is>
      </c>
      <c r="M3233" s="23" t="n">
        <v>416</v>
      </c>
      <c r="N3233" s="23" t="n">
        <v>2017</v>
      </c>
      <c r="O3233" s="23" t="n">
        <v>460</v>
      </c>
      <c r="P3233" s="23" t="n"/>
      <c r="Q3233" s="23" t="n"/>
      <c r="R3233" s="25" t="inlineStr">
        <is>
          <t>Известный французский писатель и ученый­искусствовед размышляет о влиянии, которое оказали на жизнь и творчество знаменитых художников их возлюбленные. В книге десять глав — десять историй известных всему миру любовных пар. Огюст Роден и Камилла Клодель; Эдвард Мунк и Тулла Ларсен; Альма Малер и Оскар Кокошка; Пабло Пикассо и Дора Маар; Амедео Модильяни и Жанна Эбютерн; Сальвадор Дали и Гала; Антуан де Сент­Экзюпери и Консуэло; Ман Рэй и Ли Миллер; Бальтюс и Сэцуко Идэта; Маргерит Дюрас и Ян Андреа. Гениальные художники создавали бессмертные произведения, а замечательные женщины разделяли их судьбу в бедности и богатстве, в радости и горе, любили, ревновали, страдали и расставались, обрекая себя на одиночество. Эта книга — история сложных взаимоотношений людей, которые пытались найти равновесие между творческим уединением и желанием быть рядом с тем, кто силой своей любви и богатством личности вдохновляет на создание великих произведений искусства.</t>
        </is>
      </c>
      <c r="S3233" s="26">
        <f>HYPERLINK("http://www.cnpol.ru/covers/17391.jpg","фото на сайте")</f>
        <v/>
      </c>
    </row>
    <row r="3234" ht="50.1" customHeight="1" s="3">
      <c r="A3234" s="23" t="n"/>
      <c r="B3234" s="24" t="inlineStr">
        <is>
          <t>17563</t>
        </is>
      </c>
      <c r="C3234" s="23" t="inlineStr">
        <is>
          <t>ОИ</t>
        </is>
      </c>
      <c r="D3234" s="23" t="inlineStr">
        <is>
          <t>Захаров В.А.</t>
        </is>
      </c>
      <c r="E3234" s="23" t="inlineStr">
        <is>
          <t>Летопись жизни и творчества М.Ю. Лермонтова</t>
        </is>
      </c>
      <c r="F3234" s="23" t="inlineStr">
        <is>
          <t>        </t>
        </is>
      </c>
      <c r="G3234" s="27" t="n">
        <v>2778</v>
      </c>
      <c r="H3234" s="23" t="n">
        <v>10</v>
      </c>
      <c r="I3234" s="23" t="n">
        <v>3</v>
      </c>
      <c r="J3234" s="23" t="inlineStr">
        <is>
          <t>978-5-227-07253-5</t>
        </is>
      </c>
      <c r="K3234" s="23" t="inlineStr">
        <is>
          <t>70x100 1/16</t>
        </is>
      </c>
      <c r="L3234" s="23" t="inlineStr">
        <is>
          <t>тв</t>
        </is>
      </c>
      <c r="M3234" s="23" t="n">
        <v>800</v>
      </c>
      <c r="N3234" s="23" t="n">
        <v>2017</v>
      </c>
      <c r="O3234" s="23" t="n">
        <v>1154</v>
      </c>
      <c r="P3234" s="23" t="n"/>
      <c r="Q3234" s="23" t="n"/>
      <c r="R3234" s="25" t="inlineStr">
        <is>
          <t>Недавний 200-летний юбилей М.Ю. Лермонтова (1814—1841), одного из самых загадочных и читаемых русских авторов, усилил интерес к личности и творческому наследию поэта. Были опубликованы новые документы о его юношестве, московском и петербургском периодах, участии в военных экспедициях на Кавказе; вышли многочисленные исследования, посвященные его биографии и пути в литературе. Предлагаемая книга В.А. Захарова представляет собой строго выверенный хронологический свод дошедших до нашего времени печатных и архивных данных. Читатель сможет проследить «жизнь и труды» поэта, воина из года в год, из месяца в месяц, изо дня в день — в движении, эволюции, росте. «Летопись» одновременно является и сокращенным вариантом научной биографии. Издание дает возможность узнать творческую историю большинства произведений поэта на разных стадиях — от появления замысла до выхода в свет, познакомиться с перепиской Лермонтова, столь много дающей для понимания его характера, взглядов, пристрастий, вкусов. Приведенные свидетельства и мемуарные фрагменты воссоздают мир русской жизни первой половины XIX века, будни и праздники дворянского сословия и офицерства такими, какими их воспринимали современники Лермонтова, Пушкина, Гоголя... Книга включает обширные комментарии, дополняющие основной текст, а также необходимые пояснения и уточнения.</t>
        </is>
      </c>
      <c r="S3234" s="26">
        <f>HYPERLINK("http://www.cnpol.ru/covers/17563.jpg","фото на сайте")</f>
        <v/>
      </c>
    </row>
    <row r="3235" ht="50.1" customHeight="1" s="3">
      <c r="A3235" s="23" t="n"/>
      <c r="B3235" s="24" t="inlineStr">
        <is>
          <t>16398</t>
        </is>
      </c>
      <c r="C3235" s="23" t="inlineStr">
        <is>
          <t>ОИ</t>
        </is>
      </c>
      <c r="D3235" s="23" t="inlineStr">
        <is>
          <t>Озолс К.</t>
        </is>
      </c>
      <c r="E3235" s="23" t="inlineStr">
        <is>
          <t>Мемуары посланника</t>
        </is>
      </c>
      <c r="F3235" s="23" t="inlineStr">
        <is>
          <t>        </t>
        </is>
      </c>
      <c r="G3235" s="23" t="n">
        <v>574</v>
      </c>
      <c r="H3235" s="23" t="n">
        <v>10</v>
      </c>
      <c r="I3235" s="23" t="n">
        <v>14</v>
      </c>
      <c r="J3235" s="23" t="inlineStr">
        <is>
          <t>978-5-227-05761-7</t>
        </is>
      </c>
      <c r="K3235" s="23" t="inlineStr">
        <is>
          <t>84x108 1/32</t>
        </is>
      </c>
      <c r="L3235" s="23" t="inlineStr">
        <is>
          <t>тв</t>
        </is>
      </c>
      <c r="M3235" s="23" t="n">
        <v>288</v>
      </c>
      <c r="N3235" s="23" t="n">
        <v>2015</v>
      </c>
      <c r="O3235" s="23" t="n">
        <v>248</v>
      </c>
      <c r="P3235" s="23" t="n"/>
      <c r="Q3235" s="23" t="n"/>
      <c r="R3235" s="25" t="n"/>
      <c r="S3235" s="26">
        <f>HYPERLINK("http://www.cnpol.ru/covers/16398.jpg","фото на сайте")</f>
        <v/>
      </c>
    </row>
    <row r="3236" ht="50.1" customHeight="1" s="3">
      <c r="A3236" s="23" t="n"/>
      <c r="B3236" s="24" t="inlineStr">
        <is>
          <t>17077</t>
        </is>
      </c>
      <c r="C3236" s="23" t="inlineStr">
        <is>
          <t>ОИ</t>
        </is>
      </c>
      <c r="D3236" s="23" t="inlineStr">
        <is>
          <t>Путин В.В.</t>
        </is>
      </c>
      <c r="E3236" s="23" t="inlineStr">
        <is>
          <t>Мысли о России. Президент о самом важном</t>
        </is>
      </c>
      <c r="F3236" s="23" t="inlineStr">
        <is>
          <t>        </t>
        </is>
      </c>
      <c r="G3236" s="23" t="n">
        <v>615</v>
      </c>
      <c r="H3236" s="23" t="n">
        <v>10</v>
      </c>
      <c r="I3236" s="23" t="n">
        <v>20</v>
      </c>
      <c r="J3236" s="23" t="inlineStr">
        <is>
          <t>978-5-227-06580-3</t>
        </is>
      </c>
      <c r="K3236" s="23" t="inlineStr">
        <is>
          <t>82x100 1/32</t>
        </is>
      </c>
      <c r="L3236" s="23" t="inlineStr">
        <is>
          <t>тв</t>
        </is>
      </c>
      <c r="M3236" s="23" t="n">
        <v>192</v>
      </c>
      <c r="N3236" s="23" t="n">
        <v>2016</v>
      </c>
      <c r="O3236" s="23" t="n">
        <v>250</v>
      </c>
      <c r="P3236" s="23" t="n"/>
      <c r="Q3236" s="23" t="n"/>
      <c r="R3236" s="25" t="n"/>
      <c r="S3236" s="26">
        <f>HYPERLINK("http://www.cnpol.ru/covers/17077.jpg","фото на сайте")</f>
        <v/>
      </c>
    </row>
    <row r="3237" ht="50.1" customHeight="1" s="3">
      <c r="A3237" s="23" t="n"/>
      <c r="B3237" s="24" t="inlineStr">
        <is>
          <t>17637</t>
        </is>
      </c>
      <c r="C3237" s="23" t="inlineStr">
        <is>
          <t>ОИ</t>
        </is>
      </c>
      <c r="D3237" s="23" t="inlineStr">
        <is>
          <t>Гранин Д.А</t>
        </is>
      </c>
      <c r="E3237" s="23" t="inlineStr">
        <is>
          <t>Она и всё остальное. Роман о любви и не только</t>
        </is>
      </c>
      <c r="F3237" s="23" t="inlineStr">
        <is>
          <t>        </t>
        </is>
      </c>
      <c r="G3237" s="23" t="n">
        <v>822</v>
      </c>
      <c r="H3237" s="23" t="n">
        <v>10</v>
      </c>
      <c r="I3237" s="23" t="n">
        <v>14</v>
      </c>
      <c r="J3237" s="23" t="inlineStr">
        <is>
          <t>978-5-227-07403-4</t>
        </is>
      </c>
      <c r="K3237" s="23" t="inlineStr">
        <is>
          <t>82x100 1/32</t>
        </is>
      </c>
      <c r="L3237" s="23" t="inlineStr">
        <is>
          <t>тв</t>
        </is>
      </c>
      <c r="M3237" s="23" t="n">
        <v>224</v>
      </c>
      <c r="N3237" s="23" t="n">
        <v>2017</v>
      </c>
      <c r="O3237" s="23" t="n">
        <v>272</v>
      </c>
      <c r="P3237" s="23" t="n"/>
      <c r="Q3237" s="23" t="n"/>
      <c r="R3237" s="25" t="n"/>
      <c r="S3237" s="26">
        <f>HYPERLINK("http://www.cnpol.ru/covers/17637.jpg","фото на сайте")</f>
        <v/>
      </c>
    </row>
    <row r="3238" ht="50.1" customHeight="1" s="3">
      <c r="A3238" s="23" t="n"/>
      <c r="B3238" s="24" t="inlineStr">
        <is>
          <t>17807</t>
        </is>
      </c>
      <c r="C3238" s="23" t="inlineStr">
        <is>
          <t>ОИ</t>
        </is>
      </c>
      <c r="D3238" s="23" t="inlineStr">
        <is>
          <t>Прокудин Н.</t>
        </is>
      </c>
      <c r="E3238" s="23" t="inlineStr">
        <is>
          <t>Охотники за пиратами ХХI. Защита торгового флота</t>
        </is>
      </c>
      <c r="F3238" s="23" t="inlineStr">
        <is>
          <t>        </t>
        </is>
      </c>
      <c r="G3238" s="23" t="n">
        <v>653</v>
      </c>
      <c r="H3238" s="23" t="n">
        <v>10</v>
      </c>
      <c r="I3238" s="23" t="n">
        <v>12</v>
      </c>
      <c r="J3238" s="23" t="inlineStr">
        <is>
          <t>978-5-227-07666-3</t>
        </is>
      </c>
      <c r="K3238" s="23" t="inlineStr">
        <is>
          <t>84x108 1/32</t>
        </is>
      </c>
      <c r="L3238" s="23" t="inlineStr">
        <is>
          <t>тв</t>
        </is>
      </c>
      <c r="M3238" s="23" t="n">
        <v>384</v>
      </c>
      <c r="N3238" s="23" t="n">
        <v>2017</v>
      </c>
      <c r="O3238" s="23" t="n">
        <v>314</v>
      </c>
      <c r="P3238" s="23" t="n"/>
      <c r="Q3238" s="23" t="n"/>
      <c r="R3238" s="25" t="n"/>
      <c r="S3238" s="26">
        <f>HYPERLINK("http://www.cnpol.ru/covers/17807.jpg","фото на сайте")</f>
        <v/>
      </c>
    </row>
    <row r="3239" ht="50.1" customHeight="1" s="3">
      <c r="A3239" s="23" t="n"/>
      <c r="B3239" s="24" t="inlineStr">
        <is>
          <t>17709</t>
        </is>
      </c>
      <c r="C3239" s="23" t="inlineStr">
        <is>
          <t>ОИ</t>
        </is>
      </c>
      <c r="D3239" s="23" t="inlineStr">
        <is>
          <t>Сейц Д. К</t>
        </is>
      </c>
      <c r="E3239" s="23" t="inlineStr">
        <is>
          <t>Под черным флагом. Истории знаменитых пиратов Вест­Индии, Атлантики и Малабарского берега.</t>
        </is>
      </c>
      <c r="F3239" s="23" t="inlineStr">
        <is>
          <t>        </t>
        </is>
      </c>
      <c r="G3239" s="23" t="n">
        <v>593</v>
      </c>
      <c r="H3239" s="23" t="n">
        <v>10</v>
      </c>
      <c r="I3239" s="23" t="n">
        <v>10</v>
      </c>
      <c r="J3239" s="23" t="inlineStr">
        <is>
          <t>978-5-9524-5278-7</t>
        </is>
      </c>
      <c r="K3239" s="23" t="inlineStr">
        <is>
          <t>84x108 1/32</t>
        </is>
      </c>
      <c r="L3239" s="23" t="inlineStr">
        <is>
          <t>тв</t>
        </is>
      </c>
      <c r="M3239" s="23" t="n">
        <v>416</v>
      </c>
      <c r="N3239" s="23" t="n">
        <v>2017</v>
      </c>
      <c r="O3239" s="23" t="n">
        <v>332</v>
      </c>
      <c r="P3239" s="23" t="n"/>
      <c r="Q3239" s="23" t="n"/>
      <c r="R3239" s="25" t="n"/>
      <c r="S3239" s="26">
        <f>HYPERLINK("http://www.cnpol.ru/covers/17709.jpg","фото на сайте")</f>
        <v/>
      </c>
    </row>
    <row r="3240" ht="50.1" customHeight="1" s="3">
      <c r="A3240" s="23" t="n"/>
      <c r="B3240" s="24" t="inlineStr">
        <is>
          <t>17030</t>
        </is>
      </c>
      <c r="C3240" s="23" t="inlineStr">
        <is>
          <t>ОИ</t>
        </is>
      </c>
      <c r="D3240" s="23" t="inlineStr">
        <is>
          <t>Лимонов Э.В</t>
        </is>
      </c>
      <c r="E3240" s="23" t="inlineStr">
        <is>
          <t>Последние известия</t>
        </is>
      </c>
      <c r="F3240" s="23" t="inlineStr">
        <is>
          <t>        </t>
        </is>
      </c>
      <c r="G3240" s="23" t="n">
        <v>704</v>
      </c>
      <c r="H3240" s="23" t="n">
        <v>10</v>
      </c>
      <c r="I3240" s="23" t="n">
        <v>12</v>
      </c>
      <c r="J3240" s="23" t="inlineStr">
        <is>
          <t>978-5-227-06594-0</t>
        </is>
      </c>
      <c r="K3240" s="23" t="inlineStr">
        <is>
          <t>84x108 1/32</t>
        </is>
      </c>
      <c r="L3240" s="23" t="inlineStr">
        <is>
          <t>тв</t>
        </is>
      </c>
      <c r="M3240" s="23" t="n">
        <v>416</v>
      </c>
      <c r="N3240" s="23" t="n">
        <v>2016</v>
      </c>
      <c r="O3240" s="23" t="n">
        <v>412</v>
      </c>
      <c r="P3240" s="23" t="n"/>
      <c r="Q3240" s="23" t="n"/>
      <c r="R3240" s="25" t="n"/>
      <c r="S3240" s="26">
        <f>HYPERLINK("http://www.cnpol.ru/covers/17030.jpg","фото на сайте")</f>
        <v/>
      </c>
    </row>
    <row r="3241" ht="50.1" customHeight="1" s="3">
      <c r="A3241" s="23" t="n"/>
      <c r="B3241" s="24" t="inlineStr">
        <is>
          <t>18070</t>
        </is>
      </c>
      <c r="C3241" s="23" t="inlineStr">
        <is>
          <t>ОИ</t>
        </is>
      </c>
      <c r="D3241" s="23" t="inlineStr">
        <is>
          <t>Путин В.В.</t>
        </is>
      </c>
      <c r="E3241" s="23" t="inlineStr">
        <is>
          <t>Президент о самом разном</t>
        </is>
      </c>
      <c r="F3241" s="23" t="inlineStr">
        <is>
          <t>        </t>
        </is>
      </c>
      <c r="G3241" s="23" t="n">
        <v>554</v>
      </c>
      <c r="H3241" s="23" t="n">
        <v>10</v>
      </c>
      <c r="I3241" s="23" t="n">
        <v>16</v>
      </c>
      <c r="J3241" s="23" t="inlineStr">
        <is>
          <t>978-5-227-07841-4</t>
        </is>
      </c>
      <c r="K3241" s="23" t="inlineStr">
        <is>
          <t>70x108 1/32</t>
        </is>
      </c>
      <c r="L3241" s="23" t="inlineStr">
        <is>
          <t>тв</t>
        </is>
      </c>
      <c r="M3241" s="23" t="n">
        <v>144</v>
      </c>
      <c r="N3241" s="23" t="n">
        <v>2018</v>
      </c>
      <c r="O3241" s="23" t="n">
        <v>198</v>
      </c>
      <c r="P3241" s="23" t="n"/>
      <c r="Q3241" s="23" t="n"/>
      <c r="R3241" s="25" t="n"/>
      <c r="S3241" s="26">
        <f>HYPERLINK("http://www.cnpol.ru/covers/18070.jpg","фото на сайте")</f>
        <v/>
      </c>
    </row>
    <row r="3242" ht="50.1" customHeight="1" s="3">
      <c r="A3242" s="23" t="n"/>
      <c r="B3242" s="24" t="inlineStr">
        <is>
          <t>19688</t>
        </is>
      </c>
      <c r="C3242" s="23" t="inlineStr">
        <is>
          <t>ОИ</t>
        </is>
      </c>
      <c r="D3242" s="23" t="inlineStr">
        <is>
          <t>Рокфеллер Д.Д.</t>
        </is>
      </c>
      <c r="E3242" s="23" t="inlineStr">
        <is>
          <t>Путь к богатству. Мемуары первого миллиардера (оф. 1)</t>
        </is>
      </c>
      <c r="F3242" s="23" t="inlineStr">
        <is>
          <t>        </t>
        </is>
      </c>
      <c r="G3242" s="23" t="n">
        <v>593</v>
      </c>
      <c r="H3242" s="23" t="n">
        <v>10</v>
      </c>
      <c r="I3242" s="23" t="n">
        <v>14</v>
      </c>
      <c r="J3242" s="23" t="inlineStr">
        <is>
          <t>978-5-227-09514-5</t>
        </is>
      </c>
      <c r="K3242" s="23" t="inlineStr">
        <is>
          <t>84x108 1/32</t>
        </is>
      </c>
      <c r="L3242" s="23" t="inlineStr">
        <is>
          <t>тв</t>
        </is>
      </c>
      <c r="M3242" s="23" t="n">
        <v>224</v>
      </c>
      <c r="N3242" s="23" t="n">
        <v>2021</v>
      </c>
      <c r="O3242" s="23" t="n">
        <v>220</v>
      </c>
      <c r="P3242" s="23" t="n"/>
      <c r="Q3242" s="23" t="n"/>
      <c r="R3242" s="25" t="n"/>
      <c r="S3242" s="26">
        <f>HYPERLINK("http://www.cnpol.ru/covers/19688.jpg","фото на сайте")</f>
        <v/>
      </c>
    </row>
    <row r="3243" ht="50.1" customHeight="1" s="3">
      <c r="A3243" s="23" t="n"/>
      <c r="B3243" s="24" t="inlineStr">
        <is>
          <t>17810</t>
        </is>
      </c>
      <c r="C3243" s="23" t="inlineStr">
        <is>
          <t>ОИ</t>
        </is>
      </c>
      <c r="D3243" s="23" t="inlineStr">
        <is>
          <t>Черняк Е.Б.</t>
        </is>
      </c>
      <c r="E3243" s="23" t="inlineStr">
        <is>
          <t>Пять столетий тайной войны</t>
        </is>
      </c>
      <c r="F3243" s="23" t="inlineStr">
        <is>
          <t>        </t>
        </is>
      </c>
      <c r="G3243" s="27" t="n">
        <v>1165</v>
      </c>
      <c r="H3243" s="23" t="n">
        <v>10</v>
      </c>
      <c r="I3243" s="23" t="n">
        <v>8</v>
      </c>
      <c r="J3243" s="23" t="inlineStr">
        <is>
          <t>978-5-227-07520-8</t>
        </is>
      </c>
      <c r="K3243" s="23" t="inlineStr">
        <is>
          <t>60x90 1/16</t>
        </is>
      </c>
      <c r="L3243" s="23" t="inlineStr">
        <is>
          <t>тв</t>
        </is>
      </c>
      <c r="M3243" s="23" t="n">
        <v>752</v>
      </c>
      <c r="N3243" s="23" t="n">
        <v>2017</v>
      </c>
      <c r="O3243" s="23" t="n">
        <v>758</v>
      </c>
      <c r="P3243" s="23" t="n"/>
      <c r="Q3243" s="23" t="n"/>
      <c r="R3243" s="25" t="n"/>
      <c r="S3243" s="26">
        <f>HYPERLINK("http://www.cnpol.ru/covers/17810.jpg","фото на сайте")</f>
        <v/>
      </c>
    </row>
    <row r="3244" ht="50.1" customHeight="1" s="3">
      <c r="A3244" s="23" t="n"/>
      <c r="B3244" s="24" t="inlineStr">
        <is>
          <t>17552</t>
        </is>
      </c>
      <c r="C3244" s="23" t="inlineStr">
        <is>
          <t>ОИ</t>
        </is>
      </c>
      <c r="D3244" s="23" t="inlineStr">
        <is>
          <t>Давид Анин</t>
        </is>
      </c>
      <c r="E3244" s="23" t="inlineStr">
        <is>
          <t>Революция 1917г. Глазами её руководителей</t>
        </is>
      </c>
      <c r="F3244" s="23" t="inlineStr">
        <is>
          <t>        </t>
        </is>
      </c>
      <c r="G3244" s="23" t="n">
        <v>593</v>
      </c>
      <c r="H3244" s="23" t="n">
        <v>10</v>
      </c>
      <c r="I3244" s="23" t="n">
        <v>12</v>
      </c>
      <c r="J3244" s="23" t="inlineStr">
        <is>
          <t>978-5-9524-5269-5</t>
        </is>
      </c>
      <c r="K3244" s="23" t="inlineStr">
        <is>
          <t>84x108 1/32</t>
        </is>
      </c>
      <c r="L3244" s="23" t="inlineStr">
        <is>
          <t>тв</t>
        </is>
      </c>
      <c r="M3244" s="23" t="n">
        <v>352</v>
      </c>
      <c r="N3244" s="23" t="n">
        <v>2017</v>
      </c>
      <c r="O3244" s="23" t="n">
        <v>292</v>
      </c>
      <c r="P3244" s="23" t="n"/>
      <c r="Q3244" s="23" t="n"/>
      <c r="R3244" s="25" t="n"/>
      <c r="S3244" s="26">
        <f>HYPERLINK("http://www.cnpol.ru/covers/17552.jpg","фото на сайте")</f>
        <v/>
      </c>
    </row>
    <row r="3245" ht="50.1" customHeight="1" s="3">
      <c r="A3245" s="23" t="n"/>
      <c r="B3245" s="24" t="inlineStr">
        <is>
          <t>17752</t>
        </is>
      </c>
      <c r="C3245" s="23" t="inlineStr">
        <is>
          <t>ОИ</t>
        </is>
      </c>
      <c r="D3245" s="23" t="inlineStr">
        <is>
          <t>Рябинский К.</t>
        </is>
      </c>
      <c r="E3245" s="23" t="inlineStr">
        <is>
          <t>Революция 1917г. Октябрь. Хроника событий</t>
        </is>
      </c>
      <c r="F3245" s="23" t="inlineStr">
        <is>
          <t>        </t>
        </is>
      </c>
      <c r="G3245" s="23" t="n">
        <v>704</v>
      </c>
      <c r="H3245" s="23" t="n">
        <v>10</v>
      </c>
      <c r="I3245" s="23" t="n">
        <v>8</v>
      </c>
      <c r="J3245" s="23" t="inlineStr">
        <is>
          <t>978-5-227-07804-9</t>
        </is>
      </c>
      <c r="K3245" s="23" t="inlineStr">
        <is>
          <t>84x108 1/32</t>
        </is>
      </c>
      <c r="L3245" s="23" t="inlineStr">
        <is>
          <t>тв</t>
        </is>
      </c>
      <c r="M3245" s="23" t="n">
        <v>576</v>
      </c>
      <c r="N3245" s="23" t="n">
        <v>2017</v>
      </c>
      <c r="O3245" s="23" t="n">
        <v>420</v>
      </c>
      <c r="P3245" s="23" t="n"/>
      <c r="Q3245" s="23" t="n"/>
      <c r="R3245" s="25" t="n"/>
      <c r="S3245" s="26">
        <f>HYPERLINK("http://www.cnpol.ru/covers/17752.jpg","фото на сайте")</f>
        <v/>
      </c>
    </row>
    <row r="3246" ht="50.1" customHeight="1" s="3">
      <c r="A3246" s="23" t="n"/>
      <c r="B3246" s="24" t="inlineStr">
        <is>
          <t>18025</t>
        </is>
      </c>
      <c r="C3246" s="23" t="inlineStr">
        <is>
          <t>ОИ</t>
        </is>
      </c>
      <c r="D3246" s="23" t="inlineStr">
        <is>
          <t>Путин В.В.</t>
        </is>
      </c>
      <c r="E3246" s="23" t="inlineStr">
        <is>
          <t>Россия, устремленная в будущее. Веское слово президента</t>
        </is>
      </c>
      <c r="F3246" s="23" t="inlineStr">
        <is>
          <t>        </t>
        </is>
      </c>
      <c r="G3246" s="23" t="n">
        <v>615</v>
      </c>
      <c r="H3246" s="23" t="n">
        <v>10</v>
      </c>
      <c r="I3246" s="23" t="n">
        <v>12</v>
      </c>
      <c r="J3246" s="23" t="inlineStr">
        <is>
          <t>978-5-227-07831-5</t>
        </is>
      </c>
      <c r="K3246" s="23" t="inlineStr">
        <is>
          <t>82x100 1/32</t>
        </is>
      </c>
      <c r="L3246" s="23" t="inlineStr">
        <is>
          <t>тв</t>
        </is>
      </c>
      <c r="M3246" s="23" t="n">
        <v>256</v>
      </c>
      <c r="N3246" s="23" t="n">
        <v>2018</v>
      </c>
      <c r="O3246" s="23" t="n">
        <v>296</v>
      </c>
      <c r="P3246" s="23" t="n"/>
      <c r="Q3246" s="23" t="n"/>
      <c r="R3246" s="25" t="n"/>
      <c r="S3246" s="26">
        <f>HYPERLINK("http://www.cnpol.ru/covers/18025.jpg","фото на сайте")</f>
        <v/>
      </c>
    </row>
    <row r="3247" ht="50.1" customHeight="1" s="3">
      <c r="A3247" s="23" t="n"/>
      <c r="B3247" s="24" t="inlineStr">
        <is>
          <t>17193</t>
        </is>
      </c>
      <c r="C3247" s="23" t="inlineStr">
        <is>
          <t>ОИ</t>
        </is>
      </c>
      <c r="D3247" s="23" t="inlineStr">
        <is>
          <t>Цветков С.Э.</t>
        </is>
      </c>
      <c r="E3247" s="23" t="inlineStr">
        <is>
          <t>Русская земля. Между язычеством и христианством. От князя Игоря до сына Святослава</t>
        </is>
      </c>
      <c r="F3247" s="23" t="inlineStr">
        <is>
          <t>        </t>
        </is>
      </c>
      <c r="G3247" s="23" t="n">
        <v>927</v>
      </c>
      <c r="H3247" s="23" t="n">
        <v>10</v>
      </c>
      <c r="I3247" s="23" t="n">
        <v>12</v>
      </c>
      <c r="J3247" s="23" t="inlineStr">
        <is>
          <t>978-5-227-07134-7</t>
        </is>
      </c>
      <c r="K3247" s="23" t="inlineStr">
        <is>
          <t>60x90 1/16</t>
        </is>
      </c>
      <c r="L3247" s="23" t="inlineStr">
        <is>
          <t>тв</t>
        </is>
      </c>
      <c r="M3247" s="23" t="n">
        <v>464</v>
      </c>
      <c r="N3247" s="23" t="n">
        <v>2016</v>
      </c>
      <c r="O3247" s="23" t="n">
        <v>510</v>
      </c>
      <c r="P3247" s="23" t="n"/>
      <c r="Q3247" s="23" t="n"/>
      <c r="R3247" s="25" t="n"/>
      <c r="S3247" s="26">
        <f>HYPERLINK("http://www.cnpol.ru/covers/17193.jpg","фото на сайте")</f>
        <v/>
      </c>
    </row>
    <row r="3248" ht="50.1" customHeight="1" s="3">
      <c r="A3248" s="23" t="n"/>
      <c r="B3248" s="24" t="inlineStr">
        <is>
          <t>18057</t>
        </is>
      </c>
      <c r="C3248" s="23" t="inlineStr">
        <is>
          <t>ОИ</t>
        </is>
      </c>
      <c r="D3248" s="23" t="inlineStr">
        <is>
          <t>Буткевич Т.</t>
        </is>
      </c>
      <c r="E3248" s="23" t="inlineStr">
        <is>
          <t>Русские секты и их толки</t>
        </is>
      </c>
      <c r="F3248" s="23" t="inlineStr">
        <is>
          <t>        </t>
        </is>
      </c>
      <c r="G3248" s="23" t="n">
        <v>851</v>
      </c>
      <c r="H3248" s="23" t="n">
        <v>10</v>
      </c>
      <c r="I3248" s="23" t="n">
        <v>8</v>
      </c>
      <c r="J3248" s="23" t="inlineStr">
        <is>
          <t>978-5-227-07820-9</t>
        </is>
      </c>
      <c r="K3248" s="23" t="inlineStr">
        <is>
          <t>60x90 1/16</t>
        </is>
      </c>
      <c r="L3248" s="23" t="inlineStr">
        <is>
          <t>тв</t>
        </is>
      </c>
      <c r="M3248" s="23" t="n">
        <v>560</v>
      </c>
      <c r="N3248" s="23" t="n">
        <v>2018</v>
      </c>
      <c r="O3248" s="23" t="n">
        <v>462</v>
      </c>
      <c r="P3248" s="23" t="n"/>
      <c r="Q3248" s="23" t="n"/>
      <c r="R3248" s="25" t="n"/>
      <c r="S3248" s="26">
        <f>HYPERLINK("http://www.cnpol.ru/covers/18057.jpg","фото на сайте")</f>
        <v/>
      </c>
    </row>
    <row r="3249" ht="50.1" customHeight="1" s="3">
      <c r="A3249" s="23" t="n"/>
      <c r="B3249" s="24" t="inlineStr">
        <is>
          <t>18005</t>
        </is>
      </c>
      <c r="C3249" s="23" t="inlineStr">
        <is>
          <t>ОИ</t>
        </is>
      </c>
      <c r="D3249" s="23" t="inlineStr">
        <is>
          <t>Романюк С.К</t>
        </is>
      </c>
      <c r="E3249" s="23" t="inlineStr">
        <is>
          <t>Русский Лондон</t>
        </is>
      </c>
      <c r="F3249" s="23" t="inlineStr">
        <is>
          <t>        </t>
        </is>
      </c>
      <c r="G3249" s="27" t="n">
        <v>1478</v>
      </c>
      <c r="H3249" s="23" t="n">
        <v>10</v>
      </c>
      <c r="I3249" s="23" t="n">
        <v>5</v>
      </c>
      <c r="J3249" s="23" t="inlineStr">
        <is>
          <t>978-5-227-07830-8</t>
        </is>
      </c>
      <c r="K3249" s="23" t="inlineStr">
        <is>
          <t>70х90 1/16</t>
        </is>
      </c>
      <c r="L3249" s="23" t="inlineStr">
        <is>
          <t>тв</t>
        </is>
      </c>
      <c r="M3249" s="23" t="n">
        <v>656</v>
      </c>
      <c r="N3249" s="23" t="n">
        <v>2018</v>
      </c>
      <c r="O3249" s="23" t="n">
        <v>884</v>
      </c>
      <c r="P3249" s="23" t="n"/>
      <c r="Q3249" s="23" t="n"/>
      <c r="R3249" s="25" t="n"/>
      <c r="S3249" s="26">
        <f>HYPERLINK("http://www.cnpol.ru/covers/18005.jpg","фото на сайте")</f>
        <v/>
      </c>
    </row>
    <row r="3250" ht="50.1" customHeight="1" s="3">
      <c r="A3250" s="23" t="n"/>
      <c r="B3250" s="24" t="inlineStr">
        <is>
          <t>18233</t>
        </is>
      </c>
      <c r="C3250" s="23" t="inlineStr">
        <is>
          <t>ОИ</t>
        </is>
      </c>
      <c r="D3250" s="23" t="inlineStr">
        <is>
          <t>Томчин А.</t>
        </is>
      </c>
      <c r="E3250" s="23" t="inlineStr">
        <is>
          <t>Русский менталитет. Рашен - безбашен? За что русским можно простить любые недостатки</t>
        </is>
      </c>
      <c r="F3250" s="23" t="inlineStr">
        <is>
          <t>        </t>
        </is>
      </c>
      <c r="G3250" s="23" t="n">
        <v>593</v>
      </c>
      <c r="H3250" s="23" t="n">
        <v>10</v>
      </c>
      <c r="I3250" s="23" t="n">
        <v>12</v>
      </c>
      <c r="J3250" s="23" t="inlineStr">
        <is>
          <t>978-5-227-07863-6</t>
        </is>
      </c>
      <c r="K3250" s="23" t="inlineStr">
        <is>
          <t>84x108 1/32</t>
        </is>
      </c>
      <c r="L3250" s="23" t="inlineStr">
        <is>
          <t>тв</t>
        </is>
      </c>
      <c r="M3250" s="23" t="n">
        <v>384</v>
      </c>
      <c r="N3250" s="23" t="n">
        <v>2018</v>
      </c>
      <c r="O3250" s="23" t="n">
        <v>316</v>
      </c>
      <c r="P3250" s="23" t="n"/>
      <c r="Q3250" s="23" t="n"/>
      <c r="R3250" s="25" t="n"/>
      <c r="S3250" s="26">
        <f>HYPERLINK("http://www.cnpol.ru/covers/18233.jpg","фото на сайте")</f>
        <v/>
      </c>
    </row>
    <row r="3251" ht="50.1" customHeight="1" s="3">
      <c r="A3251" s="23" t="n"/>
      <c r="B3251" s="24" t="inlineStr">
        <is>
          <t>16838</t>
        </is>
      </c>
      <c r="C3251" s="23" t="inlineStr">
        <is>
          <t>ОИ</t>
        </is>
      </c>
      <c r="D3251" s="23" t="inlineStr">
        <is>
          <t>Эсбридж Т.</t>
        </is>
      </c>
      <c r="E3251" s="23" t="inlineStr">
        <is>
          <t>Рыцарь пяти королей. История Ульмана Маршала, прославленного героя Средневековья</t>
        </is>
      </c>
      <c r="F3251" s="23" t="inlineStr">
        <is>
          <t>        </t>
        </is>
      </c>
      <c r="G3251" s="23" t="n">
        <v>968</v>
      </c>
      <c r="H3251" s="23" t="n">
        <v>10</v>
      </c>
      <c r="I3251" s="23" t="n">
        <v>14</v>
      </c>
      <c r="J3251" s="23" t="inlineStr">
        <is>
          <t>978-5-227-06778-4</t>
        </is>
      </c>
      <c r="K3251" s="23" t="inlineStr">
        <is>
          <t>84x108 1/32</t>
        </is>
      </c>
      <c r="L3251" s="23" t="inlineStr">
        <is>
          <t>тв</t>
        </is>
      </c>
      <c r="M3251" s="23" t="n">
        <v>416</v>
      </c>
      <c r="N3251" s="23" t="n">
        <v>2016</v>
      </c>
      <c r="O3251" s="23" t="n">
        <v>438</v>
      </c>
      <c r="P3251" s="23" t="n"/>
      <c r="Q3251" s="23" t="n"/>
      <c r="R3251" s="25" t="n"/>
      <c r="S3251" s="26">
        <f>HYPERLINK("http://www.cnpol.ru/covers/16838.jpg","фото на сайте")</f>
        <v/>
      </c>
    </row>
    <row r="3252" ht="50.1" customHeight="1" s="3">
      <c r="A3252" s="23" t="n"/>
      <c r="B3252" s="24" t="inlineStr">
        <is>
          <t>17366</t>
        </is>
      </c>
      <c r="C3252" s="23" t="inlineStr">
        <is>
          <t>ОИ</t>
        </is>
      </c>
      <c r="D3252" s="23" t="inlineStr">
        <is>
          <t>Лимонов Э.В</t>
        </is>
      </c>
      <c r="E3252" s="23" t="inlineStr">
        <is>
          <t>Свежая пресса</t>
        </is>
      </c>
      <c r="F3252" s="23" t="inlineStr">
        <is>
          <t>        </t>
        </is>
      </c>
      <c r="G3252" s="23" t="n">
        <v>743</v>
      </c>
      <c r="H3252" s="23" t="n">
        <v>10</v>
      </c>
      <c r="I3252" s="23" t="n">
        <v>10</v>
      </c>
      <c r="J3252" s="23" t="inlineStr">
        <is>
          <t>978-5-227-06638-1</t>
        </is>
      </c>
      <c r="K3252" s="23" t="inlineStr">
        <is>
          <t>84x108 1/32</t>
        </is>
      </c>
      <c r="L3252" s="23" t="inlineStr">
        <is>
          <t>тв</t>
        </is>
      </c>
      <c r="M3252" s="23" t="n">
        <v>448</v>
      </c>
      <c r="N3252" s="23" t="n">
        <v>2017</v>
      </c>
      <c r="O3252" s="23" t="n">
        <v>450</v>
      </c>
      <c r="P3252" s="23" t="n"/>
      <c r="Q3252" s="23" t="n"/>
      <c r="R3252" s="25" t="n"/>
      <c r="S3252" s="26">
        <f>HYPERLINK("http://www.cnpol.ru/covers/17366.jpg","фото на сайте")</f>
        <v/>
      </c>
    </row>
    <row r="3253" ht="50.1" customHeight="1" s="3">
      <c r="A3253" s="23" t="n"/>
      <c r="B3253" s="24" t="inlineStr">
        <is>
          <t>18031</t>
        </is>
      </c>
      <c r="C3253" s="23" t="inlineStr">
        <is>
          <t>ОИ</t>
        </is>
      </c>
      <c r="D3253" s="23" t="inlineStr">
        <is>
          <t>Лимонов Э.В</t>
        </is>
      </c>
      <c r="E3253" s="23" t="inlineStr">
        <is>
          <t>Сводка новостей. Путин - отец, Макрон - сын, Собчак - дочь</t>
        </is>
      </c>
      <c r="F3253" s="23" t="inlineStr">
        <is>
          <t>        </t>
        </is>
      </c>
      <c r="G3253" s="23" t="n">
        <v>633</v>
      </c>
      <c r="H3253" s="23" t="n">
        <v>10</v>
      </c>
      <c r="I3253" s="23" t="n">
        <v>18</v>
      </c>
      <c r="J3253" s="23" t="inlineStr">
        <is>
          <t>978-5-227-07834-6</t>
        </is>
      </c>
      <c r="K3253" s="23" t="inlineStr">
        <is>
          <t>84x108 1/32</t>
        </is>
      </c>
      <c r="L3253" s="23" t="inlineStr">
        <is>
          <t>тв</t>
        </is>
      </c>
      <c r="M3253" s="23" t="n">
        <v>288</v>
      </c>
      <c r="N3253" s="23" t="n">
        <v>2018</v>
      </c>
      <c r="O3253" s="23" t="n">
        <v>322</v>
      </c>
      <c r="P3253" s="23" t="n"/>
      <c r="Q3253" s="23" t="n"/>
      <c r="R3253" s="25" t="n"/>
      <c r="S3253" s="26">
        <f>HYPERLINK("http://www.cnpol.ru/covers/18031.jpg","фото на сайте")</f>
        <v/>
      </c>
    </row>
    <row r="3254" ht="50.1" customHeight="1" s="3">
      <c r="A3254" s="23" t="n"/>
      <c r="B3254" s="24" t="inlineStr">
        <is>
          <t>17859</t>
        </is>
      </c>
      <c r="C3254" s="23" t="inlineStr">
        <is>
          <t>ОИ</t>
        </is>
      </c>
      <c r="D3254" s="23" t="inlineStr">
        <is>
          <t>Синицын Федор</t>
        </is>
      </c>
      <c r="E3254" s="23" t="inlineStr">
        <is>
          <t>Советская нация и война</t>
        </is>
      </c>
      <c r="F3254" s="23" t="inlineStr">
        <is>
          <t>        </t>
        </is>
      </c>
      <c r="G3254" s="23" t="n">
        <v>763</v>
      </c>
      <c r="H3254" s="23" t="n">
        <v>10</v>
      </c>
      <c r="I3254" s="23" t="n">
        <v>8</v>
      </c>
      <c r="J3254" s="23" t="inlineStr">
        <is>
          <t>978-5-227-07607-6</t>
        </is>
      </c>
      <c r="K3254" s="23" t="inlineStr">
        <is>
          <t>84x108 1/32</t>
        </is>
      </c>
      <c r="L3254" s="23" t="inlineStr">
        <is>
          <t>тв</t>
        </is>
      </c>
      <c r="M3254" s="23" t="n">
        <v>544</v>
      </c>
      <c r="N3254" s="23" t="n">
        <v>2017</v>
      </c>
      <c r="O3254" s="23" t="n">
        <v>512</v>
      </c>
      <c r="P3254" s="23" t="n"/>
      <c r="Q3254" s="23" t="n"/>
      <c r="R3254" s="25" t="n"/>
      <c r="S3254" s="26">
        <f>HYPERLINK("http://www.cnpol.ru/covers/17859.jpg","фото на сайте")</f>
        <v/>
      </c>
    </row>
    <row r="3255" ht="50.1" customHeight="1" s="3">
      <c r="A3255" s="23" t="n"/>
      <c r="B3255" s="24" t="inlineStr">
        <is>
          <t>16914</t>
        </is>
      </c>
      <c r="C3255" s="23" t="inlineStr">
        <is>
          <t>ОИ</t>
        </is>
      </c>
      <c r="D3255" s="23" t="inlineStr">
        <is>
          <t>Кузнечевский В.Д.</t>
        </is>
      </c>
      <c r="E3255" s="23" t="inlineStr">
        <is>
          <t>Сталин и "русский вопрос"</t>
        </is>
      </c>
      <c r="F3255" s="23" t="inlineStr">
        <is>
          <t>        </t>
        </is>
      </c>
      <c r="G3255" s="23" t="n">
        <v>653</v>
      </c>
      <c r="H3255" s="23" t="n">
        <v>10</v>
      </c>
      <c r="I3255" s="23" t="n">
        <v>14</v>
      </c>
      <c r="J3255" s="23" t="inlineStr">
        <is>
          <t>978-5-227-06584-1</t>
        </is>
      </c>
      <c r="K3255" s="23" t="inlineStr">
        <is>
          <t>84x108 1/32</t>
        </is>
      </c>
      <c r="L3255" s="23" t="inlineStr">
        <is>
          <t>тв</t>
        </is>
      </c>
      <c r="M3255" s="23" t="n">
        <v>288</v>
      </c>
      <c r="N3255" s="23" t="n">
        <v>2016</v>
      </c>
      <c r="O3255" s="23" t="n">
        <v>316</v>
      </c>
      <c r="P3255" s="23" t="n"/>
      <c r="Q3255" s="23" t="n"/>
      <c r="R3255" s="25" t="n"/>
      <c r="S3255" s="26">
        <f>HYPERLINK("http://www.cnpol.ru/covers/16914.jpg","фото на сайте")</f>
        <v/>
      </c>
    </row>
    <row r="3256" ht="50.1" customHeight="1" s="3">
      <c r="A3256" s="23" t="n"/>
      <c r="B3256" s="24" t="inlineStr">
        <is>
          <t>18037</t>
        </is>
      </c>
      <c r="C3256" s="23" t="inlineStr">
        <is>
          <t>ОИ</t>
        </is>
      </c>
      <c r="D3256" s="23" t="inlineStr">
        <is>
          <t>Рязанов С</t>
        </is>
      </c>
      <c r="E3256" s="23" t="inlineStr">
        <is>
          <t>Сталин или русские. Русский вопрос в сталинском СССР</t>
        </is>
      </c>
      <c r="F3256" s="23" t="inlineStr">
        <is>
          <t>        </t>
        </is>
      </c>
      <c r="G3256" s="23" t="n">
        <v>508</v>
      </c>
      <c r="H3256" s="23" t="n">
        <v>10</v>
      </c>
      <c r="I3256" s="23" t="n">
        <v>16</v>
      </c>
      <c r="J3256" s="23" t="inlineStr">
        <is>
          <t>978-5-227-07816-2</t>
        </is>
      </c>
      <c r="K3256" s="23" t="inlineStr">
        <is>
          <t>84x108 1/32</t>
        </is>
      </c>
      <c r="L3256" s="23" t="inlineStr">
        <is>
          <t>тв</t>
        </is>
      </c>
      <c r="M3256" s="23" t="n">
        <v>256</v>
      </c>
      <c r="N3256" s="23" t="n">
        <v>2018</v>
      </c>
      <c r="O3256" s="23" t="n">
        <v>232</v>
      </c>
      <c r="P3256" s="23" t="n"/>
      <c r="Q3256" s="23" t="n"/>
      <c r="R3256" s="25" t="n"/>
      <c r="S3256" s="26">
        <f>HYPERLINK("http://www.cnpol.ru/covers/18037.jpg","фото на сайте")</f>
        <v/>
      </c>
    </row>
    <row r="3257" ht="50.1" customHeight="1" s="3">
      <c r="A3257" s="23" t="n"/>
      <c r="B3257" s="24" t="inlineStr">
        <is>
          <t>17518</t>
        </is>
      </c>
      <c r="C3257" s="23" t="inlineStr">
        <is>
          <t>ОИ</t>
        </is>
      </c>
      <c r="D3257" s="23" t="inlineStr">
        <is>
          <t>Регельсон Л.Л.</t>
        </is>
      </c>
      <c r="E3257" s="23" t="inlineStr">
        <is>
          <t>Трагедия русской церкви 1917-53 гг.</t>
        </is>
      </c>
      <c r="F3257" s="23" t="inlineStr">
        <is>
          <t>        </t>
        </is>
      </c>
      <c r="G3257" s="23" t="n">
        <v>615</v>
      </c>
      <c r="H3257" s="23" t="n">
        <v>10</v>
      </c>
      <c r="I3257" s="23" t="n">
        <v>10</v>
      </c>
      <c r="J3257" s="23" t="inlineStr">
        <is>
          <t>978-5-227-07496-6</t>
        </is>
      </c>
      <c r="K3257" s="23" t="inlineStr">
        <is>
          <t>84x108 1/32</t>
        </is>
      </c>
      <c r="L3257" s="23" t="inlineStr">
        <is>
          <t>тв</t>
        </is>
      </c>
      <c r="M3257" s="23" t="n">
        <v>416</v>
      </c>
      <c r="N3257" s="23" t="n">
        <v>2017</v>
      </c>
      <c r="O3257" s="23" t="n">
        <v>328</v>
      </c>
      <c r="P3257" s="23" t="n"/>
      <c r="Q3257" s="23" t="n"/>
      <c r="R3257" s="25" t="n"/>
      <c r="S3257" s="26">
        <f>HYPERLINK("http://www.cnpol.ru/covers/17518.jpg","фото на сайте")</f>
        <v/>
      </c>
    </row>
    <row r="3258" ht="50.1" customHeight="1" s="3">
      <c r="A3258" s="23" t="n"/>
      <c r="B3258" s="24" t="inlineStr">
        <is>
          <t>20293</t>
        </is>
      </c>
      <c r="C3258" s="23" t="inlineStr">
        <is>
          <t>ОИ</t>
        </is>
      </c>
      <c r="D3258" s="23" t="inlineStr">
        <is>
          <t>Роуэн Р.У.</t>
        </is>
      </c>
      <c r="E3258" s="23" t="inlineStr">
        <is>
          <t>Три тысячелетия секретных служб мира. Заказчики и исполнители тайных миссий и операций</t>
        </is>
      </c>
      <c r="F3258" s="23" t="inlineStr">
        <is>
          <t>        </t>
        </is>
      </c>
      <c r="G3258" s="23" t="n">
        <v>986</v>
      </c>
      <c r="H3258" s="23" t="n">
        <v>10</v>
      </c>
      <c r="I3258" s="23" t="n">
        <v>8</v>
      </c>
      <c r="J3258" s="23" t="inlineStr">
        <is>
          <t>978-5-9524-5794-2</t>
        </is>
      </c>
      <c r="K3258" s="23" t="inlineStr">
        <is>
          <t>60x90 1/16</t>
        </is>
      </c>
      <c r="L3258" s="23" t="inlineStr">
        <is>
          <t>тв</t>
        </is>
      </c>
      <c r="M3258" s="23" t="n">
        <v>624</v>
      </c>
      <c r="N3258" s="23" t="n">
        <v>2022</v>
      </c>
      <c r="O3258" s="23" t="n">
        <v>660</v>
      </c>
      <c r="P3258" s="23" t="n"/>
      <c r="Q3258" s="23" t="n"/>
      <c r="R3258" s="25" t="n"/>
      <c r="S3258" s="26">
        <f>HYPERLINK("http://www.cnpol.ru/covers/20293.jpg","фото на сайте")</f>
        <v/>
      </c>
    </row>
    <row r="3259" ht="50.1" customHeight="1" s="3">
      <c r="A3259" s="23" t="inlineStr">
        <is>
          <t>Д</t>
        </is>
      </c>
      <c r="B3259" s="24" t="inlineStr">
        <is>
          <t>22064</t>
        </is>
      </c>
      <c r="C3259" s="23" t="inlineStr">
        <is>
          <t>ОИ</t>
        </is>
      </c>
      <c r="D3259" s="23" t="inlineStr">
        <is>
          <t>Мочульский К.В.</t>
        </is>
      </c>
      <c r="E3259" s="23" t="inlineStr">
        <is>
          <t>Федор Достоевский. Единство личной жизни и творчества автора гениальных романов-трагедий</t>
        </is>
      </c>
      <c r="F3259" s="23" t="inlineStr">
        <is>
          <t>        </t>
        </is>
      </c>
      <c r="G3259" s="27" t="n">
        <v>1546</v>
      </c>
      <c r="H3259" s="23" t="n">
        <v>10</v>
      </c>
      <c r="I3259" s="23" t="n">
        <v>5</v>
      </c>
      <c r="J3259" s="23" t="inlineStr">
        <is>
          <t>978-5-227-11246-0</t>
        </is>
      </c>
      <c r="K3259" s="23" t="inlineStr">
        <is>
          <t>84x108 1/32</t>
        </is>
      </c>
      <c r="L3259" s="23" t="inlineStr">
        <is>
          <t>тв</t>
        </is>
      </c>
      <c r="M3259" s="23" t="n">
        <v>671</v>
      </c>
      <c r="N3259" s="23" t="n">
        <v>2026</v>
      </c>
      <c r="O3259" s="23" t="n">
        <v>690</v>
      </c>
      <c r="P3259" s="23" t="n"/>
      <c r="Q3259" s="23" t="n"/>
      <c r="R3259" s="25" t="inlineStr">
        <is>
          <t>Книга видного литературоведа и критика Константина Васильевича Мочульского посвящена одному из лучших романистов мирового значения Федору Михайловичу Достоевскому. Автор прослеживает жизненный путь одного из самых читаемых писателей в мире с детских лет и до последних его дней, рассказывает о творчестве мыслителя и философа, анализирует его произведения, оказавшие влияние на мировую литературу, уделяя внимание становлению психологической прозы и экзистенциализму. Монография переведена на многие языки мира.</t>
        </is>
      </c>
      <c r="S3259" s="26">
        <f>HYPERLINK("http://www.cnpol.ru/covers/22064.jpg","фото на сайте")</f>
        <v/>
      </c>
    </row>
    <row r="3260" ht="50.1" customHeight="1" s="3">
      <c r="A3260" s="23" t="n"/>
      <c r="B3260" s="24" t="inlineStr">
        <is>
          <t>17336</t>
        </is>
      </c>
      <c r="C3260" s="23" t="inlineStr">
        <is>
          <t>ОИ</t>
        </is>
      </c>
      <c r="D3260" s="23" t="inlineStr">
        <is>
          <t>Халиф Л. Я.</t>
        </is>
      </c>
      <c r="E3260" s="23" t="inlineStr">
        <is>
          <t>ЦДЛ</t>
        </is>
      </c>
      <c r="F3260" s="23" t="inlineStr">
        <is>
          <t>        </t>
        </is>
      </c>
      <c r="G3260" s="23" t="n">
        <v>763</v>
      </c>
      <c r="H3260" s="23" t="n">
        <v>10</v>
      </c>
      <c r="I3260" s="23" t="n">
        <v>8</v>
      </c>
      <c r="J3260" s="23" t="inlineStr">
        <is>
          <t>978-5-227-06632-9</t>
        </is>
      </c>
      <c r="K3260" s="23" t="inlineStr">
        <is>
          <t>84x108 1/32</t>
        </is>
      </c>
      <c r="L3260" s="23" t="inlineStr">
        <is>
          <t>тв</t>
        </is>
      </c>
      <c r="M3260" s="23" t="n">
        <v>544</v>
      </c>
      <c r="N3260" s="23" t="n">
        <v>2017</v>
      </c>
      <c r="O3260" s="23" t="n">
        <v>474</v>
      </c>
      <c r="P3260" s="23" t="n"/>
      <c r="Q3260" s="23" t="n"/>
      <c r="R3260" s="25" t="n"/>
      <c r="S3260" s="26">
        <f>HYPERLINK("http://www.cnpol.ru/covers/17336.jpg","фото на сайте")</f>
        <v/>
      </c>
    </row>
    <row r="3261" ht="50.1" customHeight="1" s="3">
      <c r="A3261" s="23" t="n"/>
      <c r="B3261" s="24" t="inlineStr">
        <is>
          <t>17133</t>
        </is>
      </c>
      <c r="C3261" s="23" t="inlineStr">
        <is>
          <t>ОИ</t>
        </is>
      </c>
      <c r="D3261" s="23" t="inlineStr">
        <is>
          <t>Молотов И.</t>
        </is>
      </c>
      <c r="E3261" s="23" t="inlineStr">
        <is>
          <t>Черная дюжина. Общество смелых</t>
        </is>
      </c>
      <c r="F3261" s="23" t="inlineStr">
        <is>
          <t>        </t>
        </is>
      </c>
      <c r="G3261" s="23" t="n">
        <v>534</v>
      </c>
      <c r="H3261" s="23" t="n">
        <v>10</v>
      </c>
      <c r="I3261" s="23" t="n">
        <v>10</v>
      </c>
      <c r="J3261" s="23" t="inlineStr">
        <is>
          <t>978-5-227-06604-6</t>
        </is>
      </c>
      <c r="K3261" s="23" t="inlineStr">
        <is>
          <t>84x108 1/32</t>
        </is>
      </c>
      <c r="L3261" s="23" t="inlineStr">
        <is>
          <t>тв</t>
        </is>
      </c>
      <c r="M3261" s="23" t="n">
        <v>384</v>
      </c>
      <c r="N3261" s="23" t="n">
        <v>2016</v>
      </c>
      <c r="O3261" s="23" t="n">
        <v>376</v>
      </c>
      <c r="P3261" s="23" t="n"/>
      <c r="Q3261" s="23" t="n"/>
      <c r="R3261" s="25" t="n"/>
      <c r="S3261" s="26">
        <f>HYPERLINK("http://www.cnpol.ru/covers/17133.jpg","фото на сайте")</f>
        <v/>
      </c>
    </row>
    <row r="3262" ht="50.1" customHeight="1" s="3">
      <c r="A3262" s="23" t="n"/>
      <c r="B3262" s="24" t="inlineStr">
        <is>
          <t>19232</t>
        </is>
      </c>
      <c r="C3262" s="23" t="inlineStr">
        <is>
          <t>ОИ</t>
        </is>
      </c>
      <c r="D3262" s="23" t="inlineStr">
        <is>
          <t>Нерсисян А.</t>
        </is>
      </c>
      <c r="E3262" s="23" t="inlineStr">
        <is>
          <t>Что придумали армяне. Легендарные личности и великие изобретения. От соломинки для коктейля до подводной лодки</t>
        </is>
      </c>
      <c r="F3262" s="23" t="inlineStr">
        <is>
          <t>        </t>
        </is>
      </c>
      <c r="G3262" s="23" t="n">
        <v>508</v>
      </c>
      <c r="H3262" s="23" t="n">
        <v>10</v>
      </c>
      <c r="I3262" s="23" t="n">
        <v>12</v>
      </c>
      <c r="J3262" s="23" t="inlineStr">
        <is>
          <t>978-5-227-09182-6</t>
        </is>
      </c>
      <c r="K3262" s="23" t="inlineStr">
        <is>
          <t>82x100 1/32</t>
        </is>
      </c>
      <c r="L3262" s="23" t="inlineStr">
        <is>
          <t>тв</t>
        </is>
      </c>
      <c r="M3262" s="23" t="n">
        <v>287</v>
      </c>
      <c r="N3262" s="23" t="n">
        <v>2020</v>
      </c>
      <c r="O3262" s="23" t="n">
        <v>264</v>
      </c>
      <c r="P3262" s="23" t="n"/>
      <c r="Q3262" s="23" t="n"/>
      <c r="R3262" s="25" t="n"/>
      <c r="S3262" s="26">
        <f>HYPERLINK("http://www.cnpol.ru/covers/19232.jpg","фото на сайте")</f>
        <v/>
      </c>
    </row>
    <row r="3263" ht="50.1" customHeight="1" s="3">
      <c r="A3263" s="23" t="n"/>
      <c r="B3263" s="24" t="inlineStr">
        <is>
          <t>17756</t>
        </is>
      </c>
      <c r="C3263" s="23" t="inlineStr">
        <is>
          <t>ОИ</t>
        </is>
      </c>
      <c r="D3263" s="23" t="inlineStr">
        <is>
          <t>Пигулевская И.С.</t>
        </is>
      </c>
      <c r="E3263" s="23" t="inlineStr">
        <is>
          <t>Что придумали евреи</t>
        </is>
      </c>
      <c r="F3263" s="23" t="inlineStr">
        <is>
          <t>        </t>
        </is>
      </c>
      <c r="G3263" s="23" t="n">
        <v>508</v>
      </c>
      <c r="H3263" s="23" t="n">
        <v>10</v>
      </c>
      <c r="I3263" s="23" t="n">
        <v>12</v>
      </c>
      <c r="J3263" s="23" t="inlineStr">
        <is>
          <t>978-5-227-07644-1</t>
        </is>
      </c>
      <c r="K3263" s="23" t="inlineStr">
        <is>
          <t>84x108 1/32</t>
        </is>
      </c>
      <c r="L3263" s="23" t="inlineStr">
        <is>
          <t>тв</t>
        </is>
      </c>
      <c r="M3263" s="23" t="n">
        <v>288</v>
      </c>
      <c r="N3263" s="23" t="n">
        <v>2017</v>
      </c>
      <c r="O3263" s="23" t="n">
        <v>244</v>
      </c>
      <c r="P3263" s="23" t="n"/>
      <c r="Q3263" s="23" t="n"/>
      <c r="R3263" s="25" t="n"/>
      <c r="S3263" s="26">
        <f>HYPERLINK("http://www.cnpol.ru/covers/17756.jpg","фото на сайте")</f>
        <v/>
      </c>
    </row>
    <row r="3264" ht="50.1" customHeight="1" s="3">
      <c r="A3264" s="23" t="n"/>
      <c r="B3264" s="24" t="inlineStr">
        <is>
          <t>17992</t>
        </is>
      </c>
      <c r="C3264" s="23" t="inlineStr">
        <is>
          <t>ОИ</t>
        </is>
      </c>
      <c r="D3264" s="23" t="inlineStr">
        <is>
          <t>Кузнечевский В.Д.</t>
        </is>
      </c>
      <c r="E3264" s="23" t="inlineStr">
        <is>
          <t>Эпоха Владимира Путина. К вопросу об исторической миссии второго президента России</t>
        </is>
      </c>
      <c r="F3264" s="23" t="inlineStr">
        <is>
          <t>        </t>
        </is>
      </c>
      <c r="G3264" s="23" t="n">
        <v>468</v>
      </c>
      <c r="H3264" s="23" t="n">
        <v>10</v>
      </c>
      <c r="I3264" s="23" t="n">
        <v>24</v>
      </c>
      <c r="J3264" s="23" t="inlineStr">
        <is>
          <t>978-5-227-07829-2</t>
        </is>
      </c>
      <c r="K3264" s="23" t="inlineStr">
        <is>
          <t>84x108 1/32</t>
        </is>
      </c>
      <c r="L3264" s="23" t="inlineStr">
        <is>
          <t>тв</t>
        </is>
      </c>
      <c r="M3264" s="23" t="n">
        <v>224</v>
      </c>
      <c r="N3264" s="23" t="n">
        <v>2018</v>
      </c>
      <c r="O3264" s="23" t="n">
        <v>368</v>
      </c>
      <c r="P3264" s="23" t="n"/>
      <c r="Q3264" s="23" t="n"/>
      <c r="R3264" s="25" t="n"/>
      <c r="S3264" s="26">
        <f>HYPERLINK("http://www.cnpol.ru/covers/17992.jpg","фото на сайте")</f>
        <v/>
      </c>
    </row>
    <row r="3265" ht="50.1" customHeight="1" s="3">
      <c r="A3265" s="23" t="n"/>
      <c r="B3265" s="24" t="inlineStr">
        <is>
          <t>17194</t>
        </is>
      </c>
      <c r="C3265" s="23" t="inlineStr">
        <is>
          <t>ОИ</t>
        </is>
      </c>
      <c r="D3265" s="23" t="inlineStr">
        <is>
          <t>Цветков С.Э.</t>
        </is>
      </c>
      <c r="E3265" s="23" t="inlineStr">
        <is>
          <t>Эпоха единства Древней Руси. От Владимира Святого до Ярослава Мудрого</t>
        </is>
      </c>
      <c r="F3265" s="23" t="inlineStr">
        <is>
          <t>        </t>
        </is>
      </c>
      <c r="G3265" s="27" t="n">
        <v>1018</v>
      </c>
      <c r="H3265" s="23" t="n">
        <v>10</v>
      </c>
      <c r="I3265" s="23" t="n">
        <v>10</v>
      </c>
      <c r="J3265" s="23" t="inlineStr">
        <is>
          <t>978-5-227-07135-4</t>
        </is>
      </c>
      <c r="K3265" s="23" t="inlineStr">
        <is>
          <t>60x90 1/16</t>
        </is>
      </c>
      <c r="L3265" s="23" t="inlineStr">
        <is>
          <t>тв</t>
        </is>
      </c>
      <c r="M3265" s="23" t="n">
        <v>480</v>
      </c>
      <c r="N3265" s="23" t="n">
        <v>2016</v>
      </c>
      <c r="O3265" s="23" t="n">
        <v>530</v>
      </c>
      <c r="P3265" s="23" t="n"/>
      <c r="Q3265" s="23" t="n"/>
      <c r="R3265" s="25" t="n"/>
      <c r="S3265" s="26">
        <f>HYPERLINK("http://www.cnpol.ru/covers/17194.jpg","фото на сайте")</f>
        <v/>
      </c>
    </row>
    <row r="3266" ht="50.1" customHeight="1" s="3">
      <c r="A3266" s="23" t="n"/>
      <c r="B3266" s="24" t="inlineStr">
        <is>
          <t>16828</t>
        </is>
      </c>
      <c r="C3266" s="23" t="inlineStr">
        <is>
          <t>ОИ</t>
        </is>
      </c>
      <c r="D3266" s="23" t="inlineStr">
        <is>
          <t>Боброва Н.А.</t>
        </is>
      </c>
      <c r="E3266" s="23" t="inlineStr">
        <is>
          <t>Юрий Богатырев. Чужой среди своих</t>
        </is>
      </c>
      <c r="F3266" s="23" t="inlineStr">
        <is>
          <t>        </t>
        </is>
      </c>
      <c r="G3266" s="23" t="n">
        <v>743</v>
      </c>
      <c r="H3266" s="23" t="n">
        <v>10</v>
      </c>
      <c r="I3266" s="23" t="n">
        <v>12</v>
      </c>
      <c r="J3266" s="23" t="inlineStr">
        <is>
          <t>978-5-227-06575-9</t>
        </is>
      </c>
      <c r="K3266" s="23" t="inlineStr">
        <is>
          <t>84x108 1/32</t>
        </is>
      </c>
      <c r="L3266" s="23" t="inlineStr">
        <is>
          <t>тв</t>
        </is>
      </c>
      <c r="M3266" s="23" t="n">
        <v>256</v>
      </c>
      <c r="N3266" s="23" t="n">
        <v>2016</v>
      </c>
      <c r="O3266" s="23" t="n">
        <v>350</v>
      </c>
      <c r="P3266" s="23" t="n"/>
      <c r="Q3266" s="23" t="n"/>
      <c r="R3266" s="25" t="n"/>
      <c r="S3266" s="26">
        <f>HYPERLINK("http://www.cnpol.ru/covers/16828.jpg","фото на сайте")</f>
        <v/>
      </c>
    </row>
    <row r="3267" ht="50.1" customHeight="1" s="3">
      <c r="A3267" s="23" t="inlineStr">
        <is>
          <t>Д</t>
        </is>
      </c>
      <c r="B3267" s="24" t="inlineStr">
        <is>
          <t>21670</t>
        </is>
      </c>
      <c r="C3267" s="23" t="inlineStr">
        <is>
          <t>ОИ ВИ</t>
        </is>
      </c>
      <c r="D3267" s="23" t="inlineStr">
        <is>
          <t>Цалер И.В.</t>
        </is>
      </c>
      <c r="E3267" s="23" t="inlineStr">
        <is>
          <t>100 легенд рока. Живой звук в каждой фразе</t>
        </is>
      </c>
      <c r="F3267" s="23" t="inlineStr">
        <is>
          <t>        </t>
        </is>
      </c>
      <c r="G3267" s="23" t="n">
        <v>916</v>
      </c>
      <c r="H3267" s="23" t="n">
        <v>10</v>
      </c>
      <c r="I3267" s="23" t="n">
        <v>8</v>
      </c>
      <c r="J3267" s="23" t="inlineStr">
        <is>
          <t>978-5-227-11061-9</t>
        </is>
      </c>
      <c r="K3267" s="23" t="inlineStr">
        <is>
          <t>60x90 1/16</t>
        </is>
      </c>
      <c r="L3267" s="23" t="inlineStr">
        <is>
          <t>тв</t>
        </is>
      </c>
      <c r="M3267" s="23" t="n">
        <v>543</v>
      </c>
      <c r="N3267" s="23" t="n">
        <v>2025</v>
      </c>
      <c r="O3267" s="23" t="n">
        <v>429</v>
      </c>
      <c r="P3267" s="23" t="n"/>
      <c r="Q3267" s="23" t="n"/>
      <c r="R3267" s="25" t="inlineStr">
        <is>
          <t>На споры о ценности и вредоносности рока было израсходовано не меньше типографской краски, чем ушло грима на все турне Kiss. Но как спорить о музыкальной стихии, которая избегает определений и застывших форм? Описанные в книге 100 имен и сюжетов из истории рока позволяют оценить мятежную силу музыки, над которой не властно время. Под одной обложкой и непререкаемые авторитеты уровня Элвиса Пресли, The Beatles, Led Zeppelin и Pink Floyd, и «теневые» классики, среди которых творцы гаражной психоделии The 13th Floor Elevators, культовый кантри-рокер Грэм Парсонс, признанные спустя десятилетия Big Star. В 100 историях безумств, знаковых событий и творческих прозрений — весь путь революционной музыкальной формы от наивного раннего рок-н-ролла до концептуальности прога, тяжелой поступи хард-рока, авангардных экспериментов панк-подполья. Полезное дополнение — рекомендованный к каждой главе классический альбом.</t>
        </is>
      </c>
      <c r="S3267" s="26">
        <f>HYPERLINK("http://www.cnpol.ru/covers/21670.jpg","фото на сайте")</f>
        <v/>
      </c>
    </row>
    <row r="3268" ht="50.1" customHeight="1" s="3">
      <c r="A3268" s="23" t="inlineStr">
        <is>
          <t>Д</t>
        </is>
      </c>
      <c r="B3268" s="24" t="inlineStr">
        <is>
          <t>22035</t>
        </is>
      </c>
      <c r="C3268" s="23" t="inlineStr">
        <is>
          <t>ОИ ВИ</t>
        </is>
      </c>
      <c r="D3268" s="23" t="inlineStr">
        <is>
          <t>Польман Х.</t>
        </is>
      </c>
      <c r="E3268" s="23" t="inlineStr">
        <is>
          <t>900 дней боев за Ленинград. Воспоминания полковника вермахта Хартвига Польмана</t>
        </is>
      </c>
      <c r="F3268" s="23" t="inlineStr">
        <is>
          <t>        </t>
        </is>
      </c>
      <c r="G3268" s="23" t="n">
        <v>802</v>
      </c>
      <c r="H3268" s="23" t="n">
        <v>10</v>
      </c>
      <c r="I3268" s="23" t="n">
        <v>10</v>
      </c>
      <c r="J3268" s="23" t="inlineStr">
        <is>
          <t>978-5-9524-6627-2</t>
        </is>
      </c>
      <c r="K3268" s="23" t="inlineStr">
        <is>
          <t>84x108 1/32</t>
        </is>
      </c>
      <c r="L3268" s="23" t="inlineStr">
        <is>
          <t>тв</t>
        </is>
      </c>
      <c r="M3268" s="23" t="n">
        <v>205</v>
      </c>
      <c r="N3268" s="23" t="n">
        <v>2026</v>
      </c>
      <c r="O3268" s="23" t="n">
        <v>275</v>
      </c>
      <c r="P3268" s="23" t="n"/>
      <c r="Q3268" s="23" t="n"/>
      <c r="R3268" s="25" t="inlineStr">
        <is>
          <t>Сражения за Ленинград в лесах и на берегах Волхова носили отчаянный и ожесточенный характер. На стороне немцев сражались датчане, эстонцы, голландцы, латыши, испанцы и норвежцы. Хартвиг Польман командовал в то время полком и был очевидцем событий, но после войны он стал историком, и эта книга — синтез знаний и чувств солдата и ученого.</t>
        </is>
      </c>
      <c r="S3268" s="26">
        <f>HYPERLINK("http://www.cnpol.ru/covers/22035.jpg","фото на сайте")</f>
        <v/>
      </c>
    </row>
    <row r="3269" ht="50.1" customHeight="1" s="3">
      <c r="A3269" s="23" t="n"/>
      <c r="B3269" s="24" t="inlineStr">
        <is>
          <t>20637</t>
        </is>
      </c>
      <c r="C3269" s="23" t="inlineStr">
        <is>
          <t>ОИ ВИ</t>
        </is>
      </c>
      <c r="D3269" s="23" t="inlineStr">
        <is>
          <t>Гольдман Э.</t>
        </is>
      </c>
      <c r="E3269" s="23" t="inlineStr">
        <is>
          <t>Анархизм. Сочинения одного из лидеров мирового анархического движения начала ХХ века</t>
        </is>
      </c>
      <c r="F3269" s="23" t="inlineStr">
        <is>
          <t>        </t>
        </is>
      </c>
      <c r="G3269" s="23" t="n">
        <v>516</v>
      </c>
      <c r="H3269" s="23" t="n">
        <v>10</v>
      </c>
      <c r="I3269" s="23" t="n">
        <v>16</v>
      </c>
      <c r="J3269" s="23" t="inlineStr">
        <is>
          <t>978-5-227-10247-8</t>
        </is>
      </c>
      <c r="K3269" s="23" t="inlineStr">
        <is>
          <t>84x108 1/32</t>
        </is>
      </c>
      <c r="L3269" s="23" t="inlineStr">
        <is>
          <t>тв</t>
        </is>
      </c>
      <c r="M3269" s="23" t="n">
        <v>223</v>
      </c>
      <c r="N3269" s="23" t="n">
        <v>2023</v>
      </c>
      <c r="O3269" s="23" t="n">
        <v>220</v>
      </c>
      <c r="P3269" s="23" t="n"/>
      <c r="Q3269" s="23" t="n"/>
      <c r="R3269" s="25" t="inlineStr">
        <is>
          <t>В книгу вошли наиболее яркие эссе американской писательницы и политической активистки Эммы Гольдман (1869—1940 гг.), словом и делом боровшейся за социальную справедливость, равенство полов и всеобщее избирательное право. Эмигрировав из Российской империи, Гольдман принесла на американскую почву не только гуманистические идеалы русской интеллигенции, но и революционные идеи русских анархистов. В своих статьях публицистка ставит вопросы о положении женщин и институте брака, рассуждает об истинных целях анархизма и пагубном влиянии на личность и общество любых форм эксплуатации. Сочинения предваряет биографический очерк, написанный Ипполитом Гавелом, другом и соратником Эммы Гольдман.</t>
        </is>
      </c>
      <c r="S3269" s="26">
        <f>HYPERLINK("http://www.cnpol.ru/covers/20637.jpg","фото на сайте")</f>
        <v/>
      </c>
    </row>
    <row r="3270" ht="50.1" customHeight="1" s="3">
      <c r="A3270" s="23" t="n"/>
      <c r="B3270" s="24" t="inlineStr">
        <is>
          <t>20968</t>
        </is>
      </c>
      <c r="C3270" s="23" t="inlineStr">
        <is>
          <t>ОИ ВИ</t>
        </is>
      </c>
      <c r="D3270" s="23" t="inlineStr">
        <is>
          <t>Лоуни Э.</t>
        </is>
      </c>
      <c r="E3270" s="23" t="inlineStr">
        <is>
          <t>Англичанин Сталина. Несколько жизней Гая Бёрджесса, джокера кембриджской шпионской колоды</t>
        </is>
      </c>
      <c r="F3270" s="23" t="inlineStr">
        <is>
          <t>        </t>
        </is>
      </c>
      <c r="G3270" s="27" t="n">
        <v>1478</v>
      </c>
      <c r="H3270" s="23" t="n">
        <v>10</v>
      </c>
      <c r="I3270" s="23" t="n">
        <v>10</v>
      </c>
      <c r="J3270" s="23" t="inlineStr">
        <is>
          <t>978-5-227-10562-2</t>
        </is>
      </c>
      <c r="K3270" s="23" t="inlineStr">
        <is>
          <t>60x90 1/16</t>
        </is>
      </c>
      <c r="L3270" s="23" t="inlineStr">
        <is>
          <t>тв</t>
        </is>
      </c>
      <c r="M3270" s="23" t="n">
        <v>416</v>
      </c>
      <c r="N3270" s="23" t="n">
        <v>2024</v>
      </c>
      <c r="O3270" s="23" t="n">
        <v>506</v>
      </c>
      <c r="P3270" s="23" t="n"/>
      <c r="Q3270" s="23" t="n"/>
      <c r="R3270" s="25" t="inlineStr">
        <is>
          <t>Эта книга о Гае Бёрджессе — непризнанном гении шпионажа и самом эксцентричном агенте советской разведки. В 1951 году Бёрджесс бежал в СССР и в течение двенадцати лет добросовестно служил принявшей его стране, однако, оставаясь англичанином до мозга костей, так и не сумел приспособиться к жизни в сталинской России. Деятельность истинного лидера Кембриджской пятерки до сих пор остается объектом всевозможных измышлений и спекуляций, современники и кураторы из КГБ дают самые противоречивые и неоднозначные характеристики его личности. Эндрю Лоуни удалось создать многоплановый портрет незаурядного, порочного интеллектуала, представителя по­коления западной левой интеллигенции, которое в 30—40­х годах ХХ века оказалось в плену коммунистической идеологии.</t>
        </is>
      </c>
      <c r="S3270" s="26">
        <f>HYPERLINK("http://www.cnpol.ru/covers/20968.jpg","фото на сайте")</f>
        <v/>
      </c>
    </row>
    <row r="3271" ht="50.1" customHeight="1" s="3">
      <c r="A3271" s="23" t="n"/>
      <c r="B3271" s="24" t="inlineStr">
        <is>
          <t>16124</t>
        </is>
      </c>
      <c r="C3271" s="23" t="inlineStr">
        <is>
          <t>ОИ ВИ</t>
        </is>
      </c>
      <c r="D3271" s="23" t="inlineStr">
        <is>
          <t>Синицин И.Е</t>
        </is>
      </c>
      <c r="E3271" s="23" t="inlineStr">
        <is>
          <t>Андропов вблизи. Воспоминания о временах оттепели и застоя</t>
        </is>
      </c>
      <c r="F3271" s="23" t="inlineStr">
        <is>
          <t>        </t>
        </is>
      </c>
      <c r="G3271" s="23" t="n">
        <v>615</v>
      </c>
      <c r="H3271" s="23" t="n">
        <v>10</v>
      </c>
      <c r="I3271" s="23" t="n">
        <v>10</v>
      </c>
      <c r="J3271" s="23" t="inlineStr">
        <is>
          <t>978-5-227-05745-7</t>
        </is>
      </c>
      <c r="K3271" s="23" t="inlineStr">
        <is>
          <t>84x108 1/32</t>
        </is>
      </c>
      <c r="L3271" s="23" t="inlineStr">
        <is>
          <t>тв</t>
        </is>
      </c>
      <c r="M3271" s="23" t="n">
        <v>512</v>
      </c>
      <c r="N3271" s="23" t="n">
        <v>2015</v>
      </c>
      <c r="O3271" s="23" t="n">
        <v>373</v>
      </c>
      <c r="P3271" s="23" t="n"/>
      <c r="Q3271" s="23" t="n"/>
      <c r="R3271" s="25" t="inlineStr">
        <is>
          <t>Вокруг главного персонажа этих воспоминаний — Юрия Владимировича Андропова, посла в Венгрии, секретаря ЦК КПСС, председателя КГБ, члена политбюро, генсека — сложилось много мифов и легенд. Не делая окончательных оценок, автор предлагает новое видение этой выдающейся личности как человека, партийного и государственного ­деятеля, чекиста. Портрет «последнего большевика» рисуется на фоне событий 1970­х годов, деятельности генсека Брежнева и других кремлевских геронтократов. Читатель на основе некоторых малоизвестных фактов из жизни и функционирования советской верхушки может сделать свои выводы об Андропове и его времени.</t>
        </is>
      </c>
      <c r="S3271" s="26">
        <f>HYPERLINK("http://www.cnpol.ru/covers/16124.jpg","фото на сайте")</f>
        <v/>
      </c>
    </row>
    <row r="3272" ht="50.1" customHeight="1" s="3">
      <c r="A3272" s="23" t="inlineStr">
        <is>
          <t>Д</t>
        </is>
      </c>
      <c r="B3272" s="24" t="inlineStr">
        <is>
          <t>21273</t>
        </is>
      </c>
      <c r="C3272" s="23" t="inlineStr">
        <is>
          <t>ОИ ВИ</t>
        </is>
      </c>
      <c r="D3272" s="23" t="inlineStr">
        <is>
          <t>Лейн Э.</t>
        </is>
      </c>
      <c r="E3272" s="23" t="inlineStr">
        <is>
          <t>Арабский мир. Средневековые традиции и верования в странах Ближнего Востока</t>
        </is>
      </c>
      <c r="F3272" s="23" t="inlineStr">
        <is>
          <t>        </t>
        </is>
      </c>
      <c r="G3272" s="23" t="n">
        <v>672</v>
      </c>
      <c r="H3272" s="23" t="n">
        <v>10</v>
      </c>
      <c r="I3272" s="23" t="n">
        <v>18</v>
      </c>
      <c r="J3272" s="23" t="inlineStr">
        <is>
          <t>978-5-9524-6174-1</t>
        </is>
      </c>
      <c r="K3272" s="23" t="inlineStr">
        <is>
          <t>84x108 1/32</t>
        </is>
      </c>
      <c r="L3272" s="23" t="inlineStr">
        <is>
          <t>тв</t>
        </is>
      </c>
      <c r="M3272" s="23" t="n">
        <v>190</v>
      </c>
      <c r="N3272" s="23" t="n">
        <v>2024</v>
      </c>
      <c r="O3272" s="23" t="n">
        <v>133</v>
      </c>
      <c r="P3272" s="23" t="n"/>
      <c r="Q3272" s="23" t="n"/>
      <c r="R3272" s="25" t="inlineStr">
        <is>
          <t>Эдвард Лейн создал широчайшую панораму жизни и нравов стран Ближнего Востока от Средних веков до начала ХIХ века. В книге рассказывается о религии, богатствах арабской литературы и искусства, особенностях повседневной жизни и праздников, магических обрядах мусульман. Отдельные главы посвящены арабским женщинам и вопросам воспитания в средневековом исламском обществе. Труд основан на личных воспоминаниях автора, редких рукописях средневековых арабских писателей и историков Ибн аль-Джаузи, аль-Казвини и ас-Суюти, а также сказках и народных поверьях арабов, персов и египтян времен «Тысячи и одной ночи».</t>
        </is>
      </c>
      <c r="S3272" s="26">
        <f>HYPERLINK("http://www.cnpol.ru/covers/21273.jpg","фото на сайте")</f>
        <v/>
      </c>
    </row>
    <row r="3273" ht="50.1" customHeight="1" s="3">
      <c r="A3273" s="23" t="n"/>
      <c r="B3273" s="24" t="inlineStr">
        <is>
          <t>20957</t>
        </is>
      </c>
      <c r="C3273" s="23" t="inlineStr">
        <is>
          <t>ОИ ВИ</t>
        </is>
      </c>
      <c r="D3273" s="23" t="inlineStr">
        <is>
          <t>Велльхаузен Ю.</t>
        </is>
      </c>
      <c r="E3273" s="23" t="inlineStr">
        <is>
          <t>Арабский халифат</t>
        </is>
      </c>
      <c r="F3273" s="23" t="inlineStr">
        <is>
          <t>        </t>
        </is>
      </c>
      <c r="G3273" s="27" t="n">
        <v>1057</v>
      </c>
      <c r="H3273" s="23" t="n">
        <v>10</v>
      </c>
      <c r="I3273" s="23" t="n">
        <v>12</v>
      </c>
      <c r="J3273" s="23" t="inlineStr">
        <is>
          <t>978-5-227-10349-9</t>
        </is>
      </c>
      <c r="K3273" s="23" t="inlineStr">
        <is>
          <t>84x108 1/32</t>
        </is>
      </c>
      <c r="L3273" s="23" t="inlineStr">
        <is>
          <t>тв</t>
        </is>
      </c>
      <c r="M3273" s="23" t="n">
        <v>352</v>
      </c>
      <c r="N3273" s="23" t="n">
        <v>2024</v>
      </c>
      <c r="O3273" s="23" t="n">
        <v>394</v>
      </c>
      <c r="P3273" s="23" t="n"/>
      <c r="Q3273" s="23" t="n"/>
      <c r="R3273" s="25" t="inlineStr">
        <is>
          <t>Известный немецкий ученый, автор многих работ по теологии, профессор Гёттингенского университета представил историю Арабского халифата - некогда огромной и могущественной империи. Отмечая неразрывную связь политической, религиозной и административной власти Арабского халифата, автор анализирует историю возникновения ислама, его развитие, особенности и общность с другими главными мировыми религиями. Рассказывает о том, как правители приходили к власти и умирали; когда вступали в должность и отправлялись в отставку наместники важнейших провинций; кого халифы назначали каждый год вести хадж и как проходили завоевательные кампании. В своем исследовании Велльхаузен опирался на оригинальные источники - образцы древнейшей арабской исторической литературы, куфийские и мединские предания. Среди цитируемых авторов такие авторитеты, как Абу Михнаф, Ат­Табари, Ибн Исхак, Абу Машар, аль­Вакиди.</t>
        </is>
      </c>
      <c r="S3273" s="26">
        <f>HYPERLINK("http://www.cnpol.ru/covers/20957.jpg","фото на сайте")</f>
        <v/>
      </c>
    </row>
    <row r="3274" ht="50.1" customHeight="1" s="3">
      <c r="A3274" s="23" t="inlineStr">
        <is>
          <t>Д</t>
        </is>
      </c>
      <c r="B3274" s="24" t="inlineStr">
        <is>
          <t>21811</t>
        </is>
      </c>
      <c r="C3274" s="23" t="inlineStr">
        <is>
          <t>ОИ ВИ</t>
        </is>
      </c>
      <c r="D3274" s="23" t="inlineStr">
        <is>
          <t>Льюис Б.</t>
        </is>
      </c>
      <c r="E3274" s="23" t="inlineStr">
        <is>
          <t>Арабы в мировой истории. С доисламских времен до распада колониальной системы</t>
        </is>
      </c>
      <c r="F3274" s="23" t="inlineStr">
        <is>
          <t>        </t>
        </is>
      </c>
      <c r="G3274" s="23" t="n">
        <v>829</v>
      </c>
      <c r="H3274" s="23" t="n">
        <v>10</v>
      </c>
      <c r="I3274" s="23" t="n">
        <v>6</v>
      </c>
      <c r="J3274" s="23" t="inlineStr">
        <is>
          <t>978-5-9524-6525-1</t>
        </is>
      </c>
      <c r="K3274" s="23" t="inlineStr">
        <is>
          <t>84x108 1/32</t>
        </is>
      </c>
      <c r="L3274" s="23" t="inlineStr">
        <is>
          <t>тв</t>
        </is>
      </c>
      <c r="M3274" s="23" t="n">
        <v>223</v>
      </c>
      <c r="N3274" s="23" t="n">
        <v>2025</v>
      </c>
      <c r="O3274" s="23" t="n">
        <v>287</v>
      </c>
      <c r="P3274" s="23" t="n"/>
      <c r="Q3274" s="23" t="n"/>
      <c r="R3274" s="25" t="inlineStr">
        <is>
          <t>В классическом исследовании Бернарда Льюиса, одного из ведущих историков-востоковедов мира, рассматривается само понятие «араб» и место арабского народа в мировой истории с доисламских времен до победы движения за независимость и суверенитет в середине ХХ столетия. Автор прослеживает зарождение ислама и сопровождавшие его политические, религиозные и общественные события, превратившие разрозненные арабские племена в исламскую империю, и анализирует внутренние и внешние факторы, сформировавшие современный арабский мир. Льюис показывает, как западные нововведения и институты разрушили старые структуры и традиционный образ жизни арабов, так и не удовлетворив их потребность в социальном, политическом и культурном обновлении.</t>
        </is>
      </c>
      <c r="S3274" s="26">
        <f>HYPERLINK("http://www.cnpol.ru/covers/21811.jpg","фото на сайте")</f>
        <v/>
      </c>
    </row>
    <row r="3275" ht="50.1" customHeight="1" s="3">
      <c r="A3275" s="23" t="inlineStr">
        <is>
          <t>Н</t>
        </is>
      </c>
      <c r="B3275" s="24" t="inlineStr">
        <is>
          <t>21505</t>
        </is>
      </c>
      <c r="C3275" s="23" t="inlineStr">
        <is>
          <t>ОИ ВИ</t>
        </is>
      </c>
      <c r="D3275" s="23" t="inlineStr">
        <is>
          <t>Уэбстер Г.</t>
        </is>
      </c>
      <c r="E3275" s="23" t="inlineStr">
        <is>
          <t>Армия Римской империи в начале новой эры</t>
        </is>
      </c>
      <c r="F3275" s="23" t="inlineStr">
        <is>
          <t>        </t>
        </is>
      </c>
      <c r="G3275" s="23" t="n">
        <v>508</v>
      </c>
      <c r="H3275" s="23" t="n">
        <v>10</v>
      </c>
      <c r="I3275" s="23" t="n">
        <v>14</v>
      </c>
      <c r="J3275" s="23" t="inlineStr">
        <is>
          <t>978-5-9524-6327-1</t>
        </is>
      </c>
      <c r="K3275" s="23" t="inlineStr">
        <is>
          <t>84x108 1/32</t>
        </is>
      </c>
      <c r="L3275" s="23" t="inlineStr">
        <is>
          <t>тв</t>
        </is>
      </c>
      <c r="M3275" s="23" t="n">
        <v>255</v>
      </c>
      <c r="N3275" s="23" t="n">
        <v>2025</v>
      </c>
      <c r="O3275" s="23" t="n">
        <v>277</v>
      </c>
      <c r="P3275" s="23" t="n"/>
      <c r="Q3275" s="23" t="n"/>
      <c r="R3275" s="25" t="inlineStr">
        <is>
          <t>Книга выдающегося археолога Грэма Уэбстера, руководившего раскопками легионерских крепостей и фортов периода римского завоевания Британии, посвящена истории вооруженных сил Империи в I—II вв. н. э. Автор знакомит читателей с организацией и составом армии, особенностями набора и обучения солдат, тактикой в сражениях и в походах. Буцдучи признанным специалистом по военному снаряжению, Уэбстер подробно описывает оружие легионеров, доспехи и амуницию, а также «невоенные» аспекты армейской жизни — жалованье, награды, питание и медицинское обслуживание, погребение и религиозные обряды. Также историк освещает вопросы приграничной политики, рассказывает о типах и устройстве военных лагерей, фортов и примыкающих к ним гражданских поселений.</t>
        </is>
      </c>
      <c r="S3275" s="26">
        <f>HYPERLINK("http://www.cnpol.ru/covers/21505.jpg","фото на сайте")</f>
        <v/>
      </c>
    </row>
    <row r="3276" ht="50.1" customHeight="1" s="3">
      <c r="A3276" s="23" t="inlineStr">
        <is>
          <t>Д</t>
        </is>
      </c>
      <c r="B3276" s="24" t="inlineStr">
        <is>
          <t>22126</t>
        </is>
      </c>
      <c r="C3276" s="23" t="inlineStr">
        <is>
          <t>ОИ ВИ</t>
        </is>
      </c>
      <c r="D3276" s="23" t="inlineStr">
        <is>
          <t>Льюис Б.</t>
        </is>
      </c>
      <c r="E3276" s="23" t="inlineStr">
        <is>
          <t>Ассасины. Средневековый орден тайных убийц</t>
        </is>
      </c>
      <c r="F3276" s="23" t="inlineStr">
        <is>
          <t>        </t>
        </is>
      </c>
      <c r="G3276" s="23" t="n">
        <v>782</v>
      </c>
      <c r="H3276" s="23" t="n">
        <v>10</v>
      </c>
      <c r="I3276" s="23" t="n">
        <v>10</v>
      </c>
      <c r="J3276" s="23" t="inlineStr">
        <is>
          <t>978-5-9524-6676-0</t>
        </is>
      </c>
      <c r="K3276" s="23" t="inlineStr">
        <is>
          <t>84x108 1/32</t>
        </is>
      </c>
      <c r="L3276" s="23" t="inlineStr">
        <is>
          <t>тв</t>
        </is>
      </c>
      <c r="M3276" s="23" t="n">
        <v>191</v>
      </c>
      <c r="N3276" s="23" t="n">
        <v>2026</v>
      </c>
      <c r="O3276" s="23" t="n">
        <v>270</v>
      </c>
      <c r="P3276" s="23" t="n"/>
      <c r="Q3276" s="23" t="n"/>
      <c r="R3276" s="25" t="inlineStr">
        <is>
          <t>Ученый с мировым именем, специалист по истории ислама, Ближнего Востока и взаимоотношений между исламом и Западом, профессор Принстонского университета Бернард Льюис в настоящей книге прослеживает историю радикальной исламской секты, ассасинов, явившейся первой группировкой людей, которые начали использовать убийство в качестве политического оружия. Упрочившись в Иране и Сирии в XI и XII веках, они поставили перед собой цель — свергнуть существовавший суннитский порядок в исламе и заменить его своим собственным, терроризируя своих врагов страшными убийствами лидеров ислама и некоторых крестоносцев, из-за чего в Европе и стали известны их название и репутация.</t>
        </is>
      </c>
      <c r="S3276" s="26">
        <f>HYPERLINK("http://www.cnpol.ru/covers/22126.jpg","фото на сайте")</f>
        <v/>
      </c>
    </row>
    <row r="3277" ht="50.1" customHeight="1" s="3">
      <c r="A3277" s="23" t="n"/>
      <c r="B3277" s="24" t="inlineStr">
        <is>
          <t>18665</t>
        </is>
      </c>
      <c r="C3277" s="23" t="inlineStr">
        <is>
          <t>ОИ ВИ</t>
        </is>
      </c>
      <c r="D3277" s="23" t="inlineStr">
        <is>
          <t>Пилат О.</t>
        </is>
      </c>
      <c r="E3277" s="23" t="inlineStr">
        <is>
          <t>Атомные шпионы. Охота за американскими ядерными секретами в годы холодной войны</t>
        </is>
      </c>
      <c r="F3277" s="23" t="inlineStr">
        <is>
          <t>        </t>
        </is>
      </c>
      <c r="G3277" s="23" t="n">
        <v>593</v>
      </c>
      <c r="H3277" s="23" t="n">
        <v>10</v>
      </c>
      <c r="I3277" s="23" t="n">
        <v>14</v>
      </c>
      <c r="J3277" s="23" t="inlineStr">
        <is>
          <t>978-5-9524-5377-7</t>
        </is>
      </c>
      <c r="K3277" s="23" t="inlineStr">
        <is>
          <t>84x108 1/32</t>
        </is>
      </c>
      <c r="L3277" s="23" t="inlineStr">
        <is>
          <t>тв</t>
        </is>
      </c>
      <c r="M3277" s="23" t="n">
        <v>320</v>
      </c>
      <c r="N3277" s="23" t="n">
        <v>2019</v>
      </c>
      <c r="O3277" s="23" t="n">
        <v>272</v>
      </c>
      <c r="P3277" s="23" t="n"/>
      <c r="Q3277" s="23" t="n"/>
      <c r="R3277" s="25" t="n"/>
      <c r="S3277" s="26">
        <f>HYPERLINK("http://www.cnpol.ru/covers/18665.jpg","фото на сайте")</f>
        <v/>
      </c>
    </row>
    <row r="3278" ht="50.1" customHeight="1" s="3">
      <c r="A3278" s="23" t="n"/>
      <c r="B3278" s="24" t="inlineStr">
        <is>
          <t>19265</t>
        </is>
      </c>
      <c r="C3278" s="23" t="inlineStr">
        <is>
          <t>ОИ ВИ</t>
        </is>
      </c>
      <c r="D3278" s="23" t="inlineStr">
        <is>
          <t>Лейн­Пул С.</t>
        </is>
      </c>
      <c r="E3278" s="23" t="inlineStr">
        <is>
          <t>Берберские пираты. История жестоких повелителей Средиземного моря ХV—ХIХ вв.</t>
        </is>
      </c>
      <c r="F3278" s="23" t="inlineStr">
        <is>
          <t>        </t>
        </is>
      </c>
      <c r="G3278" s="23" t="n">
        <v>508</v>
      </c>
      <c r="H3278" s="23" t="n">
        <v>10</v>
      </c>
      <c r="I3278" s="23" t="n">
        <v>14</v>
      </c>
      <c r="J3278" s="23" t="inlineStr">
        <is>
          <t>978-5-9524-5445-3</t>
        </is>
      </c>
      <c r="K3278" s="23" t="inlineStr">
        <is>
          <t>84x108 1/32</t>
        </is>
      </c>
      <c r="L3278" s="23" t="inlineStr">
        <is>
          <t>тв</t>
        </is>
      </c>
      <c r="M3278" s="23" t="n">
        <v>256</v>
      </c>
      <c r="N3278" s="23" t="n">
        <v>2020</v>
      </c>
      <c r="O3278" s="23" t="n">
        <v>234</v>
      </c>
      <c r="P3278" s="23" t="n"/>
      <c r="Q3278" s="23" t="n"/>
      <c r="R3278" s="25" t="inlineStr">
        <is>
          <t>На протяжении более чем трех столетий народы Европы, занимавшиеся торговлей, были вынуждены вести свои дела с оглядкой на действия морских разбойников, промышлявших в Средиземном море. Британский востоковед Стенли Лейн­Пул рассказывает о золотом веке берберских пиратов, исследует причины, побудившие мавров освоить опасное ремесло, описывает крупнейшие морские сражения. Историк прослеживает жизненный путь знаменитых османских корсаров — братьев Аруджа и Хайр­эд­Дина Барбаросса и других прославленных турецких и мавританских пиратов, наводивших страх на мирных купцов и военный флот могущественных держав.</t>
        </is>
      </c>
      <c r="S3278" s="26">
        <f>HYPERLINK("http://www.cnpol.ru/covers/19265.jpg","фото на сайте")</f>
        <v/>
      </c>
    </row>
    <row r="3279" ht="50.1" customHeight="1" s="3">
      <c r="A3279" s="23" t="inlineStr">
        <is>
          <t>Д</t>
        </is>
      </c>
      <c r="B3279" s="24" t="inlineStr">
        <is>
          <t>22022</t>
        </is>
      </c>
      <c r="C3279" s="23" t="inlineStr">
        <is>
          <t>ОИ ВИ</t>
        </is>
      </c>
      <c r="D3279" s="23" t="inlineStr">
        <is>
          <t>Кемп Ф.</t>
        </is>
      </c>
      <c r="E3279" s="23" t="inlineStr">
        <is>
          <t>Берлин 1961.Кеннеди, Хрущев и самое опасное место на Земле</t>
        </is>
      </c>
      <c r="F3279" s="23" t="inlineStr">
        <is>
          <t>        </t>
        </is>
      </c>
      <c r="G3279" s="27" t="n">
        <v>1407</v>
      </c>
      <c r="H3279" s="23" t="n">
        <v>10</v>
      </c>
      <c r="I3279" s="23" t="n">
        <v>10</v>
      </c>
      <c r="J3279" s="23" t="inlineStr">
        <is>
          <t>978-5-227-04435-8</t>
        </is>
      </c>
      <c r="K3279" s="23" t="inlineStr">
        <is>
          <t>84x108 1/32</t>
        </is>
      </c>
      <c r="L3279" s="23" t="inlineStr">
        <is>
          <t>тв</t>
        </is>
      </c>
      <c r="M3279" s="23" t="n">
        <v>541</v>
      </c>
      <c r="N3279" s="23" t="n">
        <v>2013</v>
      </c>
      <c r="O3279" s="23" t="n">
        <v>562</v>
      </c>
      <c r="P3279" s="23" t="n"/>
      <c r="Q3279" s="23" t="n"/>
      <c r="R3279" s="25" t="inlineStr">
        <is>
          <t>Президент Атлантического совета внешнеполитических исследований США, журналист-политолог, Фредерик Кемп посвятил свою книгу одному из самых напряженных моментов холодной войны в Центральной Европе. Автор использовал свидетельства участников Берлинского кризиса, поднял и проанализировал огромное количество материалов из американских, немецких и советских архивов, и реконструировал до мельчайших деталей события, предшествующие возведению Берлинской стены в августе 1961 года. Изучая причины, развитие и разрешение берлинского вопроса, Кемп представил яркие портреты четырех главных героев политической драмы: Хрущева, Кеннеди, Ульбрихта и Аденауэра. Всех их в течение 1961 года объединяет Берлин — средоточие их главных стремлений и страхов.</t>
        </is>
      </c>
      <c r="S3279" s="26">
        <f>HYPERLINK("http://www.cnpol.ru/covers/22022.jpg","фото на сайте")</f>
        <v/>
      </c>
    </row>
    <row r="3280" ht="50.1" customHeight="1" s="3">
      <c r="A3280" s="23" t="inlineStr">
        <is>
          <t>Д</t>
        </is>
      </c>
      <c r="B3280" s="24" t="inlineStr">
        <is>
          <t>22258</t>
        </is>
      </c>
      <c r="C3280" s="23" t="inlineStr">
        <is>
          <t>ОИ ВИ</t>
        </is>
      </c>
      <c r="D3280" s="23" t="inlineStr">
        <is>
          <t>Ширер У.</t>
        </is>
      </c>
      <c r="E3280" s="23" t="inlineStr">
        <is>
          <t>Берлинский дневник. Европа накануне Второй мировой войны глазами американского корреспондента</t>
        </is>
      </c>
      <c r="F3280" s="23" t="inlineStr">
        <is>
          <t>        </t>
        </is>
      </c>
      <c r="G3280" s="27" t="n">
        <v>1359</v>
      </c>
      <c r="H3280" s="23" t="n">
        <v>10</v>
      </c>
      <c r="I3280" s="23" t="n">
        <v>8</v>
      </c>
      <c r="J3280" s="23" t="inlineStr">
        <is>
          <t>978-5-9524-6736-1</t>
        </is>
      </c>
      <c r="K3280" s="23" t="inlineStr">
        <is>
          <t>84x108 1/32</t>
        </is>
      </c>
      <c r="L3280" s="23" t="inlineStr">
        <is>
          <t>тв</t>
        </is>
      </c>
      <c r="M3280" s="23" t="n">
        <v>508</v>
      </c>
      <c r="N3280" s="23" t="n">
        <v>2026</v>
      </c>
      <c r="O3280" s="23" t="n">
        <v>532</v>
      </c>
      <c r="P3280" s="23" t="n"/>
      <c r="Q3280" s="23" t="n"/>
      <c r="R3280" s="25" t="inlineStr">
        <is>
          <t>Личный дневник, запечатлевший поворотный момент в жизни Европы ХХ века — канун Второй мировой войны, воспринимается сегодня как уникальный документ. Его страницы сохранили атмосферу предвоенной Германии, одурманенной реваншистскими настроениями, истерически обожавшей фюрера; на них подробно рассказано о планомерной милитаризации страны, о приемах работы гитлеровской пропагандистской машины, о мобилизации всех резервов нации ради тотальной войны за мировое господство. Среди упоминаемых лиц не только Адольф Гитлер и его ближайшие сподвижники Гесс, Геринг, Гиммлер, Лей, Риббентроп, но и лидеры мировых держав Рузвельт, Черчилль, Сталин, Франко, Муссолини, Петэн, Бенеш, де Голль и др., главы правящих королевских династий, министры, послы, высший генералитет. Автор приводит, кроме того, множество выразительных подробностей, собственных оригинальных наблюдений над немцами и жителями европейских государств.</t>
        </is>
      </c>
      <c r="S3280" s="26">
        <f>HYPERLINK("http://www.cnpol.ru/covers/22258.jpg","фото на сайте")</f>
        <v/>
      </c>
    </row>
    <row r="3281" ht="50.1" customHeight="1" s="3">
      <c r="A3281" s="23" t="inlineStr">
        <is>
          <t>Д</t>
        </is>
      </c>
      <c r="B3281" s="24" t="inlineStr">
        <is>
          <t>22026</t>
        </is>
      </c>
      <c r="C3281" s="23" t="inlineStr">
        <is>
          <t>ОИ ВИ</t>
        </is>
      </c>
      <c r="D3281" s="23" t="inlineStr">
        <is>
          <t>Вестад О.А.</t>
        </is>
      </c>
      <c r="E3281" s="23" t="inlineStr">
        <is>
          <t>Беспокойная империя. Китай и мир с 1750 года</t>
        </is>
      </c>
      <c r="F3281" s="23" t="inlineStr">
        <is>
          <t>        </t>
        </is>
      </c>
      <c r="G3281" s="27" t="n">
        <v>1581</v>
      </c>
      <c r="H3281" s="23" t="n">
        <v>10</v>
      </c>
      <c r="I3281" s="23" t="n">
        <v>10</v>
      </c>
      <c r="J3281" s="23" t="inlineStr">
        <is>
          <t>978-5-227-05314-5</t>
        </is>
      </c>
      <c r="K3281" s="23" t="inlineStr">
        <is>
          <t>84x108 1/32</t>
        </is>
      </c>
      <c r="L3281" s="23" t="inlineStr">
        <is>
          <t>тв</t>
        </is>
      </c>
      <c r="M3281" s="23" t="n">
        <v>639</v>
      </c>
      <c r="N3281" s="23" t="n">
        <v>2014</v>
      </c>
      <c r="O3281" s="23" t="n">
        <v>642</v>
      </c>
      <c r="P3281" s="23" t="n"/>
      <c r="Q3281" s="23" t="n"/>
      <c r="R3281" s="25" t="inlineStr">
        <is>
          <t>За последние два столетия ситуация в Поднебесной формировалась под влиянием происходивших в мире событий и преобразований, империализма, коммунизма и современного капитализма. В своей книге профессор зарубежной истории, директор Центра изучения холодной войны Лондонского экономического института Одд Арне Вестад ищет основы для понимания внешней политики Китая в истории отношений этой страны с остальным миром начиная с 1750 года, года укрепления власти Цинской империи над всем Китаем и распространения своего правления за пределы страны. Автор стремится разобраться, что же в конце концов представляет собой Китай в историческом, географическом и культурном отношении.</t>
        </is>
      </c>
      <c r="S3281" s="26">
        <f>HYPERLINK("http://www.cnpol.ru/covers/22026.jpg","фото на сайте")</f>
        <v/>
      </c>
    </row>
    <row r="3282" ht="50.1" customHeight="1" s="3">
      <c r="A3282" s="23" t="inlineStr">
        <is>
          <t>Д</t>
        </is>
      </c>
      <c r="B3282" s="24" t="inlineStr">
        <is>
          <t>21524</t>
        </is>
      </c>
      <c r="C3282" s="23" t="inlineStr">
        <is>
          <t>ОИ ВИ</t>
        </is>
      </c>
      <c r="D3282" s="23" t="inlineStr">
        <is>
          <t>Эрман Б.</t>
        </is>
      </c>
      <c r="E3282" s="23" t="inlineStr">
        <is>
          <t>Библия. Историческое и литературное введение в Священное Писание</t>
        </is>
      </c>
      <c r="F3282" s="23" t="inlineStr">
        <is>
          <t>        </t>
        </is>
      </c>
      <c r="G3282" s="27" t="n">
        <v>1466</v>
      </c>
      <c r="H3282" s="23" t="n">
        <v>10</v>
      </c>
      <c r="I3282" s="23" t="n">
        <v>5</v>
      </c>
      <c r="J3282" s="23" t="inlineStr">
        <is>
          <t>978-5-9524-6287-8</t>
        </is>
      </c>
      <c r="K3282" s="23" t="inlineStr">
        <is>
          <t>60x90 1/16</t>
        </is>
      </c>
      <c r="L3282" s="23" t="inlineStr">
        <is>
          <t>тв</t>
        </is>
      </c>
      <c r="M3282" s="23" t="n">
        <v>591</v>
      </c>
      <c r="N3282" s="23" t="n">
        <v>2025</v>
      </c>
      <c r="O3282" s="23" t="n">
        <v>678</v>
      </c>
      <c r="P3282" s="23" t="n"/>
      <c r="Q3282" s="23" t="n"/>
      <c r="R3282" s="25" t="inlineStr">
        <is>
          <t>Барт Эрман, профессор религиоведения Университета Северной Каролины в Чапел-Хилл, доктор богословия, автор более двадцати научных и научно-популярных книг о Библии, жизни Иисуса и истории раннего христианства, свою настоящую книгу посвятил исследованию еврейских и христианских писаний, составивших Библию, которые рассказывают о Древнем Израиле и раннем христианстве. Автор рассматривает Писание с исторической и литературной точек зрения: пытается объяснить, почему оно сложно для восприятия, рассказывает о ранних израильских пророках и пророках времен Вавилонского плена, о поэтах и сказителях Древнего Израиля и Посланиях Павла… Таким образом подводит к пониманию, что Библия играет ключевую роль в истории европейской цивилизации.</t>
        </is>
      </c>
      <c r="S3282" s="26">
        <f>HYPERLINK("http://www.cnpol.ru/covers/21524.jpg","фото на сайте")</f>
        <v/>
      </c>
    </row>
    <row r="3283" ht="50.1" customHeight="1" s="3">
      <c r="A3283" s="23" t="inlineStr">
        <is>
          <t>Д</t>
        </is>
      </c>
      <c r="B3283" s="24" t="inlineStr">
        <is>
          <t>22154</t>
        </is>
      </c>
      <c r="C3283" s="23" t="inlineStr">
        <is>
          <t>ОИ ВИ</t>
        </is>
      </c>
      <c r="D3283" s="23" t="inlineStr">
        <is>
          <t>Эрман Б.</t>
        </is>
      </c>
      <c r="E3283" s="23" t="inlineStr">
        <is>
          <t>Библия. Историческое и литературное введение в Священное Писание</t>
        </is>
      </c>
      <c r="F3283" s="23" t="inlineStr">
        <is>
          <t>        </t>
        </is>
      </c>
      <c r="G3283" s="27" t="n">
        <v>1466</v>
      </c>
      <c r="H3283" s="23" t="n">
        <v>10</v>
      </c>
      <c r="I3283" s="23" t="n">
        <v>5</v>
      </c>
      <c r="J3283" s="23" t="inlineStr">
        <is>
          <t>978-5-227-11259-0</t>
        </is>
      </c>
      <c r="K3283" s="23" t="inlineStr">
        <is>
          <t>60x90 1/16</t>
        </is>
      </c>
      <c r="L3283" s="23" t="inlineStr">
        <is>
          <t>тв</t>
        </is>
      </c>
      <c r="M3283" s="23" t="n">
        <v>591</v>
      </c>
      <c r="N3283" s="23" t="n">
        <v>2020</v>
      </c>
      <c r="O3283" s="23" t="n">
        <v>683</v>
      </c>
      <c r="P3283" s="23" t="n"/>
      <c r="Q3283" s="23" t="n"/>
      <c r="R3283" s="25" t="inlineStr">
        <is>
          <t>Барт Эрман, профессор религиоведения Университета Северной Каролины в Чапел-Хилл, доктор богословия, автор более двадцати научных и научно-популярных книг о Библии, жизни Иисуса и истории раннего христианства, свою настоящую книгу посвятил исследованию еврейских и христианских писаний, составивших Библию, которые рассказывают о Древнем Израиле и раннем христианстве. Автор рассматривает Писание с исторической и литературной точек зрения: пытается объяснить, почему оно сложно для восприятия, рассказывает о ранних израильских пророках и пророках времен Вавилонского плена, о поэтах и сказителях Древнего Израиля и Посланиях Павла… Таким образом подводит к пониманию, что Библия играет ключевую роль в истории европейской цивилизации.</t>
        </is>
      </c>
      <c r="S3283" s="26">
        <f>HYPERLINK("http://www.cnpol.ru/covers/22154.jpg","фото на сайте")</f>
        <v/>
      </c>
    </row>
    <row r="3284" ht="50.1" customHeight="1" s="3">
      <c r="A3284" s="23" t="inlineStr">
        <is>
          <t>Д</t>
        </is>
      </c>
      <c r="B3284" s="24" t="inlineStr">
        <is>
          <t>22105</t>
        </is>
      </c>
      <c r="C3284" s="23" t="inlineStr">
        <is>
          <t>ОИ ВИ</t>
        </is>
      </c>
      <c r="D3284" s="23" t="inlineStr">
        <is>
          <t>Хаупт В.</t>
        </is>
      </c>
      <c r="E3284" s="23" t="inlineStr">
        <is>
          <t>Битва за Москву. Первое решающее сражение Второй мировой войны. 1941—1942</t>
        </is>
      </c>
      <c r="F3284" s="23" t="inlineStr">
        <is>
          <t>        </t>
        </is>
      </c>
      <c r="G3284" s="23" t="n">
        <v>970</v>
      </c>
      <c r="H3284" s="23" t="n">
        <v>10</v>
      </c>
      <c r="I3284" s="23" t="n">
        <v>10</v>
      </c>
      <c r="J3284" s="23" t="inlineStr">
        <is>
          <t>978-5-9524-6660-9</t>
        </is>
      </c>
      <c r="K3284" s="23" t="inlineStr">
        <is>
          <t>84x108 1/32</t>
        </is>
      </c>
      <c r="L3284" s="23" t="inlineStr">
        <is>
          <t>тв</t>
        </is>
      </c>
      <c r="M3284" s="23" t="n">
        <v>221</v>
      </c>
      <c r="N3284" s="23" t="n">
        <v>2026</v>
      </c>
      <c r="O3284" s="23" t="n">
        <v>360</v>
      </c>
      <c r="P3284" s="23" t="n"/>
      <c r="Q3284" s="23" t="n"/>
      <c r="R3284" s="25" t="inlineStr">
        <is>
          <t>Книга Вернера Хаупта повествует об операции «Тайфун» — штурме столицы Советского Союза. Это впечатляющий, захватывающий рассказ о месяце, когда весь мир затаив дыхание ждал исхода сражения: сможет ли Гитлер взять Москву? Драматизм первых дней войны, трудные решения, которые приходилось принимать командирам и военачальникам, три месяца беспощадных боев, с точки зрения простого солдата, — все нашло отражение в книге...</t>
        </is>
      </c>
      <c r="S3284" s="26">
        <f>HYPERLINK("http://www.cnpol.ru/covers/22105.jpg","фото на сайте")</f>
        <v/>
      </c>
    </row>
    <row r="3285" ht="50.1" customHeight="1" s="3">
      <c r="A3285" s="23" t="n"/>
      <c r="B3285" s="24" t="inlineStr">
        <is>
          <t>20246</t>
        </is>
      </c>
      <c r="C3285" s="23" t="inlineStr">
        <is>
          <t>ОИ ВИ</t>
        </is>
      </c>
      <c r="D3285" s="23" t="inlineStr">
        <is>
          <t>Бёрн А.</t>
        </is>
      </c>
      <c r="E3285" s="23" t="inlineStr">
        <is>
          <t>Битва при Азенкуре. Победа английских рыцарей над превосходящими силами французов. 1369—1453 гг.</t>
        </is>
      </c>
      <c r="F3285" s="23" t="inlineStr">
        <is>
          <t>        </t>
        </is>
      </c>
      <c r="G3285" s="27" t="n">
        <v>1057</v>
      </c>
      <c r="H3285" s="23" t="n">
        <v>10</v>
      </c>
      <c r="I3285" s="23" t="n">
        <v>12</v>
      </c>
      <c r="J3285" s="23" t="inlineStr">
        <is>
          <t>978-5-9524-5792-8</t>
        </is>
      </c>
      <c r="K3285" s="23" t="inlineStr">
        <is>
          <t>84x108 1/32</t>
        </is>
      </c>
      <c r="L3285" s="23" t="inlineStr">
        <is>
          <t>тв</t>
        </is>
      </c>
      <c r="M3285" s="23" t="n">
        <v>348</v>
      </c>
      <c r="N3285" s="23" t="n">
        <v>2022</v>
      </c>
      <c r="O3285" s="23" t="n">
        <v>310</v>
      </c>
      <c r="P3285" s="23" t="n"/>
      <c r="Q3285" s="23" t="n"/>
      <c r="R3285" s="25" t="inlineStr">
        <is>
          <t>Эта книга посвящена второму этапу Столетней войны. Автор анализирует события 1369—1453 годов, исследует причины, которые влияли на ход боевых действий, рассказывает о серии неудачных сражений, резко контрастирующих с прежними победами англичан. Особенно подробно рассмотрена битва при Азенкуре — самая значительная баталия этого периода.</t>
        </is>
      </c>
      <c r="S3285" s="26">
        <f>HYPERLINK("http://www.cnpol.ru/covers/20246.jpg","фото на сайте")</f>
        <v/>
      </c>
    </row>
    <row r="3286" ht="50.1" customHeight="1" s="3">
      <c r="A3286" s="23" t="n"/>
      <c r="B3286" s="24" t="inlineStr">
        <is>
          <t>20354</t>
        </is>
      </c>
      <c r="C3286" s="23" t="inlineStr">
        <is>
          <t>ОИ ВИ</t>
        </is>
      </c>
      <c r="D3286" s="23" t="inlineStr">
        <is>
          <t>Бёрн А.</t>
        </is>
      </c>
      <c r="E3286" s="23" t="inlineStr">
        <is>
          <t>Битва при Креси. Одно из решающих сражений Столетней войны. 1337—1360 гг.</t>
        </is>
      </c>
      <c r="F3286" s="23" t="inlineStr">
        <is>
          <t>        </t>
        </is>
      </c>
      <c r="G3286" s="27" t="n">
        <v>1023</v>
      </c>
      <c r="H3286" s="23" t="n">
        <v>10</v>
      </c>
      <c r="I3286" s="23" t="n">
        <v>12</v>
      </c>
      <c r="J3286" s="23" t="inlineStr">
        <is>
          <t>978-5-9524-5852-9</t>
        </is>
      </c>
      <c r="K3286" s="23" t="inlineStr">
        <is>
          <t>84x108 1/32</t>
        </is>
      </c>
      <c r="L3286" s="23" t="inlineStr">
        <is>
          <t>тв</t>
        </is>
      </c>
      <c r="M3286" s="23" t="n">
        <v>333</v>
      </c>
      <c r="N3286" s="23" t="n">
        <v>2022</v>
      </c>
      <c r="O3286" s="23" t="n">
        <v>380</v>
      </c>
      <c r="P3286" s="23" t="n"/>
      <c r="Q3286" s="23" t="n"/>
      <c r="R3286" s="25" t="inlineStr">
        <is>
          <t>В книге описывается первый период Столетней войны — война Креси, начавшаяся вторжением Эдуарда III во Францию и закончившаяся заключением мира в Бретиньи. Альфред Бёрн оценивает ее как самый успешный вооруженный конфликт, в котором Англия когда-либо принимала участие. Он обосновывает утверждение о том, что военное искусство в то время сделало существенный шаг вперед, и рассказывает, как появился третий род войск — артиллерия.</t>
        </is>
      </c>
      <c r="S3286" s="26">
        <f>HYPERLINK("http://www.cnpol.ru/covers/20354.jpg","фото на сайте")</f>
        <v/>
      </c>
    </row>
    <row r="3287" ht="50.1" customHeight="1" s="3">
      <c r="A3287" s="23" t="inlineStr">
        <is>
          <t>Д</t>
        </is>
      </c>
      <c r="B3287" s="24" t="inlineStr">
        <is>
          <t>22221</t>
        </is>
      </c>
      <c r="C3287" s="23" t="inlineStr">
        <is>
          <t>ОИ ВИ</t>
        </is>
      </c>
      <c r="D3287" s="23" t="inlineStr">
        <is>
          <t>Аллен  У., Муратов П.</t>
        </is>
      </c>
      <c r="E3287" s="23" t="inlineStr">
        <is>
          <t>Битвы за Кавказ. История войн на турецко-кавказском фронте. 1828—1921</t>
        </is>
      </c>
      <c r="F3287" s="23" t="inlineStr">
        <is>
          <t>        </t>
        </is>
      </c>
      <c r="G3287" s="27" t="n">
        <v>1533</v>
      </c>
      <c r="H3287" s="23" t="n">
        <v>10</v>
      </c>
      <c r="I3287" s="23" t="n">
        <v>5</v>
      </c>
      <c r="J3287" s="23" t="inlineStr">
        <is>
          <t>978-5-9524-6729-3</t>
        </is>
      </c>
      <c r="K3287" s="23" t="inlineStr">
        <is>
          <t>84x108 1/32</t>
        </is>
      </c>
      <c r="L3287" s="23" t="inlineStr">
        <is>
          <t>тв</t>
        </is>
      </c>
      <c r="M3287" s="23" t="n">
        <v>607</v>
      </c>
      <c r="N3287" s="23" t="n">
        <v>2026</v>
      </c>
      <c r="O3287" s="23" t="n">
        <v>619</v>
      </c>
      <c r="P3287" s="23" t="n"/>
      <c r="Q3287" s="23" t="n"/>
      <c r="R3287" s="25" t="inlineStr">
        <is>
          <t>Уильям Аллен — британский ученый, политик, дипломат и путешественник — в соавторстве с русским военным историком П. Муратовым создал внушительный обзор крупнейших военных конфликтов XIX—XX вв. на Кавказе, который всегда имел огромное стратегическое значение, являясь естественной границей между Азией и Европой. В книге подробно описываются сражения и битвы, проблемы снабжения войск в труднодоступных местностях, а также расклад политических интересов противоборствующих сторон. Этот труд содержит богатейшую информацию и может служить чрезвычайно авторитетным источником как для военных историков, так и просто любителей отечественной и мировой истории.</t>
        </is>
      </c>
      <c r="S3287" s="26">
        <f>HYPERLINK("http://www.cnpol.ru/covers/22221.jpg","фото на сайте")</f>
        <v/>
      </c>
    </row>
    <row r="3288" ht="50.1" customHeight="1" s="3">
      <c r="A3288" s="23" t="inlineStr">
        <is>
          <t>Д</t>
        </is>
      </c>
      <c r="B3288" s="24" t="inlineStr">
        <is>
          <t>22109</t>
        </is>
      </c>
      <c r="C3288" s="23" t="inlineStr">
        <is>
          <t>ОИ ВИ</t>
        </is>
      </c>
      <c r="D3288" s="23" t="inlineStr">
        <is>
          <t>Уайт Д.М.</t>
        </is>
      </c>
      <c r="E3288" s="23" t="inlineStr">
        <is>
          <t>Боги и люди Древнего Египта</t>
        </is>
      </c>
      <c r="F3288" s="23" t="inlineStr">
        <is>
          <t>        </t>
        </is>
      </c>
      <c r="G3288" s="23" t="n">
        <v>794</v>
      </c>
      <c r="H3288" s="23" t="n">
        <v>10</v>
      </c>
      <c r="I3288" s="23" t="n">
        <v>10</v>
      </c>
      <c r="J3288" s="23" t="inlineStr">
        <is>
          <t>978-5-9524-6659-3</t>
        </is>
      </c>
      <c r="K3288" s="23" t="inlineStr">
        <is>
          <t>84x108 1/32</t>
        </is>
      </c>
      <c r="L3288" s="23" t="inlineStr">
        <is>
          <t>тв</t>
        </is>
      </c>
      <c r="M3288" s="23" t="n">
        <v>189</v>
      </c>
      <c r="N3288" s="23" t="n">
        <v>2026</v>
      </c>
      <c r="O3288" s="23" t="n">
        <v>278</v>
      </c>
      <c r="P3288" s="23" t="n"/>
      <c r="Q3288" s="23" t="n"/>
      <c r="R3288" s="25" t="inlineStr">
        <is>
          <t>Книга Д.М. Уайта, известного ученого­египтолога, рассказывает о том, что больше всего занимает нас и что наиболее полно отражает особенности истории любого народа, — о повседневной жизни древних египтян. О том, как и во что верили и чему учились, что ели и как развлекались, во что одевались и как устраивали свои дома. И конечно же, о гробницах, из которых почерпнута значительная часть наших знаний о Древнем Египте.</t>
        </is>
      </c>
      <c r="S3288" s="26">
        <f>HYPERLINK("http://www.cnpol.ru/covers/22109.jpg","фото на сайте")</f>
        <v/>
      </c>
    </row>
    <row r="3289" ht="50.1" customHeight="1" s="3">
      <c r="A3289" s="23" t="inlineStr">
        <is>
          <t>Д</t>
        </is>
      </c>
      <c r="B3289" s="24" t="inlineStr">
        <is>
          <t>22238</t>
        </is>
      </c>
      <c r="C3289" s="23" t="inlineStr">
        <is>
          <t>ОИ ВИ</t>
        </is>
      </c>
      <c r="D3289" s="23" t="inlineStr">
        <is>
          <t>Роммель Э.</t>
        </is>
      </c>
      <c r="E3289" s="23" t="inlineStr">
        <is>
          <t>Боевые операции в Северной Африке и на Западном фронте в Европе. 1940—1944</t>
        </is>
      </c>
      <c r="F3289" s="23" t="inlineStr">
        <is>
          <t>        </t>
        </is>
      </c>
      <c r="G3289" s="23" t="n">
        <v>871</v>
      </c>
      <c r="H3289" s="23" t="n">
        <v>10</v>
      </c>
      <c r="I3289" s="23" t="n">
        <v>6</v>
      </c>
      <c r="J3289" s="23" t="inlineStr">
        <is>
          <t>978-5-9524-6591-6</t>
        </is>
      </c>
      <c r="K3289" s="23" t="inlineStr">
        <is>
          <t>84x108 1/32</t>
        </is>
      </c>
      <c r="L3289" s="23" t="inlineStr">
        <is>
          <t>тв</t>
        </is>
      </c>
      <c r="M3289" s="23" t="n">
        <v>671</v>
      </c>
      <c r="N3289" s="23" t="n">
        <v>2026</v>
      </c>
      <c r="O3289" s="23" t="n">
        <v>490</v>
      </c>
      <c r="P3289" s="23" t="n"/>
      <c r="Q3289" s="23" t="n"/>
      <c r="R3289" s="25" t="inlineStr">
        <is>
          <t>После смерти Роммеля в 1944 г. остались архивы, в которых немецкий полководец записал историю своей драматической карьеры и подробности совершенных им военных кампаний.  Каждый вечер Лис Пустыни, как прозвали его англичане, диктовал беглый рассказ о событиях дня, а после каждой битвы — подводил итоги ее хода и уроков, которые следует из нее извлечь. Почти ежедневно он писал жене откровенные письма, в которых выражал личное отношение к происходящему на фронтах, а затем и свои печальные предчувствия. Кроме того, он продемонстрировал свой взгляд на союз оси и на внутренний механизм работы высшего командования фюрера. Сын Роммеля Манфред добавил к запискам отца рассказ о последних неделях жизни фельдмаршала вплоть до момента, когда ему по приказу Гитлера был предоставлен выбор: почетное самоубийство или позорный суд за измену.</t>
        </is>
      </c>
      <c r="S3289" s="26">
        <f>HYPERLINK("http://www.cnpol.ru/covers/22238.jpg","фото на сайте")</f>
        <v/>
      </c>
    </row>
    <row r="3290" ht="50.1" customHeight="1" s="3">
      <c r="A3290" s="23" t="inlineStr">
        <is>
          <t>Д</t>
        </is>
      </c>
      <c r="B3290" s="24" t="inlineStr">
        <is>
          <t>21696</t>
        </is>
      </c>
      <c r="C3290" s="23" t="inlineStr">
        <is>
          <t>ОИ ВИ</t>
        </is>
      </c>
      <c r="D3290" s="23" t="inlineStr">
        <is>
          <t>Брэдфорд Э.</t>
        </is>
      </c>
      <c r="E3290" s="23" t="inlineStr">
        <is>
          <t>Борьба великих государств Средиземноморья за мировое господство. История противостояния Рима и Карфагена, Византии и Османской империи, экспансии Франции и Великобритании</t>
        </is>
      </c>
      <c r="F3290" s="23" t="inlineStr">
        <is>
          <t>        </t>
        </is>
      </c>
      <c r="G3290" s="27" t="n">
        <v>1405</v>
      </c>
      <c r="H3290" s="23" t="n">
        <v>10</v>
      </c>
      <c r="I3290" s="23" t="n">
        <v>5</v>
      </c>
      <c r="J3290" s="23" t="inlineStr">
        <is>
          <t>978-5-9524-6438-4</t>
        </is>
      </c>
      <c r="K3290" s="23" t="inlineStr">
        <is>
          <t>84x108 1/32</t>
        </is>
      </c>
      <c r="L3290" s="23" t="inlineStr">
        <is>
          <t>тв</t>
        </is>
      </c>
      <c r="M3290" s="23" t="n">
        <v>543</v>
      </c>
      <c r="N3290" s="23" t="n">
        <v>2025</v>
      </c>
      <c r="O3290" s="23" t="n">
        <v>550</v>
      </c>
      <c r="P3290" s="23" t="n"/>
      <c r="Q3290" s="23" t="n"/>
      <c r="R3290" s="25" t="inlineStr">
        <is>
          <t>Книга видного британского историка — яркий и невероятно увлекательный рассказ обо всех сторонах жизни Средиземноморья, включая климатические условия, географию, флору и фауну. Однако главное внимание Брэдфорд уделяет богатой и многогранной истории этого региона. Он пишет об этрусках, финикийцах, греках и персах; рассказывает о кораблях, на которых они плавали, о войнах, которые они вели. Он представляет Пелопонесскую войну, анализирует отношения греков с Востоком, борьбу между Римом и Карфагеном. Показывает, как Рим стал Вечным городом, затем маятник качнулся на восток, и произошло возвышение Константинополя. Автор уделяет большое внимание взаимоотношениям Западной и Восточной Римских империй, арабским завоеваниям, Крестовым походам, падению Византии, приходу турок, последствиям кампаний Наполеона и двух мировых войн. Он описывает великие морские сражения и людей, которые в них участвовали.</t>
        </is>
      </c>
      <c r="S3290" s="26">
        <f>HYPERLINK("http://www.cnpol.ru/covers/21696.jpg","фото на сайте")</f>
        <v/>
      </c>
    </row>
    <row r="3291" ht="50.1" customHeight="1" s="3">
      <c r="A3291" s="23" t="inlineStr">
        <is>
          <t>Н</t>
        </is>
      </c>
      <c r="B3291" s="24" t="inlineStr">
        <is>
          <t>21829</t>
        </is>
      </c>
      <c r="C3291" s="23" t="inlineStr">
        <is>
          <t>ОИ ВИ</t>
        </is>
      </c>
      <c r="D3291" s="23" t="inlineStr">
        <is>
          <t>Лиск Д.</t>
        </is>
      </c>
      <c r="E3291" s="23" t="inlineStr">
        <is>
          <t>Борьба за господство на Балтике. Северные войны XVII—XVIII веков. Соперничество Дании, Швеции, России и Польши</t>
        </is>
      </c>
      <c r="F3291" s="23" t="inlineStr">
        <is>
          <t>        </t>
        </is>
      </c>
      <c r="G3291" s="23" t="n">
        <v>508</v>
      </c>
      <c r="H3291" s="23" t="n">
        <v>10</v>
      </c>
      <c r="I3291" s="23" t="n">
        <v>18</v>
      </c>
      <c r="J3291" s="23" t="inlineStr">
        <is>
          <t>978-5-9524-6360-8</t>
        </is>
      </c>
      <c r="K3291" s="23" t="inlineStr">
        <is>
          <t>84x108 1/32</t>
        </is>
      </c>
      <c r="L3291" s="23" t="inlineStr">
        <is>
          <t>тв</t>
        </is>
      </c>
      <c r="M3291" s="23" t="n">
        <v>223</v>
      </c>
      <c r="N3291" s="23" t="n">
        <v>2025</v>
      </c>
      <c r="O3291" s="23" t="n">
        <v>219</v>
      </c>
      <c r="P3291" s="23" t="n"/>
      <c r="Q3291" s="23" t="n"/>
      <c r="R3291" s="25" t="inlineStr">
        <is>
          <t>"Борьба северных государств за власть и влияние на Балтике ­достигла своего апогея в XVII в. В первые годы этого столетия Дания-Норвегия, обладавшая большим флотом и господствовавшая в проливе Зунд, была сильнейшей державой на западе, в то время как Польша доминировала на востоке. Однако с течением времени Швеция быстро расширила свой контроль не только над Балтикой, но и над большей частью Северной Европы. Активное участие в борьбе за Балтику принимала Россия, и эта борьба увенчалась успехом — в 1721 г. Петр I прорубил «окно в Европу». Автор обращает внимание на экономическое значение Балтики для Европы и в связи с этим на политику европейских держав. Но центральной темой исследования Дж. Лиск стала история подъема и драматического упадка Швеции.
Повествование сопровождают карты, поясняющие ход событий."</t>
        </is>
      </c>
      <c r="S3291" s="26">
        <f>HYPERLINK("http://www.cnpol.ru/covers/21829.jpg","фото на сайте")</f>
        <v/>
      </c>
    </row>
    <row r="3292" ht="50.1" customHeight="1" s="3">
      <c r="A3292" s="23" t="n"/>
      <c r="B3292" s="24" t="inlineStr">
        <is>
          <t>19912</t>
        </is>
      </c>
      <c r="C3292" s="23" t="inlineStr">
        <is>
          <t>ОИ ВИ</t>
        </is>
      </c>
      <c r="D3292" s="23" t="inlineStr">
        <is>
          <t>Мурхед А.</t>
        </is>
      </c>
      <c r="E3292" s="23" t="inlineStr">
        <is>
          <t>Борьба за Дарданеллы. Решающее сражение между Турцией и Антантой</t>
        </is>
      </c>
      <c r="F3292" s="23" t="inlineStr">
        <is>
          <t>        </t>
        </is>
      </c>
      <c r="G3292" s="27" t="n">
        <v>1138</v>
      </c>
      <c r="H3292" s="23" t="n">
        <v>10</v>
      </c>
      <c r="I3292" s="23" t="n">
        <v>12</v>
      </c>
      <c r="J3292" s="23" t="inlineStr">
        <is>
          <t>978-5-9524-5627-3</t>
        </is>
      </c>
      <c r="K3292" s="23" t="inlineStr">
        <is>
          <t>84x108 1/32</t>
        </is>
      </c>
      <c r="L3292" s="23" t="inlineStr">
        <is>
          <t>тв</t>
        </is>
      </c>
      <c r="M3292" s="23" t="n">
        <v>383</v>
      </c>
      <c r="N3292" s="23" t="n">
        <v>2021</v>
      </c>
      <c r="O3292" s="23" t="n">
        <v>442</v>
      </c>
      <c r="P3292" s="23" t="n"/>
      <c r="Q3292" s="23" t="n"/>
      <c r="R3292" s="25" t="inlineStr">
        <is>
          <t>В книге Алана Мурхеда рассказывается об одной из самых значительных операций Первой мировой войны под турецким городом Гелиболу (Галлиполи). За власть над Дарданеллами, Босфором и Константинополем столкнулись интересы великих держав Англии и Франции, которым оказала сопротивление экономически отсталая, истощенная в Балканских войнах Турция при поддержке Германии. Из­за противоречий среди союзников, плохой подготовки, а также отсутствия единого командования Дарданелльская операция не достигла цели. Союзные войска понесли огромные потери. Автор анализирует причины поражения и делает обобщающие выводы о его последствиях.</t>
        </is>
      </c>
      <c r="S3292" s="26">
        <f>HYPERLINK("http://www.cnpol.ru/covers/19912.jpg","фото на сайте")</f>
        <v/>
      </c>
    </row>
    <row r="3293" ht="50.1" customHeight="1" s="3">
      <c r="A3293" s="23" t="inlineStr">
        <is>
          <t>Н</t>
        </is>
      </c>
      <c r="B3293" s="24" t="inlineStr">
        <is>
          <t>21828</t>
        </is>
      </c>
      <c r="C3293" s="23" t="inlineStr">
        <is>
          <t>ОИ ВИ</t>
        </is>
      </c>
      <c r="D3293" s="23" t="inlineStr">
        <is>
          <t>Кросби П.</t>
        </is>
      </c>
      <c r="E3293" s="23" t="inlineStr">
        <is>
          <t>Борьба Финляндии, Германии и Советского Союза за стратегический регион Петсамо. 1940—1941</t>
        </is>
      </c>
      <c r="F3293" s="23" t="inlineStr">
        <is>
          <t>        </t>
        </is>
      </c>
      <c r="G3293" s="23" t="n">
        <v>550</v>
      </c>
      <c r="H3293" s="23" t="n">
        <v>10</v>
      </c>
      <c r="I3293" s="23" t="n">
        <v>16</v>
      </c>
      <c r="J3293" s="23" t="inlineStr">
        <is>
          <t>978-5-9524-6435-3</t>
        </is>
      </c>
      <c r="K3293" s="23" t="inlineStr">
        <is>
          <t>84x108 1/32</t>
        </is>
      </c>
      <c r="L3293" s="23" t="inlineStr">
        <is>
          <t>тв</t>
        </is>
      </c>
      <c r="M3293" s="23" t="n">
        <v>255</v>
      </c>
      <c r="N3293" s="23" t="n">
        <v>2025</v>
      </c>
      <c r="O3293" s="23" t="n">
        <v>236</v>
      </c>
      <c r="P3293" s="23" t="n"/>
      <c r="Q3293" s="23" t="n"/>
      <c r="R3293" s="25" t="inlineStr">
        <is>
          <t>Вопрос о Петсамо, и все связанные с ним актуальные политические, экономические и военные факторы, занимает центральное место среди множества важных проблем, с которыми столкнулось финское правительство в 1940–1941 гг. В период между началом лета 1940 г. и весной 1941 г. этот вопрос постоянно стоял на дипломатической повестке дня и, по сути, стал неким измерителем финско-немецких отношений, большое влияние на которые оказала советская сторона. В настоящей книге автор рассматривает советскую внешнюю политику в советско-финских отношениях, объясняя ее с точки зрения представлений о ней финнов и немцев, а германо-финские отношения показаны как раз через ситуацию в Петсамо.</t>
        </is>
      </c>
      <c r="S3293" s="26">
        <f>HYPERLINK("http://www.cnpol.ru/covers/21828.jpg","фото на сайте")</f>
        <v/>
      </c>
    </row>
    <row r="3294" ht="50.1" customHeight="1" s="3">
      <c r="A3294" s="23" t="n"/>
      <c r="B3294" s="24" t="inlineStr">
        <is>
          <t>20256</t>
        </is>
      </c>
      <c r="C3294" s="23" t="inlineStr">
        <is>
          <t>ОИ ВИ</t>
        </is>
      </c>
      <c r="D3294" s="23" t="inlineStr">
        <is>
          <t>Уилер-Беннет Дж.</t>
        </is>
      </c>
      <c r="E3294" s="23" t="inlineStr">
        <is>
          <t>Брестский мир. Победы и поражения советской дипломатии</t>
        </is>
      </c>
      <c r="F3294" s="23" t="inlineStr">
        <is>
          <t>        </t>
        </is>
      </c>
      <c r="G3294" s="27" t="n">
        <v>1192</v>
      </c>
      <c r="H3294" s="23" t="n">
        <v>10</v>
      </c>
      <c r="I3294" s="23" t="n">
        <v>10</v>
      </c>
      <c r="J3294" s="23" t="inlineStr">
        <is>
          <t>978-5-9524-5774-4</t>
        </is>
      </c>
      <c r="K3294" s="23" t="inlineStr">
        <is>
          <t>84x108 1/32</t>
        </is>
      </c>
      <c r="L3294" s="23" t="inlineStr">
        <is>
          <t>тв</t>
        </is>
      </c>
      <c r="M3294" s="23" t="n">
        <v>415</v>
      </c>
      <c r="N3294" s="23" t="n">
        <v>2022</v>
      </c>
      <c r="O3294" s="23" t="n">
        <v>390</v>
      </c>
      <c r="P3294" s="23" t="n"/>
      <c r="Q3294" s="23" t="n"/>
      <c r="R3294" s="25" t="inlineStr">
        <is>
          <t>Книга британского историка Джона Уилер-Беннета посвящена одной из самых драматических коллизий Первой мировой войны — заключению мирного договора между Советской Россией и Германией. Автор воспроизводит напряженнейшую атмосферу и драматический накал борьбы, которая велась вокруг заключения мирного договора, на международном форуме в Брест-Литовске. Уилер-Беннет представляет реалистичный анализ ситуации, а также отдает должное политической дальновидности В.И. Ленина, «оставившего не у дел» те политические круги Германии и страны Антанты, которые хотели «растащить по кускам» ослабленную войной Россию и фактически лишить ее независимости и самостоятельности.</t>
        </is>
      </c>
      <c r="S3294" s="26">
        <f>HYPERLINK("http://www.cnpol.ru/covers/20256.jpg","фото на сайте")</f>
        <v/>
      </c>
    </row>
    <row r="3295" ht="50.1" customHeight="1" s="3">
      <c r="A3295" s="23" t="inlineStr">
        <is>
          <t>Д</t>
        </is>
      </c>
      <c r="B3295" s="24" t="inlineStr">
        <is>
          <t>22063</t>
        </is>
      </c>
      <c r="C3295" s="23" t="inlineStr">
        <is>
          <t>ОИ ВИ</t>
        </is>
      </c>
      <c r="D3295" s="23" t="inlineStr">
        <is>
          <t>Уорд Д.</t>
        </is>
      </c>
      <c r="E3295" s="23" t="inlineStr">
        <is>
          <t>Британская военная экспедиция в Сибирь. Воспоминания командира батальона «Несгибаемых», отправленного в поддержку Колчака. 1918-1919</t>
        </is>
      </c>
      <c r="F3295" s="23" t="inlineStr">
        <is>
          <t>        </t>
        </is>
      </c>
      <c r="G3295" s="23" t="n">
        <v>902</v>
      </c>
      <c r="H3295" s="23" t="n">
        <v>10</v>
      </c>
      <c r="I3295" s="23" t="n">
        <v>10</v>
      </c>
      <c r="J3295" s="23" t="inlineStr">
        <is>
          <t>978-5-9524-6656-2</t>
        </is>
      </c>
      <c r="K3295" s="23" t="inlineStr">
        <is>
          <t>84x108 1/32</t>
        </is>
      </c>
      <c r="L3295" s="23" t="inlineStr">
        <is>
          <t>тв</t>
        </is>
      </c>
      <c r="M3295" s="23" t="n">
        <v>255</v>
      </c>
      <c r="N3295" s="23" t="n">
        <v>2026</v>
      </c>
      <c r="O3295" s="23" t="n">
        <v>328</v>
      </c>
      <c r="P3295" s="23" t="n"/>
      <c r="Q3295" s="23" t="n"/>
      <c r="R3295" s="25" t="inlineStr">
        <is>
          <t>Полковник Джон Уорд – известный английский политик и офицер британской армии, командир передового батальона, ставшего известным под именем «Несгибаемые», был направлен на Дальний Восток, а затем в Сибирь для поддержки войск адмирала Колчака_x000D_
во время Гражданской войны в России против сил большевиков. Первоначально батальон предназначался только для гарнизонной службы, но вскоре оказался вовлеченным в боевые действия в суровых условиях сибирской зимы. Уорд описывает путь батальона из Владивостока в Никольск и несколько боевых операций, в которых он принимал участие. Особое внимание автор уделяет на противодействие японцев, с которым ему и его солдатам пришлось столкнуться в Сибири. Мемуары Уорда интересны тем, что представляют собой свидетельства очевидца военных действий на Дальнем Востоке и в Сибири, а также точку зрения британского офицера на политику и отношения вовлеченных в конфликт стран, впоследствии создавших условия для новой мировой войны.</t>
        </is>
      </c>
      <c r="S3295" s="26">
        <f>HYPERLINK("http://www.cnpol.ru/covers/22063.jpg","фото на сайте")</f>
        <v/>
      </c>
    </row>
    <row r="3296" ht="50.1" customHeight="1" s="3">
      <c r="A3296" s="23" t="n"/>
      <c r="B3296" s="24" t="inlineStr">
        <is>
          <t>19352</t>
        </is>
      </c>
      <c r="C3296" s="23" t="inlineStr">
        <is>
          <t>ОИ ВИ</t>
        </is>
      </c>
      <c r="D3296" s="23" t="inlineStr">
        <is>
          <t>Данстервилль Л.</t>
        </is>
      </c>
      <c r="E3296" s="23" t="inlineStr">
        <is>
          <t>Британская интервенция в Закавказье. Группа «Данстерфорс» в борьбе за бакинскую нефть</t>
        </is>
      </c>
      <c r="F3296" s="23" t="inlineStr">
        <is>
          <t>        </t>
        </is>
      </c>
      <c r="G3296" s="23" t="n">
        <v>593</v>
      </c>
      <c r="H3296" s="23" t="n">
        <v>10</v>
      </c>
      <c r="I3296" s="23" t="n">
        <v>12</v>
      </c>
      <c r="J3296" s="23" t="inlineStr">
        <is>
          <t>978-5-9524-5450-7</t>
        </is>
      </c>
      <c r="K3296" s="23" t="inlineStr">
        <is>
          <t>84x108 1/32</t>
        </is>
      </c>
      <c r="L3296" s="23" t="inlineStr">
        <is>
          <t>тв</t>
        </is>
      </c>
      <c r="M3296" s="23" t="n">
        <v>320</v>
      </c>
      <c r="N3296" s="23" t="n">
        <v>2020</v>
      </c>
      <c r="O3296" s="23" t="n">
        <v>290</v>
      </c>
      <c r="P3296" s="23" t="n"/>
      <c r="Q3296" s="23" t="n"/>
      <c r="R3296" s="25" t="inlineStr">
        <is>
          <t>Британский генерал­майор по воспоминаниям и дневниковым записям воссоздает подлинную историю действий вверенного ему экспедиционного корпуса, прибывшего в Баку в августе 1918 года. Раскрывает задачи, поставленные перед группой, которую по имени командира стали именовать «Данстерфорс», а также данные о численном и национальном составе солдат и имевшейся в их распоряжении технике. Повествует о сложном пути, протяженностью около 400 миль, из Персии на Кавказ по труднопроходимым горным районам через Асабадский перевал. Дает характеристику временного союза с отрядом казаков под руководством Л. Бичерахова и отношений с представителями Центрокаспия, получившими к тому времени власть в Баку. Подробно рассказывает об участии в обороне Баку от турецких войск и отступлении из города. Книга содержит ценные сведения относительно общественно­политической ситуации в регионе.</t>
        </is>
      </c>
      <c r="S3296" s="26">
        <f>HYPERLINK("http://www.cnpol.ru/covers/19352.jpg","фото на сайте")</f>
        <v/>
      </c>
    </row>
    <row r="3297" ht="50.1" customHeight="1" s="3">
      <c r="A3297" s="23" t="n"/>
      <c r="B3297" s="24" t="inlineStr">
        <is>
          <t>19883</t>
        </is>
      </c>
      <c r="C3297" s="23" t="inlineStr">
        <is>
          <t>ОИ ВИ</t>
        </is>
      </c>
      <c r="D3297" s="23" t="inlineStr">
        <is>
          <t>Дьюкс П.</t>
        </is>
      </c>
      <c r="E3297" s="23" t="inlineStr">
        <is>
          <t>Британская шпионская сеть в Советской России. Воспоминания тайного агента МИ­6</t>
        </is>
      </c>
      <c r="F3297" s="23" t="inlineStr">
        <is>
          <t>        </t>
        </is>
      </c>
      <c r="G3297" s="23" t="n">
        <v>513</v>
      </c>
      <c r="H3297" s="23" t="n">
        <v>10</v>
      </c>
      <c r="I3297" s="23" t="n">
        <v>14</v>
      </c>
      <c r="J3297" s="23" t="inlineStr">
        <is>
          <t>978-5-9524-5598-6</t>
        </is>
      </c>
      <c r="K3297" s="23" t="inlineStr">
        <is>
          <t>84x108 1/32</t>
        </is>
      </c>
      <c r="L3297" s="23" t="inlineStr">
        <is>
          <t>тв</t>
        </is>
      </c>
      <c r="M3297" s="23" t="n">
        <v>288</v>
      </c>
      <c r="N3297" s="23" t="n">
        <v>2021</v>
      </c>
      <c r="O3297" s="23" t="n">
        <v>252</v>
      </c>
      <c r="P3297" s="23" t="n"/>
      <c r="Q3297" s="23" t="n"/>
      <c r="R3297" s="25" t="inlineStr">
        <is>
          <t>Офицер британской внешней разведки Пол Дьюкс, известный как «человек с сотней лиц», в настоящих мемуарах рассказывает о своей шпионской деятельности в революционной России. Действуя под разными прикрытиями, самым дерзким из которых была личность сотрудника ЧК, Дьюкс успешно получал доступ во многие советские учреждения, изучал внутреннюю работу Политбюро, передавая сведения о ней в Лондон. Вернувшись в Великобританию, за свою секретную службу был удостоен рыцарского звания.</t>
        </is>
      </c>
      <c r="S3297" s="26">
        <f>HYPERLINK("http://www.cnpol.ru/covers/19883.jpg","фото на сайте")</f>
        <v/>
      </c>
    </row>
    <row r="3298" ht="50.1" customHeight="1" s="3">
      <c r="A3298" s="23" t="n"/>
      <c r="B3298" s="24" t="inlineStr">
        <is>
          <t>20126</t>
        </is>
      </c>
      <c r="C3298" s="23" t="inlineStr">
        <is>
          <t>ОИ ВИ</t>
        </is>
      </c>
      <c r="D3298" s="23" t="inlineStr">
        <is>
          <t>Томас Э.</t>
        </is>
      </c>
      <c r="E3298" s="23" t="inlineStr">
        <is>
          <t>Будда. История и легенды</t>
        </is>
      </c>
      <c r="F3298" s="23" t="inlineStr">
        <is>
          <t>        </t>
        </is>
      </c>
      <c r="G3298" s="27" t="n">
        <v>1063</v>
      </c>
      <c r="H3298" s="23" t="n">
        <v>10</v>
      </c>
      <c r="I3298" s="23" t="n">
        <v>12</v>
      </c>
      <c r="J3298" s="23" t="inlineStr">
        <is>
          <t>978-5-9524-5664-8</t>
        </is>
      </c>
      <c r="K3298" s="23" t="inlineStr">
        <is>
          <t>84x108 1/32</t>
        </is>
      </c>
      <c r="L3298" s="23" t="inlineStr">
        <is>
          <t>тв</t>
        </is>
      </c>
      <c r="M3298" s="23" t="n">
        <v>350</v>
      </c>
      <c r="N3298" s="23" t="n">
        <v>2022</v>
      </c>
      <c r="O3298" s="23" t="n">
        <v>287</v>
      </c>
      <c r="P3298" s="23" t="n"/>
      <c r="Q3298" s="23" t="n"/>
      <c r="R3298" s="25" t="inlineStr">
        <is>
          <t>Имеет ли место историческая основа рассказов о жизни Будды? Автор этой книги предлагает доказательства существования Просветленного, основанные на связанных с его жизнью фактах, датах и археологических находках. В книге дан обзор источников, проведены интересные аналогии, раскрываются значения терминов и понятий буддизма.</t>
        </is>
      </c>
      <c r="S3298" s="26">
        <f>HYPERLINK("http://www.cnpol.ru/covers/20126.jpg","фото на сайте")</f>
        <v/>
      </c>
    </row>
    <row r="3299" ht="50.1" customHeight="1" s="3">
      <c r="A3299" s="23" t="inlineStr">
        <is>
          <t>Н</t>
        </is>
      </c>
      <c r="B3299" s="24" t="inlineStr">
        <is>
          <t>21307</t>
        </is>
      </c>
      <c r="C3299" s="23" t="inlineStr">
        <is>
          <t>ОИ ВИ</t>
        </is>
      </c>
      <c r="D3299" s="23" t="inlineStr">
        <is>
          <t>Бермондт­Авало Павел Михайлович</t>
        </is>
      </c>
      <c r="E3299" s="23" t="inlineStr">
        <is>
          <t>В борьбе с большевизмом. Воспоминания о Гражданской войне в Прибалтике и на северо-западе России</t>
        </is>
      </c>
      <c r="F3299" s="23" t="inlineStr">
        <is>
          <t>        </t>
        </is>
      </c>
      <c r="G3299" s="27" t="n">
        <v>1903</v>
      </c>
      <c r="H3299" s="23" t="n">
        <v>10</v>
      </c>
      <c r="I3299" s="23" t="n">
        <v>6</v>
      </c>
      <c r="J3299" s="23" t="inlineStr">
        <is>
          <t>978-5-9524-6207-6</t>
        </is>
      </c>
      <c r="K3299" s="23" t="inlineStr">
        <is>
          <t>60х100 1/16</t>
        </is>
      </c>
      <c r="L3299" s="23" t="inlineStr">
        <is>
          <t>тв</t>
        </is>
      </c>
      <c r="M3299" s="23" t="n">
        <v>671</v>
      </c>
      <c r="N3299" s="23" t="n">
        <v>2024</v>
      </c>
      <c r="O3299" s="23" t="n">
        <v>794</v>
      </c>
      <c r="P3299" s="23" t="n"/>
      <c r="Q3299" s="23" t="n"/>
      <c r="R3299" s="25" t="inlineStr">
        <is>
          <t>Русский офицер, генерал-майор, представитель прогерманского течения в Белом движении в Прибалтике князь П.М. Бермондт-Авалов в своих воспоминаниях о Гражданской войне подробно рассматривает историю взаимоотношений России и Германии, причины начала Первой мировой войны, этапы формирования Русской добровольческой армии, а также описывает политическое положение в Прибалтике, дает яркие характеристики участникам событий.</t>
        </is>
      </c>
      <c r="S3299" s="26">
        <f>HYPERLINK("http://www.cnpol.ru/covers/21307.jpg","фото на сайте")</f>
        <v/>
      </c>
    </row>
    <row r="3300" ht="50.1" customHeight="1" s="3">
      <c r="A3300" s="23" t="inlineStr">
        <is>
          <t>Н</t>
        </is>
      </c>
      <c r="B3300" s="24" t="inlineStr">
        <is>
          <t>22085</t>
        </is>
      </c>
      <c r="C3300" s="23" t="inlineStr">
        <is>
          <t>ОИ ВИ</t>
        </is>
      </c>
      <c r="D3300" s="23" t="inlineStr">
        <is>
          <t>Капто А.С.</t>
        </is>
      </c>
      <c r="E3300" s="23" t="inlineStr">
        <is>
          <t>В водовороте XX века. Записки политика и дипломата</t>
        </is>
      </c>
      <c r="F3300" s="23" t="inlineStr">
        <is>
          <t>        </t>
        </is>
      </c>
      <c r="G3300" s="27" t="n">
        <v>1654</v>
      </c>
      <c r="H3300" s="23" t="n">
        <v>10</v>
      </c>
      <c r="I3300" s="23" t="n">
        <v>5</v>
      </c>
      <c r="J3300" s="23" t="inlineStr">
        <is>
          <t>978-5-227-07936-7</t>
        </is>
      </c>
      <c r="K3300" s="23" t="inlineStr">
        <is>
          <t>60x90 1/16</t>
        </is>
      </c>
      <c r="L3300" s="23" t="inlineStr">
        <is>
          <t>тв</t>
        </is>
      </c>
      <c r="M3300" s="23" t="n">
        <v>559</v>
      </c>
      <c r="N3300" s="23" t="n">
        <v>2026</v>
      </c>
      <c r="O3300" s="23" t="n">
        <v>695</v>
      </c>
      <c r="P3300" s="23" t="n"/>
      <c r="Q3300" s="23" t="n"/>
      <c r="R3300" s="25" t="inlineStr">
        <is>
          <t>"Автор воспоминаний — заведующий Идеологическим отделом ЦК КПСС, Чрезвычайный и Полномочный Посол (посол СССР на Кубе, первый посол Российской Федерации в Северной Корее) — рассказывает о многих знаковых исторических событиях, к которым он оказался непосредственно причастен как на Родине, так и за рубежом.
В силу своей профессиональной деятельности ему довелось осуществить официальные визиты в 46 стран мира, общаться с выдающимися представителями отечественной и мировой политической, научной и творческой элиты. Всем им автор дает свои искренние оценки и характеристики.
Для широкого круга читателей."</t>
        </is>
      </c>
      <c r="S3300" s="26">
        <f>HYPERLINK("http://www.cnpol.ru/covers/22085.jpg","фото на сайте")</f>
        <v/>
      </c>
    </row>
    <row r="3301" ht="50.1" customHeight="1" s="3">
      <c r="A3301" s="23" t="inlineStr">
        <is>
          <t>Н</t>
        </is>
      </c>
      <c r="B3301" s="24" t="inlineStr">
        <is>
          <t>22248</t>
        </is>
      </c>
      <c r="C3301" s="23" t="inlineStr">
        <is>
          <t>ОИ ВИ</t>
        </is>
      </c>
      <c r="D3301" s="23" t="inlineStr">
        <is>
          <t>Брантон П.</t>
        </is>
      </c>
      <c r="E3301" s="23" t="inlineStr">
        <is>
          <t>В поисках мистического Египта. Откровения обладателей тайных знаний</t>
        </is>
      </c>
      <c r="F3301" s="23" t="inlineStr">
        <is>
          <t>        </t>
        </is>
      </c>
      <c r="G3301" s="27" t="n">
        <v>1063</v>
      </c>
      <c r="H3301" s="23" t="n">
        <v>10</v>
      </c>
      <c r="I3301" s="23" t="n">
        <v>10</v>
      </c>
      <c r="J3301" s="23" t="inlineStr">
        <is>
          <t>978-5-9524-6731-6</t>
        </is>
      </c>
      <c r="K3301" s="23" t="inlineStr">
        <is>
          <t>84x108 1/32</t>
        </is>
      </c>
      <c r="L3301" s="23" t="inlineStr">
        <is>
          <t>тв</t>
        </is>
      </c>
      <c r="M3301" s="23" t="n">
        <v>352</v>
      </c>
      <c r="N3301" s="23" t="n">
        <v>2026</v>
      </c>
      <c r="O3301" s="23" t="n">
        <v>414</v>
      </c>
      <c r="P3301" s="23" t="n"/>
      <c r="Q3301" s="23" t="n"/>
      <c r="R3301" s="25" t="inlineStr">
        <is>
          <t>Известный английский журналист, религиовед, исследователь мистицизма и оккультной философии Пол Брантон рассказывает о своих путешествиях по странам Востока в поисках контактов с носителями тайного знания. Он жил среди йогов, мистиков и монахов, изучал историю Древнего Египта, вновь и вновь возвращаясь к своему любимому символу этой загадочной страны — каменному гиганту пустыни, лежащему Сфинксу. Обладая несомненным мастерством писателя, Брантон ярко и увлекательно рассказывает о своих исследованиях в царских гробницах, о встречах со знаменитыми факирами и гипнотизерами. Описывает сокровенные обряды и тайные мистерии посвящения в египетских храмах, призраков, которые явились ему, когда он в могильной тишине всю ночь бодрствовал в Великой пирамиде, встречу с адептом и то, как однажды ему открылась тайна всего сущего.</t>
        </is>
      </c>
      <c r="S3301" s="26">
        <f>HYPERLINK("http://www.cnpol.ru/covers/22248.jpg","фото на сайте")</f>
        <v/>
      </c>
    </row>
    <row r="3302" ht="50.1" customHeight="1" s="3">
      <c r="A3302" s="23" t="n"/>
      <c r="B3302" s="24" t="inlineStr">
        <is>
          <t>16108</t>
        </is>
      </c>
      <c r="C3302" s="23" t="inlineStr">
        <is>
          <t>ОИ ВИ</t>
        </is>
      </c>
      <c r="D3302" s="23" t="inlineStr">
        <is>
          <t>Уайтлок А.</t>
        </is>
      </c>
      <c r="E3302" s="23" t="inlineStr">
        <is>
          <t>В постели с Елизаветой. Интимная история английского королевского двора.</t>
        </is>
      </c>
      <c r="F3302" s="23" t="inlineStr">
        <is>
          <t>        </t>
        </is>
      </c>
      <c r="G3302" s="23" t="n">
        <v>910</v>
      </c>
      <c r="H3302" s="23" t="n">
        <v>10</v>
      </c>
      <c r="I3302" s="23" t="n">
        <v>10</v>
      </c>
      <c r="J3302" s="23" t="inlineStr">
        <is>
          <t>978-5-227-06119-5</t>
        </is>
      </c>
      <c r="K3302" s="23" t="inlineStr">
        <is>
          <t>84x108 1/32</t>
        </is>
      </c>
      <c r="L3302" s="23" t="inlineStr">
        <is>
          <t>тв</t>
        </is>
      </c>
      <c r="M3302" s="23" t="n">
        <v>479</v>
      </c>
      <c r="N3302" s="23" t="n">
        <v>2015</v>
      </c>
      <c r="O3302" s="23" t="n">
        <v>478</v>
      </c>
      <c r="P3302" s="23" t="n"/>
      <c r="Q3302" s="23" t="n"/>
      <c r="R3302" s="25" t="n"/>
      <c r="S3302" s="26">
        <f>HYPERLINK("http://www.cnpol.ru/covers/16108.jpg","фото на сайте")</f>
        <v/>
      </c>
    </row>
    <row r="3303" ht="50.1" customHeight="1" s="3">
      <c r="A3303" s="23" t="inlineStr">
        <is>
          <t>Н</t>
        </is>
      </c>
      <c r="B3303" s="24" t="inlineStr">
        <is>
          <t>21618</t>
        </is>
      </c>
      <c r="C3303" s="23" t="inlineStr">
        <is>
          <t>ОИ ВИ</t>
        </is>
      </c>
      <c r="D3303" s="23" t="inlineStr">
        <is>
          <t>Саммерс Монтегю</t>
        </is>
      </c>
      <c r="E3303" s="23" t="inlineStr">
        <is>
          <t>Вампиры в верованиях и легендах</t>
        </is>
      </c>
      <c r="F3303" s="23" t="inlineStr">
        <is>
          <t>        </t>
        </is>
      </c>
      <c r="G3303" s="27" t="n">
        <v>1057</v>
      </c>
      <c r="H3303" s="23" t="n">
        <v>10</v>
      </c>
      <c r="I3303" s="23" t="n">
        <v>12</v>
      </c>
      <c r="J3303" s="23" t="inlineStr">
        <is>
          <t>978-5-9524-6001-0</t>
        </is>
      </c>
      <c r="K3303" s="23" t="inlineStr">
        <is>
          <t>84x108 1/32</t>
        </is>
      </c>
      <c r="L3303" s="23" t="inlineStr">
        <is>
          <t>тв</t>
        </is>
      </c>
      <c r="M3303" s="23" t="n">
        <v>351</v>
      </c>
      <c r="N3303" s="23" t="n">
        <v>2025</v>
      </c>
      <c r="O3303" s="23" t="n">
        <v>360</v>
      </c>
      <c r="P3303" s="23" t="n"/>
      <c r="Q3303" s="23" t="n"/>
      <c r="R3303" s="25" t="inlineStr">
        <is>
          <t>Преподобный Монтегю Саммерс, английский писатель и знаток готического романа, католический клирик и исследователь оккультизма, автор работ по истории ведьмовства и демонологии, по географии ведовства, оборотничества и вампиризма, в своей книге прослеживает мрачные предания о вампирах до истоков их возникновения. В поисках внятного толкования характерных черт и действий вампиров, попытке сформулировать гипотезу, которая могла бы объяснить эти жуткие явления, Саммерс приводит множество примеров и случаев вампиризма. На основе свидетельств очевидцев он рассказывает о привычках, особенностях, внешнем виде и отличительных признаках вампиров и способах защиты от них.</t>
        </is>
      </c>
      <c r="S3303" s="26">
        <f>HYPERLINK("http://www.cnpol.ru/covers/21618.jpg","фото на сайте")</f>
        <v/>
      </c>
    </row>
    <row r="3304" ht="50.1" customHeight="1" s="3">
      <c r="A3304" s="23" t="n"/>
      <c r="B3304" s="24" t="inlineStr">
        <is>
          <t>20093</t>
        </is>
      </c>
      <c r="C3304" s="23" t="inlineStr">
        <is>
          <t>ОИ ВИ</t>
        </is>
      </c>
      <c r="D3304" s="23" t="inlineStr">
        <is>
          <t>Буркхард Я.</t>
        </is>
      </c>
      <c r="E3304" s="23" t="inlineStr">
        <is>
          <t>Век Константина Великого</t>
        </is>
      </c>
      <c r="F3304" s="23" t="inlineStr">
        <is>
          <t>        </t>
        </is>
      </c>
      <c r="G3304" s="27" t="n">
        <v>1091</v>
      </c>
      <c r="H3304" s="23" t="n">
        <v>10</v>
      </c>
      <c r="I3304" s="23" t="n">
        <v>12</v>
      </c>
      <c r="J3304" s="23" t="inlineStr">
        <is>
          <t>978-5-9524-5688-4</t>
        </is>
      </c>
      <c r="K3304" s="23" t="inlineStr">
        <is>
          <t>84x108 1/32</t>
        </is>
      </c>
      <c r="L3304" s="23" t="inlineStr">
        <is>
          <t>тв</t>
        </is>
      </c>
      <c r="M3304" s="23" t="n">
        <v>367</v>
      </c>
      <c r="N3304" s="23" t="n">
        <v>2022</v>
      </c>
      <c r="O3304" s="23" t="n">
        <v>372</v>
      </c>
      <c r="P3304" s="23" t="n"/>
      <c r="Q3304" s="23" t="n"/>
      <c r="R3304" s="25" t="inlineStr">
        <is>
          <t>В книге описывается переходный период от Античности к Средневековью, ознаменовавшийся приходом и укреплением в Римской империи новой религии - христианства. Автор дает оценки исторической роли императора Константина Великого, который сначала завоевал римский мир, а затем обратил его в новую религию, сохраняя языческие культы и последовательно проводя централизацию государственного аппарата.</t>
        </is>
      </c>
      <c r="S3304" s="26">
        <f>HYPERLINK("http://www.cnpol.ru/covers/20093.jpg","фото на сайте")</f>
        <v/>
      </c>
    </row>
    <row r="3305" ht="50.1" customHeight="1" s="3">
      <c r="A3305" s="23" t="n"/>
      <c r="B3305" s="24" t="inlineStr">
        <is>
          <t>20863</t>
        </is>
      </c>
      <c r="C3305" s="23" t="inlineStr">
        <is>
          <t>ОИ ВИ</t>
        </is>
      </c>
      <c r="D3305" s="23" t="inlineStr">
        <is>
          <t>Террейн Д.</t>
        </is>
      </c>
      <c r="E3305" s="23" t="inlineStr">
        <is>
          <t>Великая война. 1914—1918. Первая мировая — предпосылки и развитие</t>
        </is>
      </c>
      <c r="F3305" s="23" t="inlineStr">
        <is>
          <t>        </t>
        </is>
      </c>
      <c r="G3305" s="23" t="n">
        <v>996</v>
      </c>
      <c r="H3305" s="23" t="n">
        <v>10</v>
      </c>
      <c r="I3305" s="23" t="n">
        <v>12</v>
      </c>
      <c r="J3305" s="23" t="inlineStr">
        <is>
          <t>978-5-9524-6039-3</t>
        </is>
      </c>
      <c r="K3305" s="23" t="inlineStr">
        <is>
          <t>84x108 1/32</t>
        </is>
      </c>
      <c r="L3305" s="23" t="inlineStr">
        <is>
          <t>тв</t>
        </is>
      </c>
      <c r="M3305" s="23" t="n">
        <v>254</v>
      </c>
      <c r="N3305" s="23" t="n">
        <v>2023</v>
      </c>
      <c r="O3305" s="23" t="n">
        <v>365</v>
      </c>
      <c r="P3305" s="23" t="n"/>
      <c r="Q3305" s="23" t="n"/>
      <c r="R3305" s="25" t="inlineStr">
        <is>
          <t>В книге Джона Террейна охвачены огромные пласты исторического материала. Раскрывается роль каждого государства в Первой мировой войне. Пользуясь большим количеством источников — дипломатических отчетов, сводок с театра военных действий и рапортов высших должностных лиц, — автор убедительно аргументирует ряд обобщений и выводов. Расположенный в строго хронологическом порядке тщательно скомпонованный материал выявляет тайные и явные мотивы политики ведущих держав мира и механизмы, при помощи или вопреки которым свершается неумолимый ход истории.</t>
        </is>
      </c>
      <c r="S3305" s="26">
        <f>HYPERLINK("http://www.cnpol.ru/covers/20863.jpg","фото на сайте")</f>
        <v/>
      </c>
    </row>
    <row r="3306" ht="50.1" customHeight="1" s="3">
      <c r="A3306" s="23" t="n"/>
      <c r="B3306" s="24" t="inlineStr">
        <is>
          <t>20019</t>
        </is>
      </c>
      <c r="C3306" s="23" t="inlineStr">
        <is>
          <t>ОИ ВИ</t>
        </is>
      </c>
      <c r="D3306" s="23" t="inlineStr">
        <is>
          <t>Бонвик Д.</t>
        </is>
      </c>
      <c r="E3306" s="23" t="inlineStr">
        <is>
          <t>Великая пирамида Гизы. Факты, гипотезы, открытия</t>
        </is>
      </c>
      <c r="F3306" s="23" t="inlineStr">
        <is>
          <t>        </t>
        </is>
      </c>
      <c r="G3306" s="23" t="n">
        <v>829</v>
      </c>
      <c r="H3306" s="23" t="n">
        <v>10</v>
      </c>
      <c r="I3306" s="23" t="n">
        <v>18</v>
      </c>
      <c r="J3306" s="23" t="inlineStr">
        <is>
          <t>978-5-9524-5665-5</t>
        </is>
      </c>
      <c r="K3306" s="23" t="inlineStr">
        <is>
          <t>84x108 1/32</t>
        </is>
      </c>
      <c r="L3306" s="23" t="inlineStr">
        <is>
          <t>тв</t>
        </is>
      </c>
      <c r="M3306" s="23" t="n">
        <v>221</v>
      </c>
      <c r="N3306" s="23" t="n">
        <v>2022</v>
      </c>
      <c r="O3306" s="23" t="n">
        <v>242</v>
      </c>
      <c r="P3306" s="23" t="n"/>
      <c r="Q3306" s="23" t="n"/>
      <c r="R3306" s="25" t="inlineStr">
        <is>
          <t>Британский египтолог Джеймс Бонвик одним из первых попытался найти объяснение способу и замыслу постройки Великой пирамиды. В этой книге он предлагает около пятидесяти различных теорий, объясняющих цель этого грандиозного сооружения. Он предпринимает сравнительное исследование, которое охватывает весь комплекс пирамид Гизы...</t>
        </is>
      </c>
      <c r="S3306" s="26">
        <f>HYPERLINK("http://www.cnpol.ru/covers/20019.jpg","фото на сайте")</f>
        <v/>
      </c>
    </row>
    <row r="3307" ht="50.1" customHeight="1" s="3">
      <c r="A3307" s="23" t="inlineStr">
        <is>
          <t>Н</t>
        </is>
      </c>
      <c r="B3307" s="24" t="inlineStr">
        <is>
          <t>21141</t>
        </is>
      </c>
      <c r="C3307" s="23" t="inlineStr">
        <is>
          <t>ОИ ВИ</t>
        </is>
      </c>
      <c r="D3307" s="23" t="inlineStr">
        <is>
          <t>Кризи Эдвард</t>
        </is>
      </c>
      <c r="E3307" s="23" t="inlineStr">
        <is>
          <t>Великие битвы XI—XIX веков. От Гастингса до Ватерлоо</t>
        </is>
      </c>
      <c r="F3307" s="23" t="inlineStr">
        <is>
          <t>        </t>
        </is>
      </c>
      <c r="G3307" s="23" t="n">
        <v>888</v>
      </c>
      <c r="H3307" s="23" t="n">
        <v>10</v>
      </c>
      <c r="I3307" s="23" t="n">
        <v>14</v>
      </c>
      <c r="J3307" s="23" t="inlineStr">
        <is>
          <t>978-5-9524-6014-0</t>
        </is>
      </c>
      <c r="K3307" s="23" t="inlineStr">
        <is>
          <t>84x108 1/32</t>
        </is>
      </c>
      <c r="L3307" s="23" t="inlineStr">
        <is>
          <t>тв</t>
        </is>
      </c>
      <c r="M3307" s="23" t="n">
        <v>255</v>
      </c>
      <c r="N3307" s="23" t="n">
        <v>2024</v>
      </c>
      <c r="O3307" s="23" t="n">
        <v>317</v>
      </c>
      <c r="P3307" s="23" t="n"/>
      <c r="Q3307" s="23" t="n"/>
      <c r="R3307" s="25" t="inlineStr">
        <is>
          <t>Исследуя вооруженные конфликты Средневековья и Нового времени, Эдвард Кризи выбирает восемь наиболее важных сражений этого периода истории, позволяющих во всех деталях рассмотреть масштабную картину эволюции вооружения и ведения войн. Автор анализирует расстановку политических сил к моменту сражения, дает характеристику действиям военачальников, полководцев и флотоводцев, подробно освещает сам ход сражения и, наконец, делает вывод о его значении для дальнейшего хода истории._x000D_
В этой книге вы познакомитесь с драматическими коллизиями битвы при Гастингсе и сражения у Вальми, узнаете о победах Жанны д’Арк над англичанами под Орлеаном и американцев над генералом Бургойном при Саратоге, рассмотрите все аспекты поражения испанской Армады и битвы Наполеона при Ватерлоо, а также сможете оценить нестандартный взгляд зарубежного историка на Полтавскую битву.</t>
        </is>
      </c>
      <c r="S3307" s="26">
        <f>HYPERLINK("http://www.cnpol.ru/covers/21141.jpg","фото на сайте")</f>
        <v/>
      </c>
    </row>
    <row r="3308" ht="50.1" customHeight="1" s="3">
      <c r="A3308" s="23" t="inlineStr">
        <is>
          <t>Д</t>
        </is>
      </c>
      <c r="B3308" s="24" t="inlineStr">
        <is>
          <t>22102</t>
        </is>
      </c>
      <c r="C3308" s="23" t="inlineStr">
        <is>
          <t>ОИ ВИ</t>
        </is>
      </c>
      <c r="D3308" s="23" t="inlineStr">
        <is>
          <t>Хизер П.</t>
        </is>
      </c>
      <c r="E3308" s="23" t="inlineStr">
        <is>
          <t>Великие завоевания варваров. Падение Рима и рождение Европы</t>
        </is>
      </c>
      <c r="F3308" s="23" t="inlineStr">
        <is>
          <t>        </t>
        </is>
      </c>
      <c r="G3308" s="27" t="n">
        <v>1810</v>
      </c>
      <c r="H3308" s="23" t="n">
        <v>10</v>
      </c>
      <c r="I3308" s="23" t="n">
        <v>5</v>
      </c>
      <c r="J3308" s="23" t="inlineStr">
        <is>
          <t>978-5-227-07058-6</t>
        </is>
      </c>
      <c r="K3308" s="23" t="inlineStr">
        <is>
          <t>84x108 1/32</t>
        </is>
      </c>
      <c r="L3308" s="23" t="inlineStr">
        <is>
          <t>тв</t>
        </is>
      </c>
      <c r="M3308" s="23" t="n">
        <v>832</v>
      </c>
      <c r="N3308" s="23" t="n">
        <v>2016</v>
      </c>
      <c r="O3308" s="23" t="n">
        <v>813</v>
      </c>
      <c r="P3308" s="23" t="n"/>
      <c r="Q3308" s="23" t="n"/>
      <c r="R3308" s="25" t="inlineStr">
        <is>
          <t>Книга Питера Хизера, авторитетного специалиста по истории раннего Средневековья, посвящена великому переселению народов в 1-м тысячелетии от Рождества Христова. Автор дает всестороннюю характеристику периода, ставшего ключевым для возникновения наций и создания первых государств франков, германцев, славян и других народов; анализирует модели и причины миграции в контексте преобразований, затронувших западную часть континента. Особое внимание Питер Хизер уделяет масштабной славянизации Центральной и Восточной Европы и укреплению славянских государств, которые существуют по сей день. Отстаивая определяющую роль миграции в преображении варварской Европы, историк не умаляет важности внутренних экономических, социальных и политических трансформаций, а также взаимопроникновения культур, распространения христианства, письменности и ремесел. Описывая процесс рождения новой Европы, Питер Хизер убедительно доказывает, что миграция — ключевое явление 1-го тысячелетия, определившее современную карту мира.</t>
        </is>
      </c>
      <c r="S3308" s="26">
        <f>HYPERLINK("http://www.cnpol.ru/covers/22102.jpg","фото на сайте")</f>
        <v/>
      </c>
    </row>
    <row r="3309" ht="50.1" customHeight="1" s="3">
      <c r="A3309" s="23" t="inlineStr">
        <is>
          <t>Н</t>
        </is>
      </c>
      <c r="B3309" s="24" t="inlineStr">
        <is>
          <t>21660</t>
        </is>
      </c>
      <c r="C3309" s="23" t="inlineStr">
        <is>
          <t>ОИ ВИ</t>
        </is>
      </c>
      <c r="D3309" s="23" t="inlineStr">
        <is>
          <t>Корбетт Д.С.</t>
        </is>
      </c>
      <c r="E3309" s="23" t="inlineStr">
        <is>
          <t>Великие морские сражения XVI—XIX веков. Стратегия и тактика британских адмиралов</t>
        </is>
      </c>
      <c r="F3309" s="23" t="inlineStr">
        <is>
          <t>        </t>
        </is>
      </c>
      <c r="G3309" s="23" t="n">
        <v>880</v>
      </c>
      <c r="H3309" s="23" t="n">
        <v>10</v>
      </c>
      <c r="I3309" s="23" t="n">
        <v>14</v>
      </c>
      <c r="J3309" s="23" t="inlineStr">
        <is>
          <t>978-5-9524-6051-5</t>
        </is>
      </c>
      <c r="K3309" s="23" t="inlineStr">
        <is>
          <t>84x108 1/32</t>
        </is>
      </c>
      <c r="L3309" s="23" t="inlineStr">
        <is>
          <t>тв</t>
        </is>
      </c>
      <c r="M3309" s="23" t="n">
        <v>255</v>
      </c>
      <c r="N3309" s="23" t="n">
        <v>2025</v>
      </c>
      <c r="O3309" s="23" t="n">
        <v>280</v>
      </c>
      <c r="P3309" s="23" t="n"/>
      <c r="Q3309" s="23" t="n"/>
      <c r="R3309" s="25" t="inlineStr">
        <is>
          <t>Известный исследователь Джулиан Корбетт в своей работе, посвященной британскому военно-морскому флоту XVI–XIX веков, рассказывает об особенностях профессиональной подготовки военных и политических событий, позволивших Великобритании надолго занять лидирующую позицию в военных столкновениях на море. В книге представлены тактические и стратегические принципы знаменитых адмиралов — Нельсона, Роднея, Хока и других выдающихся личностей Соединенного Королевства._x000D_
Это фундаментальное историческое исследование дает исчерпывающие ответы на спорные вопросы в отношении военной интервенции, методов осуществления господства, а также основных различий в ведении войны на суше и на море.</t>
        </is>
      </c>
      <c r="S3309" s="26">
        <f>HYPERLINK("http://www.cnpol.ru/covers/21660.jpg","фото на сайте")</f>
        <v/>
      </c>
    </row>
    <row r="3310" ht="50.1" customHeight="1" s="3">
      <c r="A3310" s="23" t="inlineStr">
        <is>
          <t>Д</t>
        </is>
      </c>
      <c r="B3310" s="24" t="inlineStr">
        <is>
          <t>21894</t>
        </is>
      </c>
      <c r="C3310" s="23" t="inlineStr">
        <is>
          <t>ОИ ВИ</t>
        </is>
      </c>
      <c r="D3310" s="23" t="inlineStr">
        <is>
          <t>Шпулер Б.</t>
        </is>
      </c>
      <c r="E3310" s="23" t="inlineStr">
        <is>
          <t>Великие мусульманские империи. История исламских государств Ближнего Востока, Центральной Азии и Африки</t>
        </is>
      </c>
      <c r="F3310" s="23" t="inlineStr">
        <is>
          <t>        </t>
        </is>
      </c>
      <c r="G3310" s="27" t="n">
        <v>1009</v>
      </c>
      <c r="H3310" s="23" t="n">
        <v>10</v>
      </c>
      <c r="I3310" s="23" t="n">
        <v>10</v>
      </c>
      <c r="J3310" s="23" t="inlineStr">
        <is>
          <t>978-5-9524-6556-5</t>
        </is>
      </c>
      <c r="K3310" s="23" t="inlineStr">
        <is>
          <t>84x108 1/32</t>
        </is>
      </c>
      <c r="L3310" s="23" t="inlineStr">
        <is>
          <t>тв</t>
        </is>
      </c>
      <c r="M3310" s="23" t="n">
        <v>319</v>
      </c>
      <c r="N3310" s="23" t="n">
        <v>2026</v>
      </c>
      <c r="O3310" s="23" t="n">
        <v>363</v>
      </c>
      <c r="P3310" s="23" t="n"/>
      <c r="Q3310" s="23" t="n"/>
      <c r="R3310" s="25" t="inlineStr">
        <is>
          <t>В книге отражены научные взгляды ведущих европейских ученых-востоковедов на историю мусульманских империй в ХV—ХIХ вв. Наряду с исследованиями, посвященными взлету и падению великих держав и правящих династий Ближнего и Среднего Востока, рассмотрены процессы, происходившие на периферии исламского мира. Так, профессор Бертольд Шпулер описывает продвижение ислама на север, анализирует положение дел в Бухарском ханстве, Коканде и Хиве при поздних Тимуридах. В книгу также включены материалы, посвященные становлению государств Северо-Западной и Экваториальной Африки, истории Ирана в период правления династии Сефевидов и последним трем векам независимости Индии при Великих Моголах.</t>
        </is>
      </c>
      <c r="S3310" s="26">
        <f>HYPERLINK("http://www.cnpol.ru/covers/21894.jpg","фото на сайте")</f>
        <v/>
      </c>
    </row>
    <row r="3311" ht="50.1" customHeight="1" s="3">
      <c r="A3311" s="23" t="inlineStr">
        <is>
          <t>Д</t>
        </is>
      </c>
      <c r="B3311" s="24" t="inlineStr">
        <is>
          <t>21372</t>
        </is>
      </c>
      <c r="C3311" s="23" t="inlineStr">
        <is>
          <t>ОИ ВИ</t>
        </is>
      </c>
      <c r="D3311" s="23" t="inlineStr">
        <is>
          <t>Вейгалл А.</t>
        </is>
      </c>
      <c r="E3311" s="23" t="inlineStr">
        <is>
          <t>Великие правители Древнего Египта. История царских династий от Аменемхета I до Тутмоса III</t>
        </is>
      </c>
      <c r="F3311" s="23" t="inlineStr">
        <is>
          <t>        </t>
        </is>
      </c>
      <c r="G3311" s="27" t="n">
        <v>1326</v>
      </c>
      <c r="H3311" s="23" t="n">
        <v>10</v>
      </c>
      <c r="I3311" s="23" t="n">
        <v>8</v>
      </c>
      <c r="J3311" s="23" t="inlineStr">
        <is>
          <t>978-5-9524-6269-4</t>
        </is>
      </c>
      <c r="K3311" s="23" t="inlineStr">
        <is>
          <t>84x108 1/32</t>
        </is>
      </c>
      <c r="L3311" s="23" t="inlineStr">
        <is>
          <t>тв</t>
        </is>
      </c>
      <c r="M3311" s="23" t="n">
        <v>478</v>
      </c>
      <c r="N3311" s="23" t="n">
        <v>2024</v>
      </c>
      <c r="O3311" s="23" t="n">
        <v>520</v>
      </c>
      <c r="P3311" s="23" t="n"/>
      <c r="Q3311" s="23" t="n"/>
      <c r="R3311" s="25" t="inlineStr">
        <is>
          <t>Артур Вейгалл, известный английский египтолог, в своей книге прослеживает историю Древнего Египта в эпоху правления фараонов XII—XVIII династий. Опираясь на данные, полученные в ходе реконструкции надписи на Палермском камне и расшифровке Туринского папируса, Вейгалл выстраивает новую хронологию событий описываемого периода. На основе предметов материальной культуры и сохранившихся текстов Вейгалл дает представление об образе жизни, культуре и традициях египтян. Особый интерес представляет включенное в данный труд древнейшее литературное произведение — «Странствия Синухета», действие которого происходит во времена правления фараонов XII династии Аменемхета I и Сенусерта I.</t>
        </is>
      </c>
      <c r="S3311" s="26">
        <f>HYPERLINK("http://www.cnpol.ru/covers/21372.jpg","фото на сайте")</f>
        <v/>
      </c>
    </row>
    <row r="3312" ht="50.1" customHeight="1" s="3">
      <c r="A3312" s="23" t="inlineStr">
        <is>
          <t>Н</t>
        </is>
      </c>
      <c r="B3312" s="24" t="inlineStr">
        <is>
          <t>21142</t>
        </is>
      </c>
      <c r="C3312" s="23" t="inlineStr">
        <is>
          <t>ОИ ВИ</t>
        </is>
      </c>
      <c r="D3312" s="23" t="inlineStr">
        <is>
          <t>Кризи Эдвард</t>
        </is>
      </c>
      <c r="E3312" s="23" t="inlineStr">
        <is>
          <t>Великие сражения Античного мира. От битвы при Марафоне до Шалонского боя</t>
        </is>
      </c>
      <c r="F3312" s="23" t="inlineStr">
        <is>
          <t>        </t>
        </is>
      </c>
      <c r="G3312" s="23" t="n">
        <v>835</v>
      </c>
      <c r="H3312" s="23" t="n">
        <v>10</v>
      </c>
      <c r="I3312" s="23" t="n">
        <v>16</v>
      </c>
      <c r="J3312" s="23" t="inlineStr">
        <is>
          <t>978-5-9524-6018-8</t>
        </is>
      </c>
      <c r="K3312" s="23" t="inlineStr">
        <is>
          <t>84x108 1/32</t>
        </is>
      </c>
      <c r="L3312" s="23" t="inlineStr">
        <is>
          <t>тв</t>
        </is>
      </c>
      <c r="M3312" s="23" t="n">
        <v>223</v>
      </c>
      <c r="N3312" s="23" t="n">
        <v>2024</v>
      </c>
      <c r="O3312" s="23" t="n">
        <v>290</v>
      </c>
      <c r="P3312" s="23" t="n"/>
      <c r="Q3312" s="23" t="n"/>
      <c r="R3312" s="25" t="inlineStr">
        <is>
          <t>Эдвард Кризи, исследуя вооруженные конфликты Античности, определяет свой выбор самых важных сражений этого периода истории тем, что они позволяют во всех деталях рассмотреть масштабную картину развития человечества. Автор анализирует расстановку политических сил к моменту сражения, рассказывает о военачальниках, полководцах и флотоводцах, о вооружении и тактике противников, подробно освещает сам ход сражения и, наконец, делает вывод о значении этой войны для дальнейшего течения истории. В этой книге вы познакомитесь с драматическими коллизиями битв при Марафоне и Метавре, поражения Афин при Сиракузах, сражения при Арбелах (Гавгамелах), узнаете о победе Арминия над римскими легионами Вара в Тевтобургском лесу. Также рассматриваются Шалонское сражение (451 г.) и битва при Туре (732 г.), так как в эпоху раннего Средневековья, наряду с новыми элементами, еще господствуют принципы ведения войн, вооружение и тактика, принятые в Античности.</t>
        </is>
      </c>
      <c r="S3312" s="26">
        <f>HYPERLINK("http://www.cnpol.ru/covers/21142.jpg","фото на сайте")</f>
        <v/>
      </c>
    </row>
    <row r="3313" ht="50.1" customHeight="1" s="3">
      <c r="A3313" s="23" t="inlineStr">
        <is>
          <t>Н</t>
        </is>
      </c>
      <c r="B3313" s="24" t="inlineStr">
        <is>
          <t>21855</t>
        </is>
      </c>
      <c r="C3313" s="23" t="inlineStr">
        <is>
          <t>ОИ ВИ</t>
        </is>
      </c>
      <c r="D3313" s="23" t="inlineStr">
        <is>
          <t>Гамов Г.</t>
        </is>
      </c>
      <c r="E3313" s="23" t="inlineStr">
        <is>
          <t>Великие физики от Галилео до Эйнштейна. Как были сделаны самые значимые научные открытия</t>
        </is>
      </c>
      <c r="F3313" s="23" t="inlineStr">
        <is>
          <t>        </t>
        </is>
      </c>
      <c r="G3313" s="27" t="n">
        <v>1117</v>
      </c>
      <c r="H3313" s="23" t="n">
        <v>10</v>
      </c>
      <c r="I3313" s="23" t="n">
        <v>5</v>
      </c>
      <c r="J3313" s="23" t="inlineStr">
        <is>
          <t>978-5-9524-5761-4</t>
        </is>
      </c>
      <c r="K3313" s="23" t="inlineStr">
        <is>
          <t>84x108 1/32</t>
        </is>
      </c>
      <c r="L3313" s="23" t="inlineStr">
        <is>
          <t>тв</t>
        </is>
      </c>
      <c r="M3313" s="23" t="n">
        <v>384</v>
      </c>
      <c r="N3313" s="23" t="n">
        <v>2025</v>
      </c>
      <c r="O3313" s="23" t="n">
        <v>434</v>
      </c>
      <c r="P3313" s="23" t="n"/>
      <c r="Q3313" s="23" t="n"/>
      <c r="R3313" s="25" t="inlineStr">
        <is>
          <t>Георгий Гамов — физик с мировым именем, блестящий популяризатор науки, на страницах своей книги освещает эволюцию научных представлений от Античности до середины ХХ века. Автор знакомит читателя с открытиями Архимеда, Кеплера, Галилея и других великих ученых прошлого, наглядно воспроизводит эксперименты Исаака Ньютона и Майкла Фарадея, живым и доступным языком объясняет явления квантовой механики, принципы атомной и ядерной физики, теорию элементарных частиц. Освещая научные открытия ХХ века, Георгий Гамов делится личными воспоминаниями об Эрнесте Резерфорде, Альберте Эйнштейне, Нильсе Боре и других гениальных физиках, с которыми ему довелось работать и совершать научные открытия._x000D_
Книга проиллюстрирована чертежами и рисунками автора.</t>
        </is>
      </c>
      <c r="S3313" s="26">
        <f>HYPERLINK("http://www.cnpol.ru/covers/21855.jpg","фото на сайте")</f>
        <v/>
      </c>
    </row>
    <row r="3314" ht="50.1" customHeight="1" s="3">
      <c r="A3314" s="23" t="inlineStr">
        <is>
          <t>Д</t>
        </is>
      </c>
      <c r="B3314" s="24" t="inlineStr">
        <is>
          <t>22179</t>
        </is>
      </c>
      <c r="C3314" s="23" t="inlineStr">
        <is>
          <t>ОИ ВИ</t>
        </is>
      </c>
      <c r="D3314" s="23" t="inlineStr">
        <is>
          <t>Ру Жорж</t>
        </is>
      </c>
      <c r="E3314" s="23" t="inlineStr">
        <is>
          <t>Великие цивилизации Междуречья. Древняя Месопотамия: царства Шумер, Аккад, Вавилония и Ассирия. 2700</t>
        </is>
      </c>
      <c r="F3314" s="23" t="inlineStr">
        <is>
          <t>        </t>
        </is>
      </c>
      <c r="G3314" s="27" t="n">
        <v>1265</v>
      </c>
      <c r="H3314" s="23" t="n">
        <v>10</v>
      </c>
      <c r="I3314" s="23" t="n">
        <v>10</v>
      </c>
      <c r="J3314" s="23" t="inlineStr">
        <is>
          <t>978-5-9524-6705-7</t>
        </is>
      </c>
      <c r="K3314" s="23" t="inlineStr">
        <is>
          <t>84x108 1/32</t>
        </is>
      </c>
      <c r="L3314" s="23" t="inlineStr">
        <is>
          <t>тв</t>
        </is>
      </c>
      <c r="M3314" s="23" t="n">
        <v>446</v>
      </c>
      <c r="N3314" s="23" t="n">
        <v>2026</v>
      </c>
      <c r="O3314" s="23" t="n">
        <v>496</v>
      </c>
      <c r="P3314" s="23" t="n"/>
      <c r="Q3314" s="23" t="n"/>
      <c r="R3314" s="25" t="inlineStr">
        <is>
          <t>Книга ассириолога Жоржа Ру охватывает политическую, культурную и экономическую историю трехтысячелетнего периода процветания региона, расположенного между Тигром и Евфратом и некогда называвшегося Месопотамией. Интерес к Древнему Ближнему Востоку и исследовательская работа автора позволили ему описать династии и религии каждой эпохи: искусство, науку и литературу шумеров, аккадцев, вавилонян и ассирийцев, погружая читателя в неизбежное очарование прошлого.</t>
        </is>
      </c>
      <c r="S3314" s="26">
        <f>HYPERLINK("http://www.cnpol.ru/covers/22179.jpg","фото на сайте")</f>
        <v/>
      </c>
    </row>
    <row r="3315" ht="50.1" customHeight="1" s="3">
      <c r="A3315" s="23" t="inlineStr">
        <is>
          <t>Н</t>
        </is>
      </c>
      <c r="B3315" s="24" t="inlineStr">
        <is>
          <t>21657</t>
        </is>
      </c>
      <c r="C3315" s="23" t="inlineStr">
        <is>
          <t>ОИ ВИ</t>
        </is>
      </c>
      <c r="D3315" s="23" t="inlineStr">
        <is>
          <t>Торп Н.</t>
        </is>
      </c>
      <c r="E3315" s="23" t="inlineStr">
        <is>
          <t>Великий Дунай на исторической карте Европы. Важная жизненная артерия и стратегическая цель крупных военных конфликтов от нашего времени до глубины веков</t>
        </is>
      </c>
      <c r="F3315" s="23" t="inlineStr">
        <is>
          <t>        </t>
        </is>
      </c>
      <c r="G3315" s="27" t="n">
        <v>1184</v>
      </c>
      <c r="H3315" s="23" t="n">
        <v>10</v>
      </c>
      <c r="I3315" s="23" t="n">
        <v>5</v>
      </c>
      <c r="J3315" s="23" t="inlineStr">
        <is>
          <t>978-5-9524-6427-8</t>
        </is>
      </c>
      <c r="K3315" s="23" t="inlineStr">
        <is>
          <t>84x108 1/32</t>
        </is>
      </c>
      <c r="L3315" s="23" t="inlineStr">
        <is>
          <t>тв</t>
        </is>
      </c>
      <c r="M3315" s="23" t="n">
        <v>415</v>
      </c>
      <c r="N3315" s="23" t="n">
        <v>2025</v>
      </c>
      <c r="O3315" s="23" t="n">
        <v>451</v>
      </c>
      <c r="P3315" s="23" t="n"/>
      <c r="Q3315" s="23" t="n"/>
      <c r="R3315" s="25" t="inlineStr">
        <is>
          <t>Британский журналист Ник Торп отправился в путешествие от Черного моря до Черного леса, чтобы пройти от устья до истока и своими глазами увидеть легендарный Дунай, на берегах которого зарождались древние цивилизации и формировались современные государства. Двигаясь вверх по течению, автор посетил города, монастыри, заповедники и знаковые места «дунайских держав»: ущелье Железные Ворота, перекрытое одноименной плотиной; родное село скульптора К. Бранкузи; равнину близ Мохача в Венгрии, где происходили сражения за «сердце Европы». Из путевых заметок, бесед с людьми, чья жизнь неразрывно связана с Дунаем, ярких эпизодов из летописей, житий святых и биографий видных уроженцев ¬Подунавья, сказаний и песен склады¬вается живописное полотно, отражающее красоту и переменчивый нрав великой реки, ставшей колыбелью народов и главной водной магистралью Центральной Европы.</t>
        </is>
      </c>
      <c r="S3315" s="26">
        <f>HYPERLINK("http://www.cnpol.ru/covers/21657.jpg","фото на сайте")</f>
        <v/>
      </c>
    </row>
    <row r="3316" ht="50.1" customHeight="1" s="3">
      <c r="A3316" s="23" t="n"/>
      <c r="B3316" s="24" t="inlineStr">
        <is>
          <t>18613</t>
        </is>
      </c>
      <c r="C3316" s="23" t="inlineStr">
        <is>
          <t>ОИ ВИ</t>
        </is>
      </c>
      <c r="D3316" s="23" t="inlineStr">
        <is>
          <t>Фауст К.</t>
        </is>
      </c>
      <c r="E3316" s="23" t="inlineStr">
        <is>
          <t>Великий торговый путь от Петербурга до Пекина. История российско­китайских отношений в XVIII—XIX век</t>
        </is>
      </c>
      <c r="F3316" s="23" t="inlineStr">
        <is>
          <t>        </t>
        </is>
      </c>
      <c r="G3316" s="23" t="n">
        <v>633</v>
      </c>
      <c r="H3316" s="23" t="n">
        <v>10</v>
      </c>
      <c r="I3316" s="23" t="n">
        <v>10</v>
      </c>
      <c r="J3316" s="23" t="inlineStr">
        <is>
          <t>978-5-9524-5372-2</t>
        </is>
      </c>
      <c r="K3316" s="23" t="inlineStr">
        <is>
          <t>84x108 1/32</t>
        </is>
      </c>
      <c r="L3316" s="23" t="inlineStr">
        <is>
          <t>тв</t>
        </is>
      </c>
      <c r="M3316" s="23" t="n">
        <v>448</v>
      </c>
      <c r="N3316" s="23" t="n">
        <v>2019</v>
      </c>
      <c r="O3316" s="23" t="n">
        <v>342</v>
      </c>
      <c r="P3316" s="23" t="n"/>
      <c r="Q3316" s="23" t="n"/>
      <c r="R3316" s="25" t="inlineStr">
        <is>
          <t>Клиффорд Фауст, профессор университета Северной Каролины, всесторонне освещает историю установления торговых и дипломатических отношений двух великих империй после подписания Кяхтинского договора. Автор рассказывает, как действовали государственные монополии, какие товары считались стратегическими и как разрешение частной торговли повлияло на развитие Восточной Сибири и экономику государства в целом. Профессор Фауст отмечает, что русские торговцы обладали не только дальновидностью и деловой смёткой, но и знали особый подход, учитывающий национальные черты характера восточного человека, что, в необычайно сложных условиях ведения дел, позволяло неизменно получать прибыль и поддерживать дипломатические отношения как с коренным населением приграничья, так и с официальными властями Поднебесной. Подводя итог, историк сообщает, что увеличение торгового оборота с Китаем дало толчок к развитию предпринимательской деятельности в России, а таможенные сборы от частной приграничной торговли стали основным источником денежных поступлений в государственную казну.</t>
        </is>
      </c>
      <c r="S3316" s="26">
        <f>HYPERLINK("http://www.cnpol.ru/covers/18613.jpg","фото на сайте")</f>
        <v/>
      </c>
    </row>
    <row r="3317" ht="50.1" customHeight="1" s="3">
      <c r="A3317" s="23" t="n"/>
      <c r="B3317" s="24" t="inlineStr">
        <is>
          <t>14798</t>
        </is>
      </c>
      <c r="C3317" s="23" t="inlineStr">
        <is>
          <t>ОИ ВИ</t>
        </is>
      </c>
      <c r="D3317" s="23" t="inlineStr">
        <is>
          <t>Дженкинс Х.Д</t>
        </is>
      </c>
      <c r="E3317" s="23" t="inlineStr">
        <is>
          <t>Великолепный век Ибрагима-паши. Власть и предательство</t>
        </is>
      </c>
      <c r="F3317" s="23" t="inlineStr">
        <is>
          <t>        </t>
        </is>
      </c>
      <c r="G3317" s="23" t="n">
        <v>554</v>
      </c>
      <c r="H3317" s="23" t="n">
        <v>10</v>
      </c>
      <c r="I3317" s="23" t="n">
        <v>18</v>
      </c>
      <c r="J3317" s="23" t="inlineStr">
        <is>
          <t>978-5-227-04750-2</t>
        </is>
      </c>
      <c r="K3317" s="23" t="inlineStr">
        <is>
          <t>70x108 1/32</t>
        </is>
      </c>
      <c r="L3317" s="23" t="inlineStr">
        <is>
          <t>тв</t>
        </is>
      </c>
      <c r="M3317" s="23" t="n">
        <v>191</v>
      </c>
      <c r="N3317" s="23" t="n">
        <v>2014</v>
      </c>
      <c r="O3317" s="23" t="n">
        <v>212</v>
      </c>
      <c r="P3317" s="23" t="n"/>
      <c r="Q3317" s="23" t="n"/>
      <c r="R3317" s="25" t="inlineStr">
        <is>
          <t>На фоне подробного описания обычаев и нравов высшей знати османского государства XVI века автор повествует о яркой и трагичной судьбе Ибрагима-паши, великого визиря Сулеймана Великолепного. Юношеская дружба с султаном, которая переросла в долговременный прочный союз, стремительное восхождение к вершинам власти, формирование характера и качеств государственного деятеля с почти неограниченной властью, обретение славы успешного воина и тонкого дипломата и наконец происки противников и противостояние с женой султана, жестокой и склонной к интригам Хюррем-султан, стоившее Ибрагиму-паше жизни.</t>
        </is>
      </c>
      <c r="S3317" s="26">
        <f>HYPERLINK("http://www.cnpol.ru/covers/14798.jpg","фото на сайте")</f>
        <v/>
      </c>
    </row>
    <row r="3318" ht="50.1" customHeight="1" s="3">
      <c r="A3318" s="23" t="inlineStr">
        <is>
          <t>Н</t>
        </is>
      </c>
      <c r="B3318" s="24" t="inlineStr">
        <is>
          <t>22077</t>
        </is>
      </c>
      <c r="C3318" s="23" t="inlineStr">
        <is>
          <t>ОИ ВИ</t>
        </is>
      </c>
      <c r="D3318" s="23" t="inlineStr">
        <is>
          <t>Мухаммед Али</t>
        </is>
      </c>
      <c r="E3318" s="23" t="inlineStr">
        <is>
          <t>Величайший. Моя собственная биография</t>
        </is>
      </c>
      <c r="F3318" s="23" t="inlineStr">
        <is>
          <t>        </t>
        </is>
      </c>
      <c r="G3318" s="27" t="n">
        <v>1075</v>
      </c>
      <c r="H3318" s="23" t="n">
        <v>10</v>
      </c>
      <c r="I3318" s="23" t="n">
        <v>10</v>
      </c>
      <c r="J3318" s="23" t="inlineStr">
        <is>
          <t>978-5-9524-6647-0</t>
        </is>
      </c>
      <c r="K3318" s="23" t="inlineStr">
        <is>
          <t>84x108 1/32</t>
        </is>
      </c>
      <c r="L3318" s="23" t="inlineStr">
        <is>
          <t>тв</t>
        </is>
      </c>
      <c r="M3318" s="23" t="n">
        <v>575</v>
      </c>
      <c r="N3318" s="23" t="n">
        <v>2026</v>
      </c>
      <c r="O3318" s="23" t="n">
        <v>579</v>
      </c>
      <c r="P3318" s="23" t="n"/>
      <c r="Q3318" s="23" t="n"/>
      <c r="R3318" s="25" t="inlineStr">
        <is>
          <t>В своих захватывающих мемуарах многократный чемпион мира, прославленный боксер-тяжеловес, не щадит никого, описывая битвы, которые вел на ринге и за его пределами. Это многогранный портрет Мухаммеда Али, который мог создать только он: легенда спорта; бескомпромиссный противник войны; эпатажный шоумен и любезный посол доброй воли; боец, любовник, поэт и провокатор. Непреодолимая сила, с которой нужно считаться. Кто лучше расскажет эту историю, чем человек, который прошел весь путь, проживая его день за днем?</t>
        </is>
      </c>
      <c r="S3318" s="26">
        <f>HYPERLINK("http://www.cnpol.ru/covers/22077.jpg","фото на сайте")</f>
        <v/>
      </c>
    </row>
    <row r="3319" ht="50.1" customHeight="1" s="3">
      <c r="A3319" s="23" t="inlineStr">
        <is>
          <t>Н</t>
        </is>
      </c>
      <c r="B3319" s="24" t="inlineStr">
        <is>
          <t>22006</t>
        </is>
      </c>
      <c r="C3319" s="23" t="inlineStr">
        <is>
          <t>ОИ ВИ</t>
        </is>
      </c>
      <c r="D3319" s="23" t="inlineStr">
        <is>
          <t>Мюррей М.</t>
        </is>
      </c>
      <c r="E3319" s="23" t="inlineStr">
        <is>
          <t>Величие Древнего Египта. Материальные и духовные ценности самого могущественного государства Средиземноморья</t>
        </is>
      </c>
      <c r="F3319" s="23" t="inlineStr">
        <is>
          <t>        </t>
        </is>
      </c>
      <c r="G3319" s="27" t="n">
        <v>1009</v>
      </c>
      <c r="H3319" s="23" t="n">
        <v>10</v>
      </c>
      <c r="I3319" s="23" t="n">
        <v>10</v>
      </c>
      <c r="J3319" s="23" t="inlineStr">
        <is>
          <t>978-5-9524-6002-7</t>
        </is>
      </c>
      <c r="K3319" s="23" t="inlineStr">
        <is>
          <t>84x108 1/32</t>
        </is>
      </c>
      <c r="L3319" s="23" t="inlineStr">
        <is>
          <t>тв</t>
        </is>
      </c>
      <c r="M3319" s="23" t="n">
        <v>319</v>
      </c>
      <c r="N3319" s="23" t="n">
        <v>2026</v>
      </c>
      <c r="O3319" s="23" t="n">
        <v>405</v>
      </c>
      <c r="P3319" s="23" t="n"/>
      <c r="Q3319" s="23" t="n"/>
      <c r="R3319" s="25" t="inlineStr">
        <is>
          <t>Давно нет статуи Зевса. От храма Артемиды уцелел только фундамент. Обломки Мавзолея сберегаются в музеях. Колосс Родосский сохранился исключительно в легендах. Александрийский маяк исчез почти бесследно. Из семи чудес света остались только египетские пирамиды. Они возвышаются над пустыней, бросая вызов разрушающему действию времени и главному разрушителю — человеку. Для каждого изучающего историю цивилизации Египет — огромное хранилище информации. Именно здесь осталось самое богатое наследие свидетельств древней материальной культуры. Отсюда берут свое начало такие науки, как физика, астрономия, медицина, инженерия. М. Мюррей страстно и увлекательно создает величественную картину начала развития и заката самой долгой и самой загадочной цивилизации мира.</t>
        </is>
      </c>
      <c r="S3319" s="26">
        <f>HYPERLINK("http://www.cnpol.ru/covers/22006.jpg","фото на сайте")</f>
        <v/>
      </c>
    </row>
    <row r="3320" ht="50.1" customHeight="1" s="3">
      <c r="A3320" s="23" t="inlineStr">
        <is>
          <t>Д</t>
        </is>
      </c>
      <c r="B3320" s="24" t="inlineStr">
        <is>
          <t>22058</t>
        </is>
      </c>
      <c r="C3320" s="23" t="inlineStr">
        <is>
          <t>ОИ ВИ</t>
        </is>
      </c>
      <c r="D3320" s="23" t="inlineStr">
        <is>
          <t>Кроули Р.</t>
        </is>
      </c>
      <c r="E3320" s="23" t="inlineStr">
        <is>
          <t>Венецианская республика. Расцвет и упадок великой морской империи. 1000—1503</t>
        </is>
      </c>
      <c r="F3320" s="23" t="inlineStr">
        <is>
          <t>        </t>
        </is>
      </c>
      <c r="G3320" s="27" t="n">
        <v>1265</v>
      </c>
      <c r="H3320" s="23" t="n">
        <v>10</v>
      </c>
      <c r="I3320" s="23" t="n">
        <v>10</v>
      </c>
      <c r="J3320" s="23" t="inlineStr">
        <is>
          <t>978-5-227-08680-8</t>
        </is>
      </c>
      <c r="K3320" s="23" t="inlineStr">
        <is>
          <t>84x108 1/32</t>
        </is>
      </c>
      <c r="L3320" s="23" t="inlineStr">
        <is>
          <t>тв</t>
        </is>
      </c>
      <c r="M3320" s="23" t="n">
        <v>448</v>
      </c>
      <c r="N3320" s="23" t="n">
        <v>2019</v>
      </c>
      <c r="O3320" s="23" t="n">
        <v>483</v>
      </c>
      <c r="P3320" s="23" t="n"/>
      <c r="Q3320" s="23" t="n"/>
      <c r="R3320" s="25" t="inlineStr">
        <is>
          <t>Венеция — это город, в котором почти нет земли. Все необходимое для жизни приходилось ввозить морем, которое для ее жителей было защитой и судьбой. И венецианцы, прирожденные торговцы, создали великолепную морскую империю, которая изменила мир. Английский ученый Роджер Кроули рассказывает о подъеме этой империи, созданной на уникальной системе островов, портов и стратегических бастионов. Это история республики, которой Крестовые походы дали шанс выйти на мировую сцену, история смелости и двуличия, удачи, упорства, предприимчивости и периодических катастроф, история, доказавшая способность маленькой морской державы иметь глобальное влияние.</t>
        </is>
      </c>
      <c r="S3320" s="26">
        <f>HYPERLINK("http://www.cnpol.ru/covers/22058.jpg","фото на сайте")</f>
        <v/>
      </c>
    </row>
    <row r="3321" ht="50.1" customHeight="1" s="3">
      <c r="A3321" s="23" t="n"/>
      <c r="B3321" s="24" t="inlineStr">
        <is>
          <t>20678</t>
        </is>
      </c>
      <c r="C3321" s="23" t="inlineStr">
        <is>
          <t>ОИ ВИ</t>
        </is>
      </c>
      <c r="D3321" s="23" t="inlineStr">
        <is>
          <t>Монте П.</t>
        </is>
      </c>
      <c r="E3321" s="23" t="inlineStr">
        <is>
          <t>Вечный Египет. Цивилизация долины Нила с древних времен до завоевания Александром Македонским</t>
        </is>
      </c>
      <c r="F3321" s="23" t="inlineStr">
        <is>
          <t>        </t>
        </is>
      </c>
      <c r="G3321" s="23" t="n">
        <v>630</v>
      </c>
      <c r="H3321" s="23" t="n">
        <v>10</v>
      </c>
      <c r="I3321" s="23" t="n">
        <v>10</v>
      </c>
      <c r="J3321" s="23" t="inlineStr">
        <is>
          <t>978-5-9524-5869-7</t>
        </is>
      </c>
      <c r="K3321" s="23" t="inlineStr">
        <is>
          <t>84x108 1/32</t>
        </is>
      </c>
      <c r="L3321" s="23" t="inlineStr">
        <is>
          <t>тв</t>
        </is>
      </c>
      <c r="M3321" s="23" t="n">
        <v>416</v>
      </c>
      <c r="N3321" s="23" t="n">
        <v>2023</v>
      </c>
      <c r="O3321" s="23" t="n">
        <v>400</v>
      </c>
      <c r="P3321" s="23" t="n"/>
      <c r="Q3321" s="23" t="n"/>
      <c r="R3321" s="25" t="inlineStr">
        <is>
          <t>Известный египтолог, профессор Пьер Монте своим исследованием внес неоценимый вклад в изучение одной из величайших и самой продолжительной древней цивилизации в мире. На основе многочисленных археологических изысканий и открытий он в своей книге обсуждает естественные и политические условия египетской жизни от начала истории государства до его завоевания Александром Македонским, описывает развитие Египта, отношение к нему соседей, взгляды египтян на своих богов и загробную жизнь, рассказывает об их вкладе в литературу, науку и искусство.</t>
        </is>
      </c>
      <c r="S3321" s="26">
        <f>HYPERLINK("http://www.cnpol.ru/covers/20678.jpg","фото на сайте")</f>
        <v/>
      </c>
    </row>
    <row r="3322" ht="50.1" customHeight="1" s="3">
      <c r="A3322" s="23" t="inlineStr">
        <is>
          <t>Д</t>
        </is>
      </c>
      <c r="B3322" s="24" t="inlineStr">
        <is>
          <t>21630</t>
        </is>
      </c>
      <c r="C3322" s="23" t="inlineStr">
        <is>
          <t>ОИ ВИ</t>
        </is>
      </c>
      <c r="D3322" s="23" t="inlineStr">
        <is>
          <t>Херрин Д.</t>
        </is>
      </c>
      <c r="E3322" s="23" t="inlineStr">
        <is>
          <t>Византия. Удивительная жизнь средневековой империи</t>
        </is>
      </c>
      <c r="F3322" s="23" t="inlineStr">
        <is>
          <t>        </t>
        </is>
      </c>
      <c r="G3322" s="27" t="n">
        <v>1184</v>
      </c>
      <c r="H3322" s="23" t="n">
        <v>10</v>
      </c>
      <c r="I3322" s="23" t="n">
        <v>5</v>
      </c>
      <c r="J3322" s="23" t="inlineStr">
        <is>
          <t>978-5-9524-6391-2</t>
        </is>
      </c>
      <c r="K3322" s="23" t="inlineStr">
        <is>
          <t>84x108 1/32</t>
        </is>
      </c>
      <c r="L3322" s="23" t="inlineStr">
        <is>
          <t>тв</t>
        </is>
      </c>
      <c r="M3322" s="23" t="n">
        <v>415</v>
      </c>
      <c r="N3322" s="23" t="n">
        <v>2025</v>
      </c>
      <c r="O3322" s="23" t="n">
        <v>430</v>
      </c>
      <c r="P3322" s="23" t="n"/>
      <c r="Q3322" s="23" t="n"/>
      <c r="R3322" s="25" t="inlineStr">
        <is>
          <t>Уникальная книга профессора лондонского Королевского колледжа Джудит Херрин посвящена тысячелетней истории Восточной Римской империи — от основания Константинополя до его захвата турками­османами в 1453 году. Авторитетный исследователь предлагает новый взгляд на противостояние Византийской империи и Западного мира, раскол христианской церкви и причины падения империи. Яркими ­красками автор рисует портреты императоров и императриц, военных узурпаторов и духовных лидеров, талантливых ученых и знаменитых куртизанок. Отдельная глава посвящена евнухам — особой влиятельной касте, вершившей большую политику. Тонкий знаток ­эпохи, Джудит Херрин воссоздает картины повседневной жизни императорского двора: блеск золота, роскошь одеяний, сложные обряды, изысканные развлечения «рожденных в пурпуре». С особым вниманием автор освещает духовную сторону жизни империи, объясняет причины возвращения от иконоборчества к иконопочитанию и в очередной раз доказывает, что именно Византия — первая христианская империя, принявшая за основу духовный подвиг, — смогла сдержать исламскую экспансию и предотвратить завоевание Европы.</t>
        </is>
      </c>
      <c r="S3322" s="26">
        <f>HYPERLINK("http://www.cnpol.ru/covers/21630.jpg","фото на сайте")</f>
        <v/>
      </c>
    </row>
    <row r="3323" ht="50.1" customHeight="1" s="3">
      <c r="A3323" s="23" t="inlineStr">
        <is>
          <t>Н</t>
        </is>
      </c>
      <c r="B3323" s="24" t="inlineStr">
        <is>
          <t>21607</t>
        </is>
      </c>
      <c r="C3323" s="23" t="inlineStr">
        <is>
          <t>ОИ ВИ</t>
        </is>
      </c>
      <c r="D3323" s="23" t="inlineStr">
        <is>
          <t>Баллард Д.</t>
        </is>
      </c>
      <c r="E3323" s="23" t="inlineStr">
        <is>
          <t>Властители Индийского океана</t>
        </is>
      </c>
      <c r="F3323" s="23" t="inlineStr">
        <is>
          <t>        </t>
        </is>
      </c>
      <c r="G3323" s="27" t="n">
        <v>1184</v>
      </c>
      <c r="H3323" s="23" t="n">
        <v>10</v>
      </c>
      <c r="I3323" s="23" t="n">
        <v>5</v>
      </c>
      <c r="J3323" s="23" t="inlineStr">
        <is>
          <t>978-5-9524-6017-1</t>
        </is>
      </c>
      <c r="K3323" s="23" t="inlineStr">
        <is>
          <t>84x108 1/32</t>
        </is>
      </c>
      <c r="L3323" s="23" t="inlineStr">
        <is>
          <t>тв</t>
        </is>
      </c>
      <c r="M3323" s="23" t="n">
        <v>383</v>
      </c>
      <c r="N3323" s="23" t="n">
        <v>2025</v>
      </c>
      <c r="O3323" s="23" t="n">
        <v>402</v>
      </c>
      <c r="P3323" s="23" t="n"/>
      <c r="Q3323" s="23" t="n"/>
      <c r="R3323" s="25" t="inlineStr">
        <is>
          <t>Адмирал британского флота Дж.А. Баллард в своем исследовании представляет впечатляющую драму соперничества между европейцами за господство в Индийском океане, в котором самым ценным призом была Индия. Из четырех европейских держав — Португалии, Голландии, Франции и Англии — именно англичане в конце концов стали правителями Индийского океана, а значит, и в той или иной степени всех южно-азиатских стран. На основе подлинных документов автор последовательно излагает, как устанавливались и развивались контакты между Европой и Азией со времени первых морских торговых и военных экспедиций в Индийском океане вплоть до начала XIX в. и какой ценой англичане в течение двух столетий сохраняли здесь свое господство.</t>
        </is>
      </c>
      <c r="S3323" s="26">
        <f>HYPERLINK("http://www.cnpol.ru/covers/21607.jpg","фото на сайте")</f>
        <v/>
      </c>
    </row>
    <row r="3324" ht="50.1" customHeight="1" s="3">
      <c r="A3324" s="23" t="inlineStr">
        <is>
          <t>Н</t>
        </is>
      </c>
      <c r="B3324" s="24" t="inlineStr">
        <is>
          <t>22048</t>
        </is>
      </c>
      <c r="C3324" s="23" t="inlineStr">
        <is>
          <t>ОИ ВИ</t>
        </is>
      </c>
      <c r="D3324" s="23" t="inlineStr">
        <is>
          <t>Бермант Х.</t>
        </is>
      </c>
      <c r="E3324" s="23" t="inlineStr">
        <is>
          <t>Влиятельные семьи Англии. Как наживали состояния Коэны, Ротшильды, Голдсмиды, Монтефиоре, Сэмюэлы и Сассуны</t>
        </is>
      </c>
      <c r="F3324" s="23" t="inlineStr">
        <is>
          <t>        </t>
        </is>
      </c>
      <c r="G3324" s="27" t="n">
        <v>1291</v>
      </c>
      <c r="H3324" s="23" t="n">
        <v>10</v>
      </c>
      <c r="I3324" s="23" t="n">
        <v>6</v>
      </c>
      <c r="J3324" s="23" t="inlineStr">
        <is>
          <t>978-5-9524-6545-9</t>
        </is>
      </c>
      <c r="K3324" s="23" t="inlineStr">
        <is>
          <t>84x108 1/32</t>
        </is>
      </c>
      <c r="L3324" s="23" t="inlineStr">
        <is>
          <t>тв</t>
        </is>
      </c>
      <c r="M3324" s="23" t="n">
        <v>480</v>
      </c>
      <c r="N3324" s="23" t="n">
        <v>2026</v>
      </c>
      <c r="O3324" s="23" t="n">
        <v>534</v>
      </c>
      <c r="P3324" s="23" t="n"/>
      <c r="Q3324" s="23" t="n"/>
      <c r="R3324" s="25" t="inlineStr">
        <is>
          <t>Британский писатель и журналист Хаим Бермант прослеживает историю легендарных еврейских семей, перебравшихся с Континента в Англию в конце XVIII века, которые на протяжении двух столетий определяли финансовую политику и оказывали влияние на события во всех уголках обширной Британской империи, да и остального мира. Умелой рукой Бермант рисует характеры предприимчивых дельцов, которым удалось не только нажить огромные состояния, но и внести весомый вклад в процветание новой родины и развитие общественных свобод в Великобритании и за ее пределами. Изложенные в книге истории из жизни Ротшильдов, Голдсмидов, Монтефиоре, Коэнов и других еврейских семей, связанных между собой узами родства, в полной мере раскрывают перед читателем, каким образом их непомерные богатства, дальновидность и сплоченность — и все это приправленное доброй щепоткой курьезных и опрометчивых поступков — позволили им занять влиятельное положение в государстве.</t>
        </is>
      </c>
      <c r="S3324" s="26">
        <f>HYPERLINK("http://www.cnpol.ru/covers/22048.jpg","фото на сайте")</f>
        <v/>
      </c>
    </row>
    <row r="3325" ht="50.1" customHeight="1" s="3">
      <c r="A3325" s="23" t="n"/>
      <c r="B3325" s="24" t="inlineStr">
        <is>
          <t>19657</t>
        </is>
      </c>
      <c r="C3325" s="23" t="inlineStr">
        <is>
          <t>ОИ ВИ</t>
        </is>
      </c>
      <c r="D3325" s="23" t="inlineStr">
        <is>
          <t>Нокс А</t>
        </is>
      </c>
      <c r="E3325" s="23" t="inlineStr">
        <is>
          <t>Вместе с русской армией. Дневник военного атташе 1914-1917</t>
        </is>
      </c>
      <c r="F3325" s="23" t="inlineStr">
        <is>
          <t>        </t>
        </is>
      </c>
      <c r="G3325" s="27" t="n">
        <v>1903</v>
      </c>
      <c r="H3325" s="23" t="n">
        <v>10</v>
      </c>
      <c r="I3325" s="23" t="n">
        <v>6</v>
      </c>
      <c r="J3325" s="23" t="inlineStr">
        <is>
          <t>978-5-9524-5476-7</t>
        </is>
      </c>
      <c r="K3325" s="23" t="inlineStr">
        <is>
          <t>60x90 1/16</t>
        </is>
      </c>
      <c r="L3325" s="23" t="inlineStr">
        <is>
          <t>тв</t>
        </is>
      </c>
      <c r="M3325" s="23" t="n">
        <v>671</v>
      </c>
      <c r="N3325" s="23" t="n">
        <v>2021</v>
      </c>
      <c r="O3325" s="23" t="n">
        <v>556</v>
      </c>
      <c r="P3325" s="23" t="n"/>
      <c r="Q3325" s="23" t="n"/>
      <c r="R3325" s="25" t="inlineStr">
        <is>
          <t>Дневник военного атташе британского посольства генерал­майора Альфреда Нокса освещает события, произошедшие на Восточном фронте – одном из наиболее важных театров военных действий Первой мировой войны. Автор описывает бои на территории Галиции, Германии, Польши, России, Белоруссии, Украины, сообщает подробности, касающиеся знаменитого Брусиловского прорыва, рассказывает о политических беспорядках, предшествующих Февральской революции, об Октябрьском перевороте 1917 года и последовавших затем переговорах о мире. Нокс не только документально точно воспроизводит события, очевидцем которых он являлся, но и дает им личную оценку._x000D_
Кроме того, автор представляет целую галерею портретов политических и военных деятелей, а также командиров самого разного уровня, с которыми ему так или иначе довелось встретиться на фронтах Первой мировой войны...</t>
        </is>
      </c>
      <c r="S3325" s="26">
        <f>HYPERLINK("http://www.cnpol.ru/covers/19657.jpg","фото на сайте")</f>
        <v/>
      </c>
    </row>
    <row r="3326" ht="50.1" customHeight="1" s="3">
      <c r="A3326" s="23" t="n"/>
      <c r="B3326" s="24" t="inlineStr">
        <is>
          <t>20475</t>
        </is>
      </c>
      <c r="C3326" s="23" t="inlineStr">
        <is>
          <t>ОИ ВИ</t>
        </is>
      </c>
      <c r="D3326" s="23" t="inlineStr">
        <is>
          <t>Спеваковский А.Б.</t>
        </is>
      </c>
      <c r="E3326" s="23" t="inlineStr">
        <is>
          <t>Военная история Японии. От завоеваний древности до милитаризма XX века</t>
        </is>
      </c>
      <c r="F3326" s="23" t="inlineStr">
        <is>
          <t>        </t>
        </is>
      </c>
      <c r="G3326" s="23" t="n">
        <v>508</v>
      </c>
      <c r="H3326" s="23" t="n">
        <v>10</v>
      </c>
      <c r="I3326" s="23" t="n">
        <v>18</v>
      </c>
      <c r="J3326" s="23" t="inlineStr">
        <is>
          <t>978-5-227-10100-6</t>
        </is>
      </c>
      <c r="K3326" s="23" t="inlineStr">
        <is>
          <t>84x108 1/32</t>
        </is>
      </c>
      <c r="L3326" s="23" t="inlineStr">
        <is>
          <t>тв</t>
        </is>
      </c>
      <c r="M3326" s="23" t="n">
        <v>255</v>
      </c>
      <c r="N3326" s="23" t="n">
        <v>2022</v>
      </c>
      <c r="O3326" s="23" t="n">
        <v>290</v>
      </c>
      <c r="P3326" s="23" t="n"/>
      <c r="Q3326" s="23" t="n"/>
      <c r="R3326" s="25" t="inlineStr">
        <is>
          <t>Книга историка-этнографа, доктора исторических наук, профессора А.Б. Спеваковского посвящена теме военной истории и военной организации Японии на протяжении всего периода существования страны. Автор около 30 лет живет в Японии, работает в университете на острове Хоккайдо и прекрасно знает эту страну. Работа широко охватывает военные события древней, средневековой и новой Японии, их последствия, а также вопросы современных войн, связанных с историей японского милитаризма ХХ века: войны в Восточной Азии, участие страны во Второй мировой войне, в том числе в войне против Советского Союза и США. Книга написана популярным языком и предназначена для широкого круга читателей.</t>
        </is>
      </c>
      <c r="S3326" s="26">
        <f>HYPERLINK("http://www.cnpol.ru/covers/20475.jpg","фото на сайте")</f>
        <v/>
      </c>
    </row>
    <row r="3327" ht="50.1" customHeight="1" s="3">
      <c r="A3327" s="23" t="inlineStr">
        <is>
          <t>Д</t>
        </is>
      </c>
      <c r="B3327" s="24" t="inlineStr">
        <is>
          <t>21404</t>
        </is>
      </c>
      <c r="C3327" s="23" t="inlineStr">
        <is>
          <t>ОИ ВИ</t>
        </is>
      </c>
      <c r="D3327" s="23" t="inlineStr">
        <is>
          <t>Фуллер Д.</t>
        </is>
      </c>
      <c r="E3327" s="23" t="inlineStr">
        <is>
          <t>Военное искусство Александра Македонского</t>
        </is>
      </c>
      <c r="F3327" s="23" t="inlineStr">
        <is>
          <t>        </t>
        </is>
      </c>
      <c r="G3327" s="27" t="n">
        <v>1057</v>
      </c>
      <c r="H3327" s="23" t="n">
        <v>10</v>
      </c>
      <c r="I3327" s="23" t="n">
        <v>18</v>
      </c>
      <c r="J3327" s="23" t="inlineStr">
        <is>
          <t>978-5-9524-6306-6</t>
        </is>
      </c>
      <c r="K3327" s="23" t="inlineStr">
        <is>
          <t>84x108 1/32</t>
        </is>
      </c>
      <c r="L3327" s="23" t="inlineStr">
        <is>
          <t>тв</t>
        </is>
      </c>
      <c r="M3327" s="23" t="n">
        <v>350</v>
      </c>
      <c r="N3327" s="23" t="n">
        <v>2025</v>
      </c>
      <c r="O3327" s="23" t="n">
        <v>306</v>
      </c>
      <c r="P3327" s="23" t="n"/>
      <c r="Q3327" s="23" t="n"/>
      <c r="R3327" s="25" t="inlineStr">
        <is>
          <t>В книге военного историка Джона Фуллера на основе богатого наследия философов, литераторов и полководцев воссоздается история не имеющих аналогов военных сражений Александра Македонского. Схемы баталий, описание технического оснащения и вооружения войск стран Древнего мира иллюстрируют тактические и стратегические задачи знаменитых полководцев Античности. Образно и ярко автор передает блеск и славу Александра Великого, талантливого полководца и государственного деятеля IV века до нашей эры.</t>
        </is>
      </c>
      <c r="S3327" s="26">
        <f>HYPERLINK("http://www.cnpol.ru/covers/21404.jpg","фото на сайте")</f>
        <v/>
      </c>
    </row>
    <row r="3328" ht="50.1" customHeight="1" s="3">
      <c r="A3328" s="23" t="inlineStr">
        <is>
          <t>Н</t>
        </is>
      </c>
      <c r="B3328" s="24" t="inlineStr">
        <is>
          <t>22284</t>
        </is>
      </c>
      <c r="C3328" s="23" t="inlineStr">
        <is>
          <t>ОИ ВИ</t>
        </is>
      </c>
      <c r="D3328" s="23" t="inlineStr">
        <is>
          <t>Оман Ч.</t>
        </is>
      </c>
      <c r="E3328" s="23" t="inlineStr">
        <is>
          <t>Военное искусство в Средние века. Организация армии, особенности вооружения</t>
        </is>
      </c>
      <c r="F3328" s="23" t="inlineStr">
        <is>
          <t>        </t>
        </is>
      </c>
      <c r="G3328" s="23" t="n">
        <v>762</v>
      </c>
      <c r="H3328" s="23" t="n">
        <v>10</v>
      </c>
      <c r="I3328" s="23" t="n">
        <v>10</v>
      </c>
      <c r="J3328" s="23" t="inlineStr">
        <is>
          <t>978-5-9524-6743-9</t>
        </is>
      </c>
      <c r="K3328" s="23" t="inlineStr">
        <is>
          <t>84x108 1/32</t>
        </is>
      </c>
      <c r="L3328" s="23" t="inlineStr">
        <is>
          <t>тв</t>
        </is>
      </c>
      <c r="M3328" s="23" t="n">
        <v>191</v>
      </c>
      <c r="N3328" s="23" t="n">
        <v>2026</v>
      </c>
      <c r="O3328" s="23" t="n">
        <v>263</v>
      </c>
      <c r="P3328" s="23" t="n"/>
      <c r="Q3328" s="23" t="n"/>
      <c r="R3328" s="25" t="inlineStr">
        <is>
          <t>"В своем исследовании Чарльз Оман рассматривает развитие военного искусства в Средние века – начиная с периода падения Римской империи и до начала XVI века. Анализируя эволюцию методов ведения войны, автор рассматривает условия, в которых  зарождались основы военного искусства, политическую обстановку, предшествующую военным действиям, дает характеристики организации армий разных стран Европы, отмечает особенности их вооружения.
Собственные наблюдения и выводы автор подкрепляет выдержками из трудов знаменитых полководцев.
В книге помещен план, иллюстрирующий основные особенности византийской тактической системы, приведены схемы, позволяющие представить расстановку сил противников в знаменитых сражениях: при Грансоне, Муртене, Азенкуре, Баннокберне, Креси и Пуатье."</t>
        </is>
      </c>
      <c r="S3328" s="26">
        <f>HYPERLINK("http://www.cnpol.ru/covers/22284.jpg","фото на сайте")</f>
        <v/>
      </c>
    </row>
    <row r="3329" ht="50.1" customHeight="1" s="3">
      <c r="A3329" s="23" t="inlineStr">
        <is>
          <t>Д</t>
        </is>
      </c>
      <c r="B3329" s="24" t="inlineStr">
        <is>
          <t>22156</t>
        </is>
      </c>
      <c r="C3329" s="23" t="inlineStr">
        <is>
          <t>ОИ ВИ</t>
        </is>
      </c>
      <c r="D3329" s="23" t="inlineStr">
        <is>
          <t>Беккер К.</t>
        </is>
      </c>
      <c r="E3329" s="23" t="inlineStr">
        <is>
          <t>Военные дневники люфтваффе. Хроника боевых действий германских ВВС во Второй мировой войне. 1939—194</t>
        </is>
      </c>
      <c r="F3329" s="23" t="inlineStr">
        <is>
          <t>        </t>
        </is>
      </c>
      <c r="G3329" s="27" t="n">
        <v>1637</v>
      </c>
      <c r="H3329" s="23" t="n">
        <v>10</v>
      </c>
      <c r="I3329" s="23" t="n">
        <v>5</v>
      </c>
      <c r="J3329" s="23" t="inlineStr">
        <is>
          <t>978-5-9524-6697-5</t>
        </is>
      </c>
      <c r="K3329" s="23" t="inlineStr">
        <is>
          <t>84x108 1/32</t>
        </is>
      </c>
      <c r="L3329" s="23" t="inlineStr">
        <is>
          <t>тв</t>
        </is>
      </c>
      <c r="M3329" s="23" t="n">
        <v>540</v>
      </c>
      <c r="N3329" s="23" t="n">
        <v>2026</v>
      </c>
      <c r="O3329" s="23" t="n">
        <v>618</v>
      </c>
      <c r="P3329" s="23" t="n"/>
      <c r="Q3329" s="23" t="n"/>
      <c r="R3329" s="25" t="inlineStr">
        <is>
          <t>Эта книга посвящена истории германских ВВС. Автор составил точную и подробную картину основных событий, разворачивавшихся на главных театрах военных действий Второй мировой войны. Беккер привлек огромное количество материалов: официальные документы из архивов Германии и других стран, личные воспоминания высших офицеров люфтваффе, отчеты о боевых вылетах, дневники и письма летчиков. Масштабная, мастерски скомпонованная книга дает полное представление о воздушных сражениях Второй мировой войны.</t>
        </is>
      </c>
      <c r="S3329" s="26">
        <f>HYPERLINK("http://www.cnpol.ru/covers/22156.jpg","фото на сайте")</f>
        <v/>
      </c>
    </row>
    <row r="3330" ht="50.1" customHeight="1" s="3">
      <c r="A3330" s="23" t="n"/>
      <c r="B3330" s="24" t="inlineStr">
        <is>
          <t>20907</t>
        </is>
      </c>
      <c r="C3330" s="23" t="inlineStr">
        <is>
          <t>ОИ ВИ</t>
        </is>
      </c>
      <c r="D3330" s="23" t="inlineStr">
        <is>
          <t>Рувер Р.</t>
        </is>
      </c>
      <c r="E3330" s="23" t="inlineStr">
        <is>
          <t>Возвышение и упадок Банка Медичи. Столетняя история наиболее влиятельной в Европе династии банкиров</t>
        </is>
      </c>
      <c r="F3330" s="23" t="inlineStr">
        <is>
          <t>        </t>
        </is>
      </c>
      <c r="G3330" s="27" t="n">
        <v>1399</v>
      </c>
      <c r="H3330" s="23" t="n">
        <v>10</v>
      </c>
      <c r="I3330" s="23" t="n">
        <v>8</v>
      </c>
      <c r="J3330" s="23" t="inlineStr">
        <is>
          <t>978-5-9524-5669-3</t>
        </is>
      </c>
      <c r="K3330" s="23" t="inlineStr">
        <is>
          <t>84x108 1/32</t>
        </is>
      </c>
      <c r="L3330" s="23" t="inlineStr">
        <is>
          <t>тв</t>
        </is>
      </c>
      <c r="M3330" s="23" t="n">
        <v>512</v>
      </c>
      <c r="N3330" s="23" t="n">
        <v>2023</v>
      </c>
      <c r="O3330" s="23" t="n">
        <v>472</v>
      </c>
      <c r="P3330" s="23" t="n"/>
      <c r="Q3330" s="23" t="n"/>
      <c r="R3330" s="25" t="inlineStr">
        <is>
          <t>Представители семейства Медичи широко известны благодаря своей выдающейся роли в итальянском Возрождении. Однако их деятельность в качестве банкиров и торговцев мало изучена. Хотя именно экономическая власть позволила им захватить власть политическую и монопольно вести дела в Европе западнее Рейна. Обширный труд Раймонда де Рувера создан на основе редчайших архивных документов. Он посвящен Банку Медичи — самому влиятельному в Европе XV века — и чрезвычайно важен для понимания экономики, политики и общественной жизни того времени. Любопытно и то, что история Банка Медичи перекликается  с сегодняшним днем и обогащает наши познания об истоках современного бизнеса.</t>
        </is>
      </c>
      <c r="S3330" s="26">
        <f>HYPERLINK("http://www.cnpol.ru/covers/20907.jpg","фото на сайте")</f>
        <v/>
      </c>
    </row>
    <row r="3331" ht="50.1" customHeight="1" s="3">
      <c r="A3331" s="23" t="n"/>
      <c r="B3331" s="24" t="inlineStr">
        <is>
          <t>18545</t>
        </is>
      </c>
      <c r="C3331" s="23" t="inlineStr">
        <is>
          <t>ОИ ВИ</t>
        </is>
      </c>
      <c r="D3331" s="23" t="inlineStr">
        <is>
          <t>Хизер П.</t>
        </is>
      </c>
      <c r="E3331" s="23" t="inlineStr">
        <is>
          <t>Возрождение Римской империи. Великие властители и реформаторы Церкви</t>
        </is>
      </c>
      <c r="F3331" s="23" t="inlineStr">
        <is>
          <t>        </t>
        </is>
      </c>
      <c r="G3331" s="27" t="n">
        <v>1098</v>
      </c>
      <c r="H3331" s="23" t="n">
        <v>10</v>
      </c>
      <c r="I3331" s="23" t="n">
        <v>10</v>
      </c>
      <c r="J3331" s="23" t="inlineStr">
        <is>
          <t>978-5-227-08448-4</t>
        </is>
      </c>
      <c r="K3331" s="23" t="inlineStr">
        <is>
          <t>84x108 1/32</t>
        </is>
      </c>
      <c r="L3331" s="23" t="inlineStr">
        <is>
          <t>тв</t>
        </is>
      </c>
      <c r="M3331" s="23" t="n">
        <v>576</v>
      </c>
      <c r="N3331" s="23" t="n">
        <v>2019</v>
      </c>
      <c r="O3331" s="23" t="n">
        <v>548</v>
      </c>
      <c r="P3331" s="23" t="n"/>
      <c r="Q3331" s="23" t="n"/>
      <c r="R3331" s="25" t="inlineStr">
        <is>
          <t>В 476 г. полководец римской армии Одоакр захватил в плен и казнил отца и дядю императора — тогда ребенка — Ромула Августула и отослал императорские регалии в Константинополь. Это был смертельный удар для Западной Римской империи. Питер Хизер, профессор истории Средних веков, рассказывает о трех претендентах на престол, которые пытались возродить римское наследие в Западной Европе, — Теодорихе, Юстиниане и Карле Великом. Автор показывает, что старую Римскую империю, созданную завоеваниями, невозможно было сохранить в новой Европе в начале Средних веков. И только когда церковнослужители с варварского севера обновили институт папства, стало возможным реальное восстановление императорской власти. Этой новой Римской империи, созданной варварами, уже более тысячи лет.</t>
        </is>
      </c>
      <c r="S3331" s="26">
        <f>HYPERLINK("http://www.cnpol.ru/covers/18545.jpg","фото на сайте")</f>
        <v/>
      </c>
    </row>
    <row r="3332" ht="50.1" customHeight="1" s="3">
      <c r="A3332" s="23" t="inlineStr">
        <is>
          <t>Н</t>
        </is>
      </c>
      <c r="B3332" s="24" t="inlineStr">
        <is>
          <t>21287</t>
        </is>
      </c>
      <c r="C3332" s="23" t="inlineStr">
        <is>
          <t>ОИ ВИ</t>
        </is>
      </c>
      <c r="D3332" s="23" t="inlineStr">
        <is>
          <t>Веджвуд С.В.</t>
        </is>
      </c>
      <c r="E3332" s="23" t="inlineStr">
        <is>
          <t>Война короля Карла I. Великий мятеж: переход от монархии к республике. 1641–1647</t>
        </is>
      </c>
      <c r="F3332" s="23" t="inlineStr">
        <is>
          <t>        </t>
        </is>
      </c>
      <c r="G3332" s="23" t="n">
        <v>672</v>
      </c>
      <c r="H3332" s="23" t="n">
        <v>10</v>
      </c>
      <c r="I3332" s="23" t="n">
        <v>8</v>
      </c>
      <c r="J3332" s="23" t="inlineStr">
        <is>
          <t>978-5-9524-6168-0</t>
        </is>
      </c>
      <c r="K3332" s="23" t="inlineStr">
        <is>
          <t>84x108 1/32</t>
        </is>
      </c>
      <c r="L3332" s="23" t="inlineStr">
        <is>
          <t>тв</t>
        </is>
      </c>
      <c r="M3332" s="23" t="n">
        <v>575</v>
      </c>
      <c r="N3332" s="23" t="n">
        <v>2024</v>
      </c>
      <c r="O3332" s="23" t="n">
        <v>345</v>
      </c>
      <c r="P3332" s="23" t="n"/>
      <c r="Q3332" s="23" t="n"/>
      <c r="R3332" s="25" t="inlineStr">
        <is>
          <t>Настоящая книга английского историка С.В. Веджвуд —продолжение исторической драмы о правлении Карла I, начатой в ее книге «Мир короля Карла I». Автор скрупулезно рассматривает причины гражданской войны в Англии, Шотландии и Ирландии в XVII веке, пытаясь оценить события тех лет: столкновение шотландских ковенантеров и роялистов, национальное и религиозное восстание в Ирландии, а также мощное народное движение в Англии, порожденное религиозными разногласиями и социальными волнениями, делает попытку выявить, откуда возникла потребность в большей религиозной свободе, более широком распределении политической власти, больших прав для народа, что привело к аресту Карла I.</t>
        </is>
      </c>
      <c r="S3332" s="26">
        <f>HYPERLINK("http://www.cnpol.ru/covers/21287.jpg","фото на сайте")</f>
        <v/>
      </c>
    </row>
    <row r="3333" ht="50.1" customHeight="1" s="3">
      <c r="A3333" s="23" t="inlineStr">
        <is>
          <t>Н</t>
        </is>
      </c>
      <c r="B3333" s="24" t="inlineStr">
        <is>
          <t>21057</t>
        </is>
      </c>
      <c r="C3333" s="23" t="inlineStr">
        <is>
          <t>ОИ ВИ</t>
        </is>
      </c>
      <c r="D3333" s="23" t="inlineStr">
        <is>
          <t>Рузвельт Т.</t>
        </is>
      </c>
      <c r="E3333" s="23" t="inlineStr">
        <is>
          <t>Война на море 1812 года. Противостояние Соединенных Штатов и Великобритании во времена Наполеоновских войн</t>
        </is>
      </c>
      <c r="F3333" s="23" t="inlineStr">
        <is>
          <t>        </t>
        </is>
      </c>
      <c r="G3333" s="23" t="n">
        <v>633</v>
      </c>
      <c r="H3333" s="23" t="n">
        <v>10</v>
      </c>
      <c r="I3333" s="23" t="n">
        <v>10</v>
      </c>
      <c r="J3333" s="23" t="inlineStr">
        <is>
          <t>978-5-227-10441-0</t>
        </is>
      </c>
      <c r="K3333" s="23" t="inlineStr">
        <is>
          <t>84x108 1/32</t>
        </is>
      </c>
      <c r="L3333" s="23" t="inlineStr">
        <is>
          <t>тв</t>
        </is>
      </c>
      <c r="M3333" s="23" t="n">
        <v>447</v>
      </c>
      <c r="N3333" s="23" t="n">
        <v>2024</v>
      </c>
      <c r="O3333" s="23" t="n">
        <v>343</v>
      </c>
      <c r="P3333" s="23" t="n"/>
      <c r="Q3333" s="23" t="n"/>
      <c r="R3333" s="25" t="inlineStr">
        <is>
          <t>Приступая к исследованию англо-американской войны на море 1812 года, 26-й президент США Теодор Рузвельт обращает внимание на довоенный политический и социальный климат в Великобритании и в Америке. Кроме того, он дает оценку состоянию армии и флота противников, отмечая неподготовленность Америки к войне. Анализируя сражения в Атлантическом океане и на озерах обеих Америк, Рузвельт сообщает сведения о кораблях — участниках войны, об их оснащении и вооружении, восхищается мастерством и храбростью военных моряков, обсуждает сильные и слабые стороны противников. В своей работе Рузвельт использовал классические труды по истории Британии, американские официальные письма, вахтенные журналы, оригинальные контракты, письма капитанов, высших военачальников, офицеров и другие документы из архивов в Вашингтоне. В результате это исследование до сих пор считается одним из лучших в своей области. Книга снабжена схемами, поясняющими расстановку сил в морских сражениях.</t>
        </is>
      </c>
      <c r="S3333" s="26">
        <f>HYPERLINK("http://www.cnpol.ru/covers/21057.jpg","фото на сайте")</f>
        <v/>
      </c>
    </row>
    <row r="3334" ht="50.1" customHeight="1" s="3">
      <c r="A3334" s="23" t="n"/>
      <c r="B3334" s="24" t="inlineStr">
        <is>
          <t>20383</t>
        </is>
      </c>
      <c r="C3334" s="23" t="inlineStr">
        <is>
          <t>ОИ ВИ</t>
        </is>
      </c>
      <c r="D3334" s="23" t="inlineStr">
        <is>
          <t>Сикорский В.</t>
        </is>
      </c>
      <c r="E3334" s="23" t="inlineStr">
        <is>
          <t>Война Польши против Советской России. Воспоминания главнокомандующего польской армией. 1919—1921</t>
        </is>
      </c>
      <c r="F3334" s="23" t="inlineStr">
        <is>
          <t>        </t>
        </is>
      </c>
      <c r="G3334" s="23" t="n">
        <v>593</v>
      </c>
      <c r="H3334" s="23" t="n">
        <v>10</v>
      </c>
      <c r="I3334" s="23" t="n">
        <v>14</v>
      </c>
      <c r="J3334" s="23" t="inlineStr">
        <is>
          <t>978-5-227-10121-1</t>
        </is>
      </c>
      <c r="K3334" s="23" t="inlineStr">
        <is>
          <t>84x108 1/32</t>
        </is>
      </c>
      <c r="L3334" s="23" t="inlineStr">
        <is>
          <t>тв</t>
        </is>
      </c>
      <c r="M3334" s="23" t="n">
        <v>319</v>
      </c>
      <c r="N3334" s="23" t="n">
        <v>2022</v>
      </c>
      <c r="O3334" s="23" t="n">
        <v>276</v>
      </c>
      <c r="P3334" s="23" t="n"/>
      <c r="Q3334" s="23" t="n"/>
      <c r="R3334" s="25" t="inlineStr">
        <is>
          <t>Польско-советская война разразилась в 1919 году после Первой мировой войны. Автор настоящей книги, Владислав Сикорский, командовал тогда 9-й дивизией пехоты и Полесской группой войск в Киевской операции, 5-й армией в Варшавской операции, а также 3-й армией в боях за Замостье. Основываясь на документах Исторической службы Генерального штаба, своих записях времен войны и воспоминаниях участников тех битв, он пытается воссоздать общую картину борьбы, при этом стараясь оставаться объективным к исторической драме.</t>
        </is>
      </c>
      <c r="S3334" s="26">
        <f>HYPERLINK("http://www.cnpol.ru/covers/20383.jpg","фото на сайте")</f>
        <v/>
      </c>
    </row>
    <row r="3335" ht="50.1" customHeight="1" s="3">
      <c r="A3335" s="23" t="n"/>
      <c r="B3335" s="24" t="inlineStr">
        <is>
          <t>20849</t>
        </is>
      </c>
      <c r="C3335" s="23" t="inlineStr">
        <is>
          <t>ОИ ВИ</t>
        </is>
      </c>
      <c r="D3335" s="23" t="inlineStr">
        <is>
          <t>Дюпюи Р.Э, Дюпюи Т.Н</t>
        </is>
      </c>
      <c r="E3335" s="23" t="inlineStr">
        <is>
          <t>Война. Полная энциклопедия. Все битвы, сражения и военные кампании мировой истории с 4­го тысячелетия до нашей эры до конца XX века</t>
        </is>
      </c>
      <c r="F3335" s="23" t="inlineStr">
        <is>
          <t>        </t>
        </is>
      </c>
      <c r="G3335" s="27" t="n">
        <v>5373</v>
      </c>
      <c r="H3335" s="23" t="n">
        <v>10</v>
      </c>
      <c r="I3335" s="23" t="n">
        <v>2</v>
      </c>
      <c r="J3335" s="23" t="inlineStr">
        <is>
          <t>978-5-9524-6042-3</t>
        </is>
      </c>
      <c r="K3335" s="23" t="inlineStr">
        <is>
          <t>84x108 1/16</t>
        </is>
      </c>
      <c r="L3335" s="23" t="inlineStr">
        <is>
          <t>тв</t>
        </is>
      </c>
      <c r="M3335" s="23" t="n">
        <v>1184</v>
      </c>
      <c r="N3335" s="23" t="n">
        <v>2023</v>
      </c>
      <c r="O3335" s="23" t="n">
        <v>2216</v>
      </c>
      <c r="P3335" s="23" t="n"/>
      <c r="Q3335" s="23" t="n"/>
      <c r="R3335" s="25" t="inlineStr">
        <is>
          <t>Энциклопедия Ричарда Эрнеста и Тревора Невитта Дюпюи — всеобъемлющее справочное издание, отображающее эволюцию военного искусства от Античности до наших дней. В одном томе собран и систематизирован богатейший материал: колоссальный объем архивных документов, редкие карты, сводки статистических данных, выдержки из научных трудов и детальные описания величайших сражений._x000D__x000D_
Для удобства пользования энциклопедией история человечества условно разделена на двадцать две главы, каждая из которых посвящена временному периоду с 4­го тысячелетия до нашей эры до конца ХХ века. Очерки, предваряющие главы, содержат сведения о принципах тактики и стратегии того или иного периода, особенностях вооружения, развитии военно­теоретической мысли и выдающихся военачальниках эпохи. Энциклопедия содержит два указателя: упомянутых в тексте имен, а также войн и значимых вооруженных конфликтов. Все это поможет читателю воссоздать и воспринять историческое по­лотно в целом, разобраться в причинах той или иной войны, проследить ее течение и оценить действия полководцев._x000D__x000D_
Мемуары содержат много интересных наблюдений над русской дипломатической жизнью, рисуют живые портреты советских вождей и сановников, а также всего «политического климата» советской жизни в конце двадцатых, в начале тридцатых годов. Особенно интересны приводимые автором эпизоды из жизни Сталина, воспоминания об отношениях Сталина с Троцким, характеристика министра иностранных дел советской России Литвинова.</t>
        </is>
      </c>
      <c r="S3335" s="26">
        <f>HYPERLINK("http://www.cnpol.ru/covers/20849.jpg","фото на сайте")</f>
        <v/>
      </c>
    </row>
    <row r="3336" ht="50.1" customHeight="1" s="3">
      <c r="A3336" s="23" t="n"/>
      <c r="B3336" s="24" t="inlineStr">
        <is>
          <t>20382</t>
        </is>
      </c>
      <c r="C3336" s="23" t="inlineStr">
        <is>
          <t>ОИ ВИ</t>
        </is>
      </c>
      <c r="D3336" s="23" t="inlineStr">
        <is>
          <t>Хилл Дж.</t>
        </is>
      </c>
      <c r="E3336" s="23" t="inlineStr">
        <is>
          <t>Воспоминания агента британской секретной службы. Большая игра в революционной России</t>
        </is>
      </c>
      <c r="F3336" s="23" t="inlineStr">
        <is>
          <t>        </t>
        </is>
      </c>
      <c r="G3336" s="23" t="n">
        <v>513</v>
      </c>
      <c r="H3336" s="23" t="n">
        <v>10</v>
      </c>
      <c r="I3336" s="23" t="n">
        <v>14</v>
      </c>
      <c r="J3336" s="23" t="inlineStr">
        <is>
          <t>978-5-9524-5837-6</t>
        </is>
      </c>
      <c r="K3336" s="23" t="inlineStr">
        <is>
          <t>84x108 1/32</t>
        </is>
      </c>
      <c r="L3336" s="23" t="inlineStr">
        <is>
          <t>тв</t>
        </is>
      </c>
      <c r="M3336" s="23" t="n">
        <v>287</v>
      </c>
      <c r="N3336" s="23" t="n">
        <v>2022</v>
      </c>
      <c r="O3336" s="23" t="n">
        <v>258</v>
      </c>
      <c r="P3336" s="23" t="n"/>
      <c r="Q3336" s="23" t="n"/>
      <c r="R3336" s="25" t="inlineStr">
        <is>
          <t>Британский разведчик Джордж Хилл (1892—1968) провел детство и юность в Российской империи, в совершенстве знал русский язык, обладал природным обаянием и изрядной долей авантюризма, что позволило ему стать неуловимым и весьма деятельным секретным агентом британской разведки. В настоящих мемуарах Хилл описывает свою миссию в России в 1917—1919 гг., раскрывает детали рискованных операций, рассказывает о вербовке агентов и создании диверсионных групп, а также о контактах с резидентами британской разведки: Полом Дьюксом, Артуром Рэнсомом и «королем шпионов» Сиднеем Рейли. В книге приведены уникальные свидетельства, в том числе о несостоявшемся заговоре с целью убийства большевистского руководства, что делает ее не только занимательным чтением, но и ценным источником сведений о реалиях той эпохи.</t>
        </is>
      </c>
      <c r="S3336" s="26">
        <f>HYPERLINK("http://www.cnpol.ru/covers/20382.jpg","фото на сайте")</f>
        <v/>
      </c>
    </row>
    <row r="3337" ht="50.1" customHeight="1" s="3">
      <c r="A3337" s="23" t="inlineStr">
        <is>
          <t>Д</t>
        </is>
      </c>
      <c r="B3337" s="24" t="inlineStr">
        <is>
          <t>21738</t>
        </is>
      </c>
      <c r="C3337" s="23" t="inlineStr">
        <is>
          <t>ОИ ВИ</t>
        </is>
      </c>
      <c r="D3337" s="23" t="inlineStr">
        <is>
          <t>Кеннан Д.</t>
        </is>
      </c>
      <c r="E3337" s="23" t="inlineStr">
        <is>
          <t>Воспоминания американского посла в СССР. Дипломатия Второй мировой войны глазами видного политолога</t>
        </is>
      </c>
      <c r="F3337" s="23" t="inlineStr">
        <is>
          <t>        </t>
        </is>
      </c>
      <c r="G3337" s="27" t="n">
        <v>1291</v>
      </c>
      <c r="H3337" s="23" t="n">
        <v>10</v>
      </c>
      <c r="I3337" s="23" t="n">
        <v>5</v>
      </c>
      <c r="J3337" s="23" t="inlineStr">
        <is>
          <t>978-5-9524-6469-8</t>
        </is>
      </c>
      <c r="K3337" s="23" t="inlineStr">
        <is>
          <t>84x108 1/32</t>
        </is>
      </c>
      <c r="L3337" s="23" t="inlineStr">
        <is>
          <t>тв</t>
        </is>
      </c>
      <c r="M3337" s="23" t="n">
        <v>479</v>
      </c>
      <c r="N3337" s="23" t="n">
        <v>2025</v>
      </c>
      <c r="O3337" s="23" t="n">
        <v>508</v>
      </c>
      <c r="P3337" s="23" t="n"/>
      <c r="Q3337" s="23" t="n"/>
      <c r="R3337" s="25" t="inlineStr">
        <is>
          <t>"Книга лауреата Пулитцеровской премии Джорджа Кеннана, видного американского дипломата, посла в СССР с 1954 по 1963 г., аналитика, советолога, автора многочисленных трудов по американской дипломатии и внешней политике, повествует о сложном с точки зрения развития ситуации в Европе периоде мировой истории: канун Второй мировой войны, крупные военные конфликты, послевоенный передел Европы и противостояние двух политических систем.
Автор представляет свое мнение о происходившем, дает яркие, хотя отчасти спорные портреты Иосифа Сталина и Франклина Рузвельта, других выдающихся политических деятелей, знакомит с личными прогнозами развития России после войны, делает любопытные зарисовки из жизни сталинского окружения и сотрудников иностранных дипломатических миссий."</t>
        </is>
      </c>
      <c r="S3337" s="26">
        <f>HYPERLINK("http://www.cnpol.ru/covers/21738.jpg","фото на сайте")</f>
        <v/>
      </c>
    </row>
    <row r="3338" ht="50.1" customHeight="1" s="3">
      <c r="A3338" s="23" t="inlineStr">
        <is>
          <t>Н</t>
        </is>
      </c>
      <c r="B3338" s="24" t="inlineStr">
        <is>
          <t>21575</t>
        </is>
      </c>
      <c r="C3338" s="23" t="inlineStr">
        <is>
          <t>ОИ ВИ</t>
        </is>
      </c>
      <c r="D3338" s="23" t="inlineStr">
        <is>
          <t>Маннергейм К.Г.Э</t>
        </is>
      </c>
      <c r="E3338" s="23" t="inlineStr">
        <is>
          <t>Воспоминания. От службы России к беспощадной войне с бывшим отечеством — две стороны судьбы генерала императорской армии, ставшего фельдмаршалом и президентом Финляндии</t>
        </is>
      </c>
      <c r="F3338" s="23" t="inlineStr">
        <is>
          <t>        </t>
        </is>
      </c>
      <c r="G3338" s="27" t="n">
        <v>1008</v>
      </c>
      <c r="H3338" s="23" t="n">
        <v>10</v>
      </c>
      <c r="I3338" s="23" t="n">
        <v>10</v>
      </c>
      <c r="J3338" s="23" t="inlineStr">
        <is>
          <t>978-5-227-10963-7</t>
        </is>
      </c>
      <c r="K3338" s="23" t="inlineStr">
        <is>
          <t>84x108 1/32</t>
        </is>
      </c>
      <c r="L3338" s="23" t="inlineStr">
        <is>
          <t>тв</t>
        </is>
      </c>
      <c r="M3338" s="23" t="n">
        <v>511</v>
      </c>
      <c r="N3338" s="23" t="n">
        <v>2025</v>
      </c>
      <c r="O3338" s="23" t="n">
        <v>420</v>
      </c>
      <c r="P3338" s="23" t="n"/>
      <c r="Q3338" s="23" t="n"/>
      <c r="R3338" s="25" t="inlineStr">
        <is>
          <t>Генерал-лейтенант русской армии, фельдмаршал Финляндии, президент Финляндии Карл Густав Маннергейм, будучи личностью не только далеко не ординарной, но и сыгравшей важную роль в истории своей страны, удостоившийся за свою богатую биографию множественных наград разных государств, уйдя в отставку, счел необходимым рассказать о событиях, глубоко повлиявших на судьбу его отечества, в которых принимал непосредственное участие. Начиная со своей карьеры на службе России, повествуя об участии в Русско-японской войне, позже – о разведывательной экспедиции в Монголию и Китай, Маннергейм в дальнейшем углубляется в подробности политического противоборства европейских стран. Пишет, уже пребывая на первых постах в правительстве Финляндии, о своих посольских миссиях в Лондон и Париж в мирных целях на благо и независимость Финляндии, о встречах с Гитлером, о военных действиях двух мировых войн и, что немаловажно, о деталях Освободительной войны в Финляндии и Советско-финляндской (Зимней) войны.</t>
        </is>
      </c>
      <c r="S3338" s="26">
        <f>HYPERLINK("http://www.cnpol.ru/covers/21575.jpg","фото на сайте")</f>
        <v/>
      </c>
    </row>
    <row r="3339" ht="50.1" customHeight="1" s="3">
      <c r="A3339" s="23" t="inlineStr">
        <is>
          <t>Н</t>
        </is>
      </c>
      <c r="B3339" s="24" t="inlineStr">
        <is>
          <t>21468</t>
        </is>
      </c>
      <c r="C3339" s="23" t="inlineStr">
        <is>
          <t>ОИ ВИ</t>
        </is>
      </c>
      <c r="D3339" s="23" t="inlineStr">
        <is>
          <t>Плесс Д.ф.</t>
        </is>
      </c>
      <c r="E3339" s="23" t="inlineStr">
        <is>
          <t>Воспоминания. Победы и страсти, ошибки и поражения великосветской львицы, приближенной к европейским монархам в канун Первой мировой войны</t>
        </is>
      </c>
      <c r="F3339" s="23" t="inlineStr">
        <is>
          <t>        </t>
        </is>
      </c>
      <c r="G3339" s="23" t="n">
        <v>684</v>
      </c>
      <c r="H3339" s="23" t="n">
        <v>10</v>
      </c>
      <c r="I3339" s="23" t="n">
        <v>12</v>
      </c>
      <c r="J3339" s="23" t="inlineStr">
        <is>
          <t>978-5-9524-6316-5</t>
        </is>
      </c>
      <c r="K3339" s="23" t="inlineStr">
        <is>
          <t>84x108 1/32</t>
        </is>
      </c>
      <c r="L3339" s="23" t="inlineStr">
        <is>
          <t>тв</t>
        </is>
      </c>
      <c r="M3339" s="23" t="n">
        <v>479</v>
      </c>
      <c r="N3339" s="23" t="n">
        <v>2025</v>
      </c>
      <c r="O3339" s="23" t="n">
        <v>266</v>
      </c>
      <c r="P3339" s="23" t="n"/>
      <c r="Q3339" s="23" t="n"/>
      <c r="R3339" s="25" t="inlineStr">
        <is>
          <t>Ее называли жемчужиной пщинского замка, самой красивой британкой своей эпохи… Красота, дипломатический дар, прекрасный голос принцессы фон Плесс покоряли всех мужчин. Дейзи и ее муж князь Ганс Генрих XV, принц Плесс были одной из богатейших дворянских семей Европы, владельцами не только замка в Пщине, но и известного замка Ксенж, а также крупных имений, угольных шахт в Силезии, цементного и металлургических заводов, электростанции и пивоварни. Однако княгиня не страдала тщеславием, она активно занималась благотворительностью. Во время замужества Дейзи боролась за мир между германским императором Вильгельмом II и королем Соединенного Королевства Эдуардом VII. Будучи англичанкой по рождению, она, обвиняемая в Германии в годы Первой мировой войны в шпионаже, пошла служить сестрой милосердия, ухаживая за немецкими ранеными… После развода Дейзи фон Плесс посвятила себя литературной деятельности и, в частности, будучи свидетелем великих исторических событий, выпустила мемуары, основанные на своих дневниках и переписке, в которых не только раскрываются личности автора и ее современников, но и дается подробный портрет ее времени.</t>
        </is>
      </c>
      <c r="S3339" s="26">
        <f>HYPERLINK("http://www.cnpol.ru/covers/21468.jpg","фото на сайте")</f>
        <v/>
      </c>
    </row>
    <row r="3340" ht="50.1" customHeight="1" s="3">
      <c r="A3340" s="23" t="inlineStr">
        <is>
          <t>Н</t>
        </is>
      </c>
      <c r="B3340" s="24" t="inlineStr">
        <is>
          <t>22010</t>
        </is>
      </c>
      <c r="C3340" s="23" t="inlineStr">
        <is>
          <t>ОИ ВИ</t>
        </is>
      </c>
      <c r="D3340" s="23" t="inlineStr">
        <is>
          <t>Бюлов Б.</t>
        </is>
      </c>
      <c r="E3340" s="23" t="inlineStr">
        <is>
          <t>Воспоминания. Судьбоносные события национальной и европейской истории на стыке XIX—XX веков, портреты царственных особ и коллег по дипломатической службе из разных стран</t>
        </is>
      </c>
      <c r="F3340" s="23" t="inlineStr">
        <is>
          <t>        </t>
        </is>
      </c>
      <c r="G3340" s="27" t="n">
        <v>1702</v>
      </c>
      <c r="H3340" s="23" t="n">
        <v>10</v>
      </c>
      <c r="I3340" s="23" t="n">
        <v>5</v>
      </c>
      <c r="J3340" s="23" t="inlineStr">
        <is>
          <t>978-5-227-11238-5</t>
        </is>
      </c>
      <c r="K3340" s="23" t="inlineStr">
        <is>
          <t>84x108 1/32</t>
        </is>
      </c>
      <c r="L3340" s="23" t="inlineStr">
        <is>
          <t>тв</t>
        </is>
      </c>
      <c r="M3340" s="23" t="n">
        <v>735</v>
      </c>
      <c r="N3340" s="23" t="n">
        <v>2026</v>
      </c>
      <c r="O3340" s="23" t="n">
        <v>727</v>
      </c>
      <c r="P3340" s="23" t="n"/>
      <c r="Q3340" s="23" t="n"/>
      <c r="R3340" s="25" t="inlineStr">
        <is>
          <t>"Мемуары Бернхарда фон Бюлова (1849—1929) — германского государственного деятеля, дипломата, представителя прусской аристократической фамилии, охватывают период с 1897 по 1903 год — от вступления в должность статс-секретаря ведомства иностранных дел до назначения рейхсканцлером и министром-президентом Пруссии. Документальная проза фон Бюлова отличается безупречным литературным стилем и высоким уровнем достоверности в отражении общественно значимых событий того времени, а также необычайно точными характеристиками политиков и глав государств, с которыми автор был знаком лично. Особый интерес представляют портреты кайзера Вильгельма II, английской королевы Виктории, императора Николая II и его супруги Александры Федоровны. Наряду с описанием переговоров, дипломатических интриг и военных конфликтов в книге встречаются не лишенные юмора и изящества зарисовки из повседневной жизни и любопытные наблюдения, сделанные во время деловых поездок по России, странам Европы и Ближнего Востока, Сирии и Палестине.
Впервые полное издание на русском языке."</t>
        </is>
      </c>
      <c r="S3340" s="26">
        <f>HYPERLINK("http://www.cnpol.ru/covers/22010.jpg","фото на сайте")</f>
        <v/>
      </c>
    </row>
    <row r="3341" ht="50.1" customHeight="1" s="3">
      <c r="A3341" s="23" t="inlineStr">
        <is>
          <t>Н</t>
        </is>
      </c>
      <c r="B3341" s="24" t="inlineStr">
        <is>
          <t>21250</t>
        </is>
      </c>
      <c r="C3341" s="23" t="inlineStr">
        <is>
          <t>ОИ ВИ</t>
        </is>
      </c>
      <c r="D3341" s="23" t="inlineStr">
        <is>
          <t>Виттфогель К.А.</t>
        </is>
      </c>
      <c r="E3341" s="23" t="inlineStr">
        <is>
          <t>Восточный деспотизм. Сравнительное исследование тотальной власти</t>
        </is>
      </c>
      <c r="F3341" s="23" t="inlineStr">
        <is>
          <t>        </t>
        </is>
      </c>
      <c r="G3341" s="23" t="n">
        <v>672</v>
      </c>
      <c r="H3341" s="23" t="n">
        <v>10</v>
      </c>
      <c r="I3341" s="23" t="n">
        <v>8</v>
      </c>
      <c r="J3341" s="23" t="inlineStr">
        <is>
          <t>978-5-9524-5763-8</t>
        </is>
      </c>
      <c r="K3341" s="23" t="inlineStr">
        <is>
          <t>84x108 1/32</t>
        </is>
      </c>
      <c r="L3341" s="23" t="inlineStr">
        <is>
          <t>тв</t>
        </is>
      </c>
      <c r="M3341" s="23" t="n">
        <v>575</v>
      </c>
      <c r="N3341" s="23" t="n">
        <v>2024</v>
      </c>
      <c r="O3341" s="23" t="n">
        <v>420</v>
      </c>
      <c r="P3341" s="23" t="n"/>
      <c r="Q3341" s="23" t="n"/>
      <c r="R3341" s="25" t="inlineStr">
        <is>
          <t>К.А. Виттфогель, выдающийся ученый-синолог, в своей книге рассматривает системы, власти характерные для восточных деспотий и других государств, в которых применялись азиатские способы производства. Анализируя методы ведения сельского хозяйства в Китае, на Ближнем Востоке, в России, империях майя и инков, автор указывает на особое значение ирригации, осуществление которой невозможно без привлечения большого количества людей для возведения гидравлических сооружений — каналов, плотин, водохранилищ и пр. Виттфогель называет такие общественные системы «гидравлическими империями» и, сравнивая их с современными ему социалистическими государствами, делает вывод, что коммунистический тоталитаризм является наиболее деспотичным и пагубным для развития общества способом правления.</t>
        </is>
      </c>
      <c r="S3341" s="26">
        <f>HYPERLINK("http://www.cnpol.ru/covers/21250.jpg","фото на сайте")</f>
        <v/>
      </c>
    </row>
    <row r="3342" ht="50.1" customHeight="1" s="3">
      <c r="A3342" s="23" t="inlineStr">
        <is>
          <t>Н</t>
        </is>
      </c>
      <c r="B3342" s="24" t="inlineStr">
        <is>
          <t>22095</t>
        </is>
      </c>
      <c r="C3342" s="23" t="inlineStr">
        <is>
          <t>ОИ ВИ</t>
        </is>
      </c>
      <c r="D3342" s="23" t="inlineStr">
        <is>
          <t>Стоун Н.</t>
        </is>
      </c>
      <c r="E3342" s="23" t="inlineStr">
        <is>
          <t>Восточный фронт. 1914—1917</t>
        </is>
      </c>
      <c r="F3342" s="23" t="inlineStr">
        <is>
          <t>        </t>
        </is>
      </c>
      <c r="G3342" s="27" t="n">
        <v>1117</v>
      </c>
      <c r="H3342" s="23" t="n">
        <v>10</v>
      </c>
      <c r="I3342" s="23" t="n">
        <v>10</v>
      </c>
      <c r="J3342" s="23" t="inlineStr">
        <is>
          <t>978-5-9524-6674-6</t>
        </is>
      </c>
      <c r="K3342" s="23" t="inlineStr">
        <is>
          <t>84x108 1/32</t>
        </is>
      </c>
      <c r="L3342" s="23" t="inlineStr">
        <is>
          <t>тв</t>
        </is>
      </c>
      <c r="M3342" s="23" t="n">
        <v>383</v>
      </c>
      <c r="N3342" s="23" t="n">
        <v>2026</v>
      </c>
      <c r="O3342" s="23" t="n">
        <v>426</v>
      </c>
      <c r="P3342" s="23" t="n"/>
      <c r="Q3342" s="23" t="n"/>
      <c r="R3342" s="25" t="inlineStr">
        <is>
          <t>Историческое исследование британского историка профессора Нормана Стоуна представляет собой подробный анализ событий на Восточном фронте Первой мировой войны. Автор рассматривает относительно малоизвестные ее аспекты, на конкретных примерах и с цифрами в руках показывая, как неэффективность, а не экономический дефицит, привела к отчаянным лишениям России и ее последующему</t>
        </is>
      </c>
      <c r="S3342" s="26">
        <f>HYPERLINK("http://www.cnpol.ru/covers/22095.jpg","фото на сайте")</f>
        <v/>
      </c>
    </row>
    <row r="3343" ht="50.1" customHeight="1" s="3">
      <c r="A3343" s="23" t="n"/>
      <c r="B3343" s="24" t="inlineStr">
        <is>
          <t>18152</t>
        </is>
      </c>
      <c r="C3343" s="23" t="inlineStr">
        <is>
          <t>ОИ ВИ</t>
        </is>
      </c>
      <c r="D3343" s="23" t="inlineStr">
        <is>
          <t>Васина Т.</t>
        </is>
      </c>
      <c r="E3343" s="23" t="inlineStr">
        <is>
          <t>ВПК СССР</t>
        </is>
      </c>
      <c r="F3343" s="23" t="inlineStr">
        <is>
          <t>        </t>
        </is>
      </c>
      <c r="G3343" s="23" t="n">
        <v>593</v>
      </c>
      <c r="H3343" s="23" t="n">
        <v>10</v>
      </c>
      <c r="I3343" s="23" t="n">
        <v>10</v>
      </c>
      <c r="J3343" s="23" t="inlineStr">
        <is>
          <t>978-5-227-07822-3</t>
        </is>
      </c>
      <c r="K3343" s="23" t="inlineStr">
        <is>
          <t>84x108 1/32</t>
        </is>
      </c>
      <c r="L3343" s="23" t="inlineStr">
        <is>
          <t>тв</t>
        </is>
      </c>
      <c r="M3343" s="23" t="n">
        <v>352</v>
      </c>
      <c r="N3343" s="23" t="n">
        <v>2018</v>
      </c>
      <c r="O3343" s="23" t="n">
        <v>284</v>
      </c>
      <c r="P3343" s="23" t="n"/>
      <c r="Q3343" s="23" t="n"/>
      <c r="R3343" s="25" t="inlineStr">
        <is>
          <t>Было ли возможно создать такой всеобъемлющий, всепроникающий и всепоглощающий комплекс, который сможет аккумулировать ресурсы и возможности страны так, что мы и на самом деле сможем воевать, словно для нас не существует преград? Думать, мечтать во время войны возможностей не было. В СССР просто создали такой комплекс к 1944 году. А к концу войны больше нас производили военной продукции только в США. Советская промышленность смогла обеспечить воюющую армию боеприпасами, техникой, снаряжением с запасом.</t>
        </is>
      </c>
      <c r="S3343" s="26">
        <f>HYPERLINK("http://www.cnpol.ru/covers/18152.jpg","фото на сайте")</f>
        <v/>
      </c>
    </row>
    <row r="3344" ht="50.1" customHeight="1" s="3">
      <c r="A3344" s="23" t="n"/>
      <c r="B3344" s="24" t="inlineStr">
        <is>
          <t>20518</t>
        </is>
      </c>
      <c r="C3344" s="23" t="inlineStr">
        <is>
          <t>ОИ ВИ</t>
        </is>
      </c>
      <c r="D3344" s="23" t="inlineStr">
        <is>
          <t>Хорсман Р.</t>
        </is>
      </c>
      <c r="E3344" s="23" t="inlineStr">
        <is>
          <t>Вторая война за независимость США. Соединенные Штаты против Британской империи: сражения на суше и на море</t>
        </is>
      </c>
      <c r="F3344" s="23" t="inlineStr">
        <is>
          <t>        </t>
        </is>
      </c>
      <c r="G3344" s="23" t="n">
        <v>512</v>
      </c>
      <c r="H3344" s="23" t="n">
        <v>10</v>
      </c>
      <c r="I3344" s="23" t="n">
        <v>14</v>
      </c>
      <c r="J3344" s="23" t="inlineStr">
        <is>
          <t>978-5-9524-5833-8</t>
        </is>
      </c>
      <c r="K3344" s="23" t="inlineStr">
        <is>
          <t>84x108 1/32</t>
        </is>
      </c>
      <c r="L3344" s="23" t="inlineStr">
        <is>
          <t>тв</t>
        </is>
      </c>
      <c r="M3344" s="23" t="n">
        <v>287</v>
      </c>
      <c r="N3344" s="23" t="n">
        <v>2023</v>
      </c>
      <c r="O3344" s="23" t="n">
        <v>250</v>
      </c>
      <c r="P3344" s="23" t="n"/>
      <c r="Q3344" s="23" t="n"/>
      <c r="R3344" s="25" t="inlineStr">
        <is>
          <t>Настоящее издание посвящено вооруженному конфликту в Северной Америке 1812—1815 гг., получившему название Вторая война за независимость. В книге исследуются причины напряженности отношений между этими двумя странами в эпоху Наполеоновских войн, в которой Британия выступила на стороне индейских племен, боровшихся против колониального поселения на северо-западе континента, рассказывается о столкновениях как на суше, так и на море, о том, как регулярные войска и колониальная милиция давили нападения американцев на Северную Канаду, описываются и сожжение Вашингтона, и война на Юге, и блокада морской торговли США…</t>
        </is>
      </c>
      <c r="S3344" s="26">
        <f>HYPERLINK("http://www.cnpol.ru/covers/20518.jpg","фото на сайте")</f>
        <v/>
      </c>
    </row>
    <row r="3345" ht="50.1" customHeight="1" s="3">
      <c r="A3345" s="23" t="inlineStr">
        <is>
          <t>Н</t>
        </is>
      </c>
      <c r="B3345" s="24" t="inlineStr">
        <is>
          <t>21464</t>
        </is>
      </c>
      <c r="C3345" s="23" t="inlineStr">
        <is>
          <t>ОИ ВИ</t>
        </is>
      </c>
      <c r="D3345" s="23" t="inlineStr">
        <is>
          <t>Тейлор А.Д.</t>
        </is>
      </c>
      <c r="E3345" s="23" t="inlineStr">
        <is>
          <t>Габсбургская монархия. История Австрийской империи, Германского союза и Австро-Венгрии. 1809—1918</t>
        </is>
      </c>
      <c r="F3345" s="23" t="inlineStr">
        <is>
          <t>        </t>
        </is>
      </c>
      <c r="G3345" s="23" t="n">
        <v>574</v>
      </c>
      <c r="H3345" s="23" t="n">
        <v>10</v>
      </c>
      <c r="I3345" s="23" t="n">
        <v>12</v>
      </c>
      <c r="J3345" s="23" t="inlineStr">
        <is>
          <t>978-5-9524-6249-6</t>
        </is>
      </c>
      <c r="K3345" s="23" t="inlineStr">
        <is>
          <t>84x108 1/32</t>
        </is>
      </c>
      <c r="L3345" s="23" t="inlineStr">
        <is>
          <t>тв</t>
        </is>
      </c>
      <c r="M3345" s="23" t="n">
        <v>351</v>
      </c>
      <c r="N3345" s="23" t="n">
        <v>2025</v>
      </c>
      <c r="O3345" s="23" t="n">
        <v>311</v>
      </c>
      <c r="P3345" s="23" t="n"/>
      <c r="Q3345" s="23" t="n"/>
      <c r="R3345" s="25" t="inlineStr">
        <is>
          <t>Книга британского историка Алана Дж. Тейлора — это всеобъемлющее исследование последнего столетия монархии Габсбургов от Наполеоновских войн до Первой мировой войны, позволяющее лучше понять исторические процессы, протекавшие не только в «землях Дунайской долины», но и в Европе в целом. Автор исследует уникальный характер государства, которое представляло собой совокупность наследственных владений Дома Габсбургов, населенных народами разных языков и вероисповеданий, описывает его политическое устройство и этнографическую структуру. Сосредоточив внимание на крупных исторических фигурах и событиях, Тейлор прослеживает процесс объединения империи после проведения Венского конгресса, радикальные преобразования 1848 года, имперский кризис, вызванный поражением в Австро-прусской войне, а также подъем венгерского национального движения и неминуемый распад империи в 1918 году.</t>
        </is>
      </c>
      <c r="S3345" s="26">
        <f>HYPERLINK("http://www.cnpol.ru/covers/21464.jpg","фото на сайте")</f>
        <v/>
      </c>
    </row>
    <row r="3346" ht="50.1" customHeight="1" s="3">
      <c r="A3346" s="23" t="inlineStr">
        <is>
          <t>Д</t>
        </is>
      </c>
      <c r="B3346" s="24" t="inlineStr">
        <is>
          <t>22176</t>
        </is>
      </c>
      <c r="C3346" s="23" t="inlineStr">
        <is>
          <t>ОИ ВИ</t>
        </is>
      </c>
      <c r="D3346" s="23" t="inlineStr">
        <is>
          <t>Доллинигер Ф.</t>
        </is>
      </c>
      <c r="E3346" s="23" t="inlineStr">
        <is>
          <t>Ганзейский союз. Торговая империя Средневековья от Лондона и Брюгге до Пскова и Новгорода</t>
        </is>
      </c>
      <c r="F3346" s="23" t="inlineStr">
        <is>
          <t>        </t>
        </is>
      </c>
      <c r="G3346" s="27" t="n">
        <v>1359</v>
      </c>
      <c r="H3346" s="23" t="n">
        <v>10</v>
      </c>
      <c r="I3346" s="23" t="n">
        <v>10</v>
      </c>
      <c r="J3346" s="23" t="inlineStr">
        <is>
          <t>978-5-9524-6702-6</t>
        </is>
      </c>
      <c r="K3346" s="23" t="inlineStr">
        <is>
          <t>84x108 1/32</t>
        </is>
      </c>
      <c r="L3346" s="23" t="inlineStr">
        <is>
          <t>тв</t>
        </is>
      </c>
      <c r="M3346" s="23" t="n">
        <v>511</v>
      </c>
      <c r="N3346" s="23" t="n">
        <v>2026</v>
      </c>
      <c r="O3346" s="23" t="n">
        <v>537</v>
      </c>
      <c r="P3346" s="23" t="n"/>
      <c r="Q3346" s="23" t="n"/>
      <c r="R3346" s="25" t="inlineStr">
        <is>
          <t>Ганза – или Ганзейский союз купечества торговых городов на севере Германии – уникальное явление европейской жизни XII—XVII вв. Ганзейские купцы снабжали Запад русскими мехами и воском, польской пшеницей, венгерской и шведской медью. На Восток они возили фламандское, голландское и английское сукно, французские и португальские соль и вина. Во многом благодаря им Скандинавия и Восточная Европа познакомились с западной литературой, готической архитектурой и живописью эпохи Возрождения. В течение 500 лет Ганза способствовала налаживанию экономических, политических, общественных и культурных связей между Западной и Восточной Европой._x000D_
Об этом  подробно, на основе многочисленных оригинальных документов, рассказывает в своей книге историк, профессор Страсбургского университета Филипп Доллингер.</t>
        </is>
      </c>
      <c r="S3346" s="26">
        <f>HYPERLINK("http://www.cnpol.ru/covers/22176.jpg","фото на сайте")</f>
        <v/>
      </c>
    </row>
    <row r="3347" ht="50.1" customHeight="1" s="3">
      <c r="A3347" s="23" t="inlineStr">
        <is>
          <t>Н</t>
        </is>
      </c>
      <c r="B3347" s="24" t="inlineStr">
        <is>
          <t>21622</t>
        </is>
      </c>
      <c r="C3347" s="23" t="inlineStr">
        <is>
          <t>ОИ ВИ</t>
        </is>
      </c>
      <c r="D3347" s="23" t="inlineStr">
        <is>
          <t>Габриэль Р.</t>
        </is>
      </c>
      <c r="E3347" s="23" t="inlineStr">
        <is>
          <t>Ганнибал. Военная биография величайшего врага Рима</t>
        </is>
      </c>
      <c r="F3347" s="23" t="inlineStr">
        <is>
          <t>        </t>
        </is>
      </c>
      <c r="G3347" s="27" t="n">
        <v>1009</v>
      </c>
      <c r="H3347" s="23" t="n">
        <v>10</v>
      </c>
      <c r="I3347" s="23" t="n">
        <v>12</v>
      </c>
      <c r="J3347" s="23" t="inlineStr">
        <is>
          <t>978-5-9524-6395-0</t>
        </is>
      </c>
      <c r="K3347" s="23" t="inlineStr">
        <is>
          <t>84x108 1/32</t>
        </is>
      </c>
      <c r="L3347" s="23" t="inlineStr">
        <is>
          <t>тв</t>
        </is>
      </c>
      <c r="M3347" s="23" t="n">
        <v>318</v>
      </c>
      <c r="N3347" s="23" t="n">
        <v>2025</v>
      </c>
      <c r="O3347" s="23" t="n">
        <v>460</v>
      </c>
      <c r="P3347" s="23" t="n"/>
      <c r="Q3347" s="23" t="n"/>
      <c r="R3347" s="25" t="inlineStr">
        <is>
          <t>Ричард А. Габриэль — известный военный историк — посвятил свое исследование Ганнибалу (247—183 гг. до н. э.) — великому полководцу Античности._x000D_
На основе сведений, почерпнутых из римских источников, автор воссоздает историю становления характера великого полководца, превосходного стратега, тактика и самого сильного врага Рима. Автор дает подробное описание структуры и особенностей армии Ганнибала, анализирует ход его сражений, победы и поражения._x000D_
Книга снабжена картами, хронологической таблицей и подробными примечаниями.</t>
        </is>
      </c>
      <c r="S3347" s="26">
        <f>HYPERLINK("http://www.cnpol.ru/covers/21622.jpg","фото на сайте")</f>
        <v/>
      </c>
    </row>
    <row r="3348" ht="50.1" customHeight="1" s="3">
      <c r="A3348" s="23" t="inlineStr">
        <is>
          <t>Д</t>
        </is>
      </c>
      <c r="B3348" s="24" t="inlineStr">
        <is>
          <t>21447</t>
        </is>
      </c>
      <c r="C3348" s="23" t="inlineStr">
        <is>
          <t>ОИ ВИ</t>
        </is>
      </c>
      <c r="D3348" s="23" t="inlineStr">
        <is>
          <t>Пензер Н.</t>
        </is>
      </c>
      <c r="E3348" s="23" t="inlineStr">
        <is>
          <t>Гарем. История, традиции, тайны</t>
        </is>
      </c>
      <c r="F3348" s="23" t="inlineStr">
        <is>
          <t>        </t>
        </is>
      </c>
      <c r="G3348" s="27" t="n">
        <v>1002</v>
      </c>
      <c r="H3348" s="23" t="n">
        <v>10</v>
      </c>
      <c r="I3348" s="23" t="n">
        <v>6</v>
      </c>
      <c r="J3348" s="23" t="inlineStr">
        <is>
          <t>978-5-9524-6330-1</t>
        </is>
      </c>
      <c r="K3348" s="23" t="inlineStr">
        <is>
          <t>84x108 1/32</t>
        </is>
      </c>
      <c r="L3348" s="23" t="inlineStr">
        <is>
          <t>тв</t>
        </is>
      </c>
      <c r="M3348" s="23" t="n">
        <v>303</v>
      </c>
      <c r="N3348" s="23" t="n">
        <v>2025</v>
      </c>
      <c r="O3348" s="23" t="n">
        <v>320</v>
      </c>
      <c r="P3348" s="23" t="n"/>
      <c r="Q3348" s="23" t="n"/>
      <c r="R3348" s="25" t="inlineStr">
        <is>
          <t>Сложный этикет, жесткие, почти монастырские правила гарема и полная изоляция от внешнего мира порождали множество далеких от реальности слухов. Автор увлекательно повествует о том, что в действительности происходило за высокими стенами Сераля, рассказывает об иерархии султанских наложниц, жен и евнухов, призванных наблюдать за ними.</t>
        </is>
      </c>
      <c r="S3348" s="26">
        <f>HYPERLINK("http://www.cnpol.ru/covers/21447.jpg","фото на сайте")</f>
        <v/>
      </c>
    </row>
    <row r="3349" ht="50.1" customHeight="1" s="3">
      <c r="A3349" s="23" t="inlineStr">
        <is>
          <t>Д</t>
        </is>
      </c>
      <c r="B3349" s="24" t="inlineStr">
        <is>
          <t>21448</t>
        </is>
      </c>
      <c r="C3349" s="23" t="inlineStr">
        <is>
          <t>ОИ ВИ</t>
        </is>
      </c>
      <c r="D3349" s="23" t="inlineStr">
        <is>
          <t>Бекер де Дж.</t>
        </is>
      </c>
      <c r="E3349" s="23" t="inlineStr">
        <is>
          <t>Гейши. История, традиции, тайны</t>
        </is>
      </c>
      <c r="F3349" s="23" t="inlineStr">
        <is>
          <t>        </t>
        </is>
      </c>
      <c r="G3349" s="27" t="n">
        <v>1026</v>
      </c>
      <c r="H3349" s="23" t="n">
        <v>10</v>
      </c>
      <c r="I3349" s="23" t="n">
        <v>6</v>
      </c>
      <c r="J3349" s="23" t="inlineStr">
        <is>
          <t>978-5-227-10942-2</t>
        </is>
      </c>
      <c r="K3349" s="23" t="inlineStr">
        <is>
          <t>84x108 1/32</t>
        </is>
      </c>
      <c r="L3349" s="23" t="inlineStr">
        <is>
          <t>тв</t>
        </is>
      </c>
      <c r="M3349" s="23" t="n">
        <v>318</v>
      </c>
      <c r="N3349" s="23" t="n">
        <v>2025</v>
      </c>
      <c r="O3349" s="23" t="n">
        <v>380</v>
      </c>
      <c r="P3349" s="23" t="n"/>
      <c r="Q3349" s="23" t="n"/>
      <c r="R3349" s="25" t="inlineStr">
        <is>
          <t>Исследовательский труд Джозефа де Бекера повествует об истории квартала Ёсивара — места, где находились публичные дома старого Токио (Эдо). Автор знакомит с классификацией публичных домов, приводит медицинскую и юридическую статистику, детально описывает быт гейш._x000D_
Вы узнаете, что входило в обязанности гейш, сколько стоили их услуги, во что одевались японские куртизанки, какие прически они носили и многое, многое другое.</t>
        </is>
      </c>
      <c r="S3349" s="26">
        <f>HYPERLINK("http://www.cnpol.ru/covers/21448.jpg","фото на сайте")</f>
        <v/>
      </c>
    </row>
    <row r="3350" ht="50.1" customHeight="1" s="3">
      <c r="A3350" s="23" t="n"/>
      <c r="B3350" s="24" t="inlineStr">
        <is>
          <t>20581</t>
        </is>
      </c>
      <c r="C3350" s="23" t="inlineStr">
        <is>
          <t>ОИ ВИ</t>
        </is>
      </c>
      <c r="D3350" s="23" t="inlineStr">
        <is>
          <t>Леверкюн П.</t>
        </is>
      </c>
      <c r="E3350" s="23" t="inlineStr">
        <is>
          <t>Германская военная разведка. Шпионаж, диверсии, контрразведка. 1935—1944</t>
        </is>
      </c>
      <c r="F3350" s="23" t="inlineStr">
        <is>
          <t>        </t>
        </is>
      </c>
      <c r="G3350" s="23" t="n">
        <v>835</v>
      </c>
      <c r="H3350" s="23" t="n">
        <v>10</v>
      </c>
      <c r="I3350" s="23" t="n">
        <v>16</v>
      </c>
      <c r="J3350" s="23" t="inlineStr">
        <is>
          <t>978-5-9524-5902-1</t>
        </is>
      </c>
      <c r="K3350" s="23" t="inlineStr">
        <is>
          <t>84x108 1/32</t>
        </is>
      </c>
      <c r="L3350" s="23" t="inlineStr">
        <is>
          <t>тв</t>
        </is>
      </c>
      <c r="M3350" s="23" t="n">
        <v>223</v>
      </c>
      <c r="N3350" s="23" t="n">
        <v>2023</v>
      </c>
      <c r="O3350" s="23" t="n">
        <v>230</v>
      </c>
      <c r="P3350" s="23" t="n"/>
      <c r="Q3350" s="23" t="n"/>
      <c r="R3350" s="25" t="inlineStr">
        <is>
          <t>Руководитель Стамбульского отделения абвера Пауль Леверкюн в своей книге подробно описал, чем, по сути, являлась эта организация, как была устроена и какие функции выполняла. Абвер, изначально предназначенный для борьбы с деятельностью иностранных разведслужб, постепенно расширялся, создавая отделы разведки за пределами Германии. Основываясь на рассказах и воспоминаниях сослуживцев, Леверкюн привел наиболее важные и характерные эпизоды работы абвера на территории Польши, СССР, Скандинавских государств и стран Ближнего и Среднего Востока: шпионаж, осуществление диверсий, добывание военно-политической информации. Не обошел автор вниманием и адмирала Канариса, под руководством которого абвер стал Главным разведывательным управлением вермахта.</t>
        </is>
      </c>
      <c r="S3350" s="26">
        <f>HYPERLINK("http://www.cnpol.ru/covers/20581.jpg","фото на сайте")</f>
        <v/>
      </c>
    </row>
    <row r="3351" ht="50.1" customHeight="1" s="3">
      <c r="A3351" s="23" t="n"/>
      <c r="B3351" s="24" t="inlineStr">
        <is>
          <t>20357</t>
        </is>
      </c>
      <c r="C3351" s="23" t="inlineStr">
        <is>
          <t>ОИ ВИ</t>
        </is>
      </c>
      <c r="D3351" s="23" t="inlineStr">
        <is>
          <t>Гёрлиц В.</t>
        </is>
      </c>
      <c r="E3351" s="23" t="inlineStr">
        <is>
          <t>Германский Генеральный штаб. История и структура. 1657—1945</t>
        </is>
      </c>
      <c r="F3351" s="23" t="inlineStr">
        <is>
          <t>        </t>
        </is>
      </c>
      <c r="G3351" s="27" t="n">
        <v>1305</v>
      </c>
      <c r="H3351" s="23" t="n">
        <v>10</v>
      </c>
      <c r="I3351" s="23" t="n">
        <v>10</v>
      </c>
      <c r="J3351" s="23" t="inlineStr">
        <is>
          <t>978-5-9524-5818-5</t>
        </is>
      </c>
      <c r="K3351" s="23" t="inlineStr">
        <is>
          <t>84x108 1/32</t>
        </is>
      </c>
      <c r="L3351" s="23" t="inlineStr">
        <is>
          <t>тв</t>
        </is>
      </c>
      <c r="M3351" s="23" t="n">
        <v>478</v>
      </c>
      <c r="N3351" s="23" t="n">
        <v>2022</v>
      </c>
      <c r="O3351" s="23" t="n">
        <v>485</v>
      </c>
      <c r="P3351" s="23" t="n"/>
      <c r="Q3351" s="23" t="n"/>
      <c r="R3351" s="25" t="inlineStr">
        <is>
          <t>В. Гёрлиц увлекательно и подробно осветил историю создания германского Генерального штаба, начиная с XVII века, периода зарождения прусско-бранденбургской армии, когда впервые упоминается Генеральный штаб, и до окончания Второй мировой войны. Автор рассказывает, как складывалась каста генштабистов, подчеркивает особое значение связки начальник штаба — командующий, детально рассматривает «управленческую триаду», рисует яркие портреты офицеров Генерального штаба, объясняет сложную структуру командования немецкими войсками во Второй мировой войне.</t>
        </is>
      </c>
      <c r="S3351" s="26">
        <f>HYPERLINK("http://www.cnpol.ru/covers/20357.jpg","фото на сайте")</f>
        <v/>
      </c>
    </row>
    <row r="3352" ht="50.1" customHeight="1" s="3">
      <c r="A3352" s="23" t="n"/>
      <c r="B3352" s="24" t="inlineStr">
        <is>
          <t>20233</t>
        </is>
      </c>
      <c r="C3352" s="23" t="inlineStr">
        <is>
          <t>ОИ ВИ</t>
        </is>
      </c>
      <c r="D3352" s="23" t="inlineStr">
        <is>
          <t>Деметр К.</t>
        </is>
      </c>
      <c r="E3352" s="23" t="inlineStr">
        <is>
          <t>Германский офицерский корпус в обществе и государстве. 1650—1945 гг.</t>
        </is>
      </c>
      <c r="F3352" s="23" t="inlineStr">
        <is>
          <t>        </t>
        </is>
      </c>
      <c r="G3352" s="27" t="n">
        <v>1110</v>
      </c>
      <c r="H3352" s="23" t="n">
        <v>10</v>
      </c>
      <c r="I3352" s="23" t="n">
        <v>12</v>
      </c>
      <c r="J3352" s="23" t="inlineStr">
        <is>
          <t>978-5-9524-5784-3</t>
        </is>
      </c>
      <c r="K3352" s="23" t="inlineStr">
        <is>
          <t>84x108 1/32</t>
        </is>
      </c>
      <c r="L3352" s="23" t="inlineStr">
        <is>
          <t>тв</t>
        </is>
      </c>
      <c r="M3352" s="23" t="n">
        <v>384</v>
      </c>
      <c r="N3352" s="23" t="n">
        <v>2022</v>
      </c>
      <c r="O3352" s="23" t="n">
        <v>420</v>
      </c>
      <c r="P3352" s="23" t="n"/>
      <c r="Q3352" s="23" t="n"/>
      <c r="R3352" s="25" t="inlineStr">
        <is>
          <t>В этой книге представлена история Германского офицерского корпуса, существовавшего с 1650 по 1945 год. Автор рассказывает о том, какие факторы играли главенствующую роль в образовании офицерского корпуса, по каким критериям принимали на службу и какие изменения происходили с течением времени. Подробно освещает роль германского офицерства в обществе и государстве.</t>
        </is>
      </c>
      <c r="S3352" s="26">
        <f>HYPERLINK("http://www.cnpol.ru/covers/20233.jpg","фото на сайте")</f>
        <v/>
      </c>
    </row>
    <row r="3353" ht="50.1" customHeight="1" s="3">
      <c r="A3353" s="23" t="n"/>
      <c r="B3353" s="24" t="inlineStr">
        <is>
          <t>20773</t>
        </is>
      </c>
      <c r="C3353" s="23" t="inlineStr">
        <is>
          <t>ОИ ВИ</t>
        </is>
      </c>
      <c r="D3353" s="23" t="inlineStr">
        <is>
          <t>Даллес А</t>
        </is>
      </c>
      <c r="E3353" s="23" t="inlineStr">
        <is>
          <t>Германское подполье в 1942—1944 годах</t>
        </is>
      </c>
      <c r="F3353" s="23" t="inlineStr">
        <is>
          <t>        </t>
        </is>
      </c>
      <c r="G3353" s="23" t="n">
        <v>508</v>
      </c>
      <c r="H3353" s="23" t="n">
        <v>10</v>
      </c>
      <c r="I3353" s="23" t="n">
        <v>16</v>
      </c>
      <c r="J3353" s="23" t="inlineStr">
        <is>
          <t>978-5-9524-5997-7</t>
        </is>
      </c>
      <c r="K3353" s="23" t="inlineStr">
        <is>
          <t>84x108 1/32</t>
        </is>
      </c>
      <c r="L3353" s="23" t="inlineStr">
        <is>
          <t>тв</t>
        </is>
      </c>
      <c r="M3353" s="23" t="n">
        <v>255</v>
      </c>
      <c r="N3353" s="23" t="n">
        <v>2023</v>
      </c>
      <c r="O3353" s="23" t="n">
        <v>242</v>
      </c>
      <c r="P3353" s="23" t="n"/>
      <c r="Q3353" s="23" t="n"/>
      <c r="R3353" s="25" t="inlineStr">
        <is>
          <t>Автор настоящего издания Аллен Даллес, занимавший дипломатические посты в Вене и Берне во время Первой мировой войны, потом служивший в Государственном департаменте и ставший впоследствии директором ЦРУ, во время Второй мировой войны был главой Американского разведывательного центра в Берне. В 1942 году по заданию Центра установил связь с германским подпольем, которое не раз организовывало покушение на Гитлера. Его рассказ о немецком сопротивлении, о контактах союзников с оппозицией — это история людей из всех слоев немецкого общества — от ведущих фигур, таких как военачальники Л. Бек, К. Гёрделер, К. Хаммерштейн, до обычных госслужащих, интеллигентов, представителей профсоюзов и церкви, объединившихся в кружок Крейзау, — рисковавших жизнью в борьбе с гитлеризмом за свободу личности. Это книга об антинацистском противостоянии тоталитарному режиму.</t>
        </is>
      </c>
      <c r="S3353" s="26">
        <f>HYPERLINK("http://www.cnpol.ru/covers/20773.jpg","фото на сайте")</f>
        <v/>
      </c>
    </row>
    <row r="3354" ht="50.1" customHeight="1" s="3">
      <c r="A3354" s="23" t="inlineStr">
        <is>
          <t>Н</t>
        </is>
      </c>
      <c r="B3354" s="24" t="inlineStr">
        <is>
          <t>21072</t>
        </is>
      </c>
      <c r="C3354" s="23" t="inlineStr">
        <is>
          <t>ОИ ВИ</t>
        </is>
      </c>
      <c r="D3354" s="23" t="inlineStr">
        <is>
          <t>Абаза К.К.</t>
        </is>
      </c>
      <c r="E3354" s="23" t="inlineStr">
        <is>
          <t>Герои и битвы. Военно-историческая хрестоматия. История подвигов, побед и поражений</t>
        </is>
      </c>
      <c r="F3354" s="23" t="inlineStr">
        <is>
          <t>        </t>
        </is>
      </c>
      <c r="G3354" s="27" t="n">
        <v>1702</v>
      </c>
      <c r="H3354" s="23" t="n">
        <v>10</v>
      </c>
      <c r="I3354" s="23" t="n">
        <v>6</v>
      </c>
      <c r="J3354" s="23" t="inlineStr">
        <is>
          <t>978-5-227-10653-7</t>
        </is>
      </c>
      <c r="K3354" s="23" t="inlineStr">
        <is>
          <t>84x108 1/32</t>
        </is>
      </c>
      <c r="L3354" s="23" t="inlineStr">
        <is>
          <t>тв</t>
        </is>
      </c>
      <c r="M3354" s="23" t="n">
        <v>734</v>
      </c>
      <c r="N3354" s="23" t="n">
        <v>2024</v>
      </c>
      <c r="O3354" s="23" t="n">
        <v>715</v>
      </c>
      <c r="P3354" s="23" t="n"/>
      <c r="Q3354" s="23" t="n"/>
      <c r="R3354" s="25" t="inlineStr">
        <is>
          <t>Эта хрестоматия была написана автором многих наставлений по подготовке рядового и унтер-офицерского состава военным писателем и педагогом Константином Абазой. Книга вышла в конце XIX века в Петербурге в двух томах, оба из которых вошли в это издание. Она содержит рисунки, карты, планы и является своеобразной энциклопедией походов, битв, побед и поражений с древних времен и до конца XIX века. Вас ждет рассказ о подвиге царя Спарты — Леонида, походах Александра Македонского и деяниях Наполеона… Крестовые походы, Столетняя война, открытие Америки и множество других событий, определивших ход истории. Книга написана простым языком и, несмотря на солидный возраст, не потеряла своей актуальности.</t>
        </is>
      </c>
      <c r="S3354" s="26">
        <f>HYPERLINK("http://www.cnpol.ru/covers/21072.jpg","фото на сайте")</f>
        <v/>
      </c>
    </row>
    <row r="3355" ht="50.1" customHeight="1" s="3">
      <c r="A3355" s="23" t="n"/>
      <c r="B3355" s="24" t="inlineStr">
        <is>
          <t>16296</t>
        </is>
      </c>
      <c r="C3355" s="23" t="inlineStr">
        <is>
          <t>ОИ ВИ</t>
        </is>
      </c>
      <c r="D3355" s="23" t="inlineStr">
        <is>
          <t>Корняков А.Ф.</t>
        </is>
      </c>
      <c r="E3355" s="23" t="inlineStr">
        <is>
          <t>Главный конструктор ракетной техники</t>
        </is>
      </c>
      <c r="F3355" s="23" t="inlineStr">
        <is>
          <t>        </t>
        </is>
      </c>
      <c r="G3355" s="23" t="n">
        <v>653</v>
      </c>
      <c r="H3355" s="23" t="n">
        <v>10</v>
      </c>
      <c r="I3355" s="23" t="n">
        <v>10</v>
      </c>
      <c r="J3355" s="23" t="inlineStr">
        <is>
          <t>978-5-227-05766-2</t>
        </is>
      </c>
      <c r="K3355" s="23" t="inlineStr">
        <is>
          <t>84x108 1/32</t>
        </is>
      </c>
      <c r="L3355" s="23" t="inlineStr">
        <is>
          <t>тв</t>
        </is>
      </c>
      <c r="M3355" s="23" t="n">
        <v>480</v>
      </c>
      <c r="N3355" s="23" t="n">
        <v>2015</v>
      </c>
      <c r="O3355" s="23" t="n">
        <v>382</v>
      </c>
      <c r="P3355" s="23" t="n"/>
      <c r="Q3355" s="23" t="n"/>
      <c r="R3355" s="25" t="inlineStr">
        <is>
          <t>Герой этой книги подарил миру, и в первую очередь России, новый самый быстрый способ передвижения снаряда и корабля любой величины и веса на любое расстояние. Он успел при жизни довести свое открытие и свое изобретение до реальных образцов, доказавших его правоту. Поэтому в годы самого тяжелого испытания, выпавшего на долю нашей страны за всю ее тысячелетнюю историю — Великой Отечественной войны, — снаряды, использующие предложенный им реактивный двигатель, внесли огромный вклад в разгром врага. А после войны созданные на тех же принципах баллистические ракеты сумели первыми в мире и вывести в космос человека, и создать надежный ракетно­ядерный щит для нашей страны. Но имя первосоздателя ракет в нашей стране оказалось совершенно неизвестным. Авторы путем архивного исследова­ния называют имя главного конструктора ракетной техники Н.В. Слетова.</t>
        </is>
      </c>
      <c r="S3355" s="26">
        <f>HYPERLINK("http://www.cnpol.ru/covers/16296.jpg","фото на сайте")</f>
        <v/>
      </c>
    </row>
    <row r="3356" ht="50.1" customHeight="1" s="3">
      <c r="A3356" s="23" t="inlineStr">
        <is>
          <t>Д</t>
        </is>
      </c>
      <c r="B3356" s="24" t="inlineStr">
        <is>
          <t>21276</t>
        </is>
      </c>
      <c r="C3356" s="23" t="inlineStr">
        <is>
          <t>ОИ ВИ</t>
        </is>
      </c>
      <c r="D3356" s="23" t="inlineStr">
        <is>
          <t>Боксер Ч.Р.</t>
        </is>
      </c>
      <c r="E3356" s="23" t="inlineStr">
        <is>
          <t>Голландское господство в четырех частях света XVI—XVIII века. Торговые войны в Европе, Индии, Южной Африке и Америке</t>
        </is>
      </c>
      <c r="F3356" s="23" t="inlineStr">
        <is>
          <t>        </t>
        </is>
      </c>
      <c r="G3356" s="27" t="n">
        <v>1084</v>
      </c>
      <c r="H3356" s="23" t="n">
        <v>10</v>
      </c>
      <c r="I3356" s="23" t="n">
        <v>10</v>
      </c>
      <c r="J3356" s="23" t="inlineStr">
        <is>
          <t>978-5-9524-6166-6</t>
        </is>
      </c>
      <c r="K3356" s="23" t="inlineStr">
        <is>
          <t>84x108 1/32</t>
        </is>
      </c>
      <c r="L3356" s="23" t="inlineStr">
        <is>
          <t>тв</t>
        </is>
      </c>
      <c r="M3356" s="23" t="n">
        <v>352</v>
      </c>
      <c r="N3356" s="23" t="n">
        <v>2024</v>
      </c>
      <c r="O3356" s="23" t="n">
        <v>308</v>
      </c>
      <c r="P3356" s="23" t="n"/>
      <c r="Q3356" s="23" t="n"/>
      <c r="R3356" s="25" t="inlineStr">
        <is>
          <t>Из борьбы с испанским владычеством Голландия вышла одной из величайших в мире морских империй. За несколько лет страна обрела контроль над огромными территориями: от Индонезии до Западной Индии, от Южной Африки до Южной Америки._x000D_
Чарлз Боксер, профессор Йельского университета, автор целого ряда исторических трудов, представляет Голландию XVI—XVIII вв. Объясняя причины стремительного восхождения столь маленькой страны к могуществу, Боксер обращает внимание на то, как и почему происходит бурное развитие промышленности, морской торговли, сельскохозяйственное изобилие и культурный расцвет страны. Анализирует состояние науки, техники, систему образования, отношение к религии, институт брака, быт, организацию благотворительности, развлечения, воссоздавая яркие картины авантюризма и разгульной жизни голландцев во всех четырех сторонах света. И затем автор прослеживает достойный сожаления переход от золотого века к эре париков — времени «бесцарствия» — частой смены власти и французских вторжений.</t>
        </is>
      </c>
      <c r="S3356" s="26">
        <f>HYPERLINK("http://www.cnpol.ru/covers/21276.jpg","фото на сайте")</f>
        <v/>
      </c>
    </row>
    <row r="3357" ht="50.1" customHeight="1" s="3">
      <c r="A3357" s="23" t="inlineStr">
        <is>
          <t>Д</t>
        </is>
      </c>
      <c r="B3357" s="24" t="inlineStr">
        <is>
          <t>22168</t>
        </is>
      </c>
      <c r="C3357" s="23" t="inlineStr">
        <is>
          <t>ОИ ВИ</t>
        </is>
      </c>
      <c r="D3357" s="23" t="inlineStr">
        <is>
          <t>Боксер Ч.Р.</t>
        </is>
      </c>
      <c r="E3357" s="23" t="inlineStr">
        <is>
          <t>Голландское господство в четырех частях света XVI—XVIII века. Торговые войны в Европе, Индии, Южной Африке и Америке</t>
        </is>
      </c>
      <c r="F3357" s="23" t="inlineStr">
        <is>
          <t>        </t>
        </is>
      </c>
      <c r="G3357" s="27" t="n">
        <v>1084</v>
      </c>
      <c r="H3357" s="23" t="n">
        <v>10</v>
      </c>
      <c r="I3357" s="23" t="n">
        <v>10</v>
      </c>
      <c r="J3357" s="23" t="inlineStr">
        <is>
          <t>978-5-9524-6713-2</t>
        </is>
      </c>
      <c r="K3357" s="23" t="inlineStr">
        <is>
          <t>84x108 1/32</t>
        </is>
      </c>
      <c r="L3357" s="23" t="inlineStr">
        <is>
          <t>тв</t>
        </is>
      </c>
      <c r="M3357" s="23" t="n">
        <v>352</v>
      </c>
      <c r="N3357" s="23" t="n">
        <v>2026</v>
      </c>
      <c r="O3357" s="23" t="n">
        <v>414</v>
      </c>
      <c r="P3357" s="23" t="n"/>
      <c r="Q3357" s="23" t="n"/>
      <c r="R3357" s="25" t="inlineStr">
        <is>
          <t>Из борьбы с испанским владычеством Голландия вышла одной из величайших в мире морских империй. За несколько лет страна обрела контроль над огромными территориями: от Индонезии до Западной Индии, от Южной Африки до Южной Америки._x000D_
Чарлз Боксер, профессор Йельского университета, автор целого ряда исторических трудов, представляет Голландию XVI—XVIII вв. Объясняя причины стремительного восхождения столь маленькой страны к могуществу, Боксер обращает внимание на то, как и почему происходит бурное развитие промышленности, морской торговли, сельскохозяйственное изобилие и культурный расцвет страны. Анализирует состояние науки, техники, систему образования, отношение к религии, институт брака, быт, организацию благотворительности, развлечения, воссоздавая яркие картины авантюризма и разгульной жизни голландцев во всех четырех сторонах света. И затем автор прослеживает достойный сожаления переход от золотого века к эре париков — времени «бесцарствия» — частой смены власти и французских вторжений.</t>
        </is>
      </c>
      <c r="S3357" s="26">
        <f>HYPERLINK("http://www.cnpol.ru/covers/22168.jpg","фото на сайте")</f>
        <v/>
      </c>
    </row>
    <row r="3358" ht="50.1" customHeight="1" s="3">
      <c r="A3358" s="23" t="n"/>
      <c r="B3358" s="24" t="inlineStr">
        <is>
          <t>17413</t>
        </is>
      </c>
      <c r="C3358" s="23" t="inlineStr">
        <is>
          <t>ОИ ВИ</t>
        </is>
      </c>
      <c r="D3358" s="23" t="inlineStr">
        <is>
          <t>Артамонов А.Е.</t>
        </is>
      </c>
      <c r="E3358" s="23" t="inlineStr">
        <is>
          <t>Госдачи Кавказских Минеральных Вод. Тайны создания и пребывания в них на отдыхе партийной верхушки и исполкома Коминтерна. От Ленина до Хрущева</t>
        </is>
      </c>
      <c r="F3358" s="23" t="inlineStr">
        <is>
          <t>        </t>
        </is>
      </c>
      <c r="G3358" s="23" t="n">
        <v>704</v>
      </c>
      <c r="H3358" s="23" t="n">
        <v>10</v>
      </c>
      <c r="I3358" s="23" t="n">
        <v>8</v>
      </c>
      <c r="J3358" s="23" t="inlineStr">
        <is>
          <t>978-5-227-06629-9</t>
        </is>
      </c>
      <c r="K3358" s="23" t="inlineStr">
        <is>
          <t>84x108 1/32</t>
        </is>
      </c>
      <c r="L3358" s="23" t="inlineStr">
        <is>
          <t>тв</t>
        </is>
      </c>
      <c r="M3358" s="23" t="n">
        <v>480</v>
      </c>
      <c r="N3358" s="23" t="n">
        <v>2017</v>
      </c>
      <c r="O3358" s="23" t="n">
        <v>422</v>
      </c>
      <c r="P3358" s="23" t="n"/>
      <c r="Q3358" s="23" t="n"/>
      <c r="R3358" s="25" t="inlineStr">
        <is>
          <t>Прошло почти 100 лет со дня основания первых правительственных лечебно­оздоровительных учреждений в Железноводске, Ессентуках и Кисловодске, сменились режимы и правительства, но номенклатурные объекты, как египетские пирамиды, стоят вечно, незыблемо. Ко всему прочему остальному, тайны создания, а также пребывания в них на отдыхе партийной верхушки ВКП(б) и исполкома Коминтерна остаются до сей поры абсолютно закрытыми, несмотря на прошедшие годы.</t>
        </is>
      </c>
      <c r="S3358" s="26">
        <f>HYPERLINK("http://www.cnpol.ru/covers/17413.jpg","фото на сайте")</f>
        <v/>
      </c>
    </row>
    <row r="3359" ht="50.1" customHeight="1" s="3">
      <c r="A3359" s="23" t="n"/>
      <c r="B3359" s="24" t="inlineStr">
        <is>
          <t>18355</t>
        </is>
      </c>
      <c r="C3359" s="23" t="inlineStr">
        <is>
          <t>ОИ ВИ</t>
        </is>
      </c>
      <c r="D3359" s="23" t="inlineStr">
        <is>
          <t>Артамонов А.Е.</t>
        </is>
      </c>
      <c r="E3359" s="23" t="inlineStr">
        <is>
          <t>Госдачи Черноморского побережья Кавказа. Недавно рассекреченные документы и бумаги из личного архива</t>
        </is>
      </c>
      <c r="F3359" s="23" t="inlineStr">
        <is>
          <t>        </t>
        </is>
      </c>
      <c r="G3359" s="23" t="n">
        <v>704</v>
      </c>
      <c r="H3359" s="23" t="n">
        <v>10</v>
      </c>
      <c r="I3359" s="23" t="n">
        <v>8</v>
      </c>
      <c r="J3359" s="23" t="inlineStr">
        <is>
          <t>978-5-227-07871-1</t>
        </is>
      </c>
      <c r="K3359" s="23" t="inlineStr">
        <is>
          <t>84x108 1/32</t>
        </is>
      </c>
      <c r="L3359" s="23" t="inlineStr">
        <is>
          <t>тв</t>
        </is>
      </c>
      <c r="M3359" s="23" t="n">
        <v>608</v>
      </c>
      <c r="N3359" s="23" t="n">
        <v>2018</v>
      </c>
      <c r="O3359" s="23" t="n">
        <v>556</v>
      </c>
      <c r="P3359" s="23" t="n"/>
      <c r="Q3359" s="23" t="n"/>
      <c r="R3359" s="25" t="inlineStr">
        <is>
          <t>В своей новой книге А. Артамонов впервые публикует ранее абсолютно неизвестные широкой общественности документы из личного архива И.В. Сталина, а также фотографии правительственных резиденций, расположенных в Абхазской АССР. В отличие от кабинетных историков, автор не только объездил вдоль и поперек упоминаемые в книге загородные правительственные резиденции, но и многократно отдыхал в этих объектах.</t>
        </is>
      </c>
      <c r="S3359" s="26">
        <f>HYPERLINK("http://www.cnpol.ru/covers/18355.jpg","фото на сайте")</f>
        <v/>
      </c>
    </row>
    <row r="3360" ht="50.1" customHeight="1" s="3">
      <c r="A3360" s="23" t="inlineStr">
        <is>
          <t>Н</t>
        </is>
      </c>
      <c r="B3360" s="24" t="inlineStr">
        <is>
          <t>21702</t>
        </is>
      </c>
      <c r="C3360" s="23" t="inlineStr">
        <is>
          <t>ОИ ВИ</t>
        </is>
      </c>
      <c r="D3360" s="23" t="inlineStr">
        <is>
          <t>Эрман А.</t>
        </is>
      </c>
      <c r="E3360" s="23" t="inlineStr">
        <is>
          <t>Государство, армия и общество Древнего Египта</t>
        </is>
      </c>
      <c r="F3360" s="23" t="inlineStr">
        <is>
          <t>        </t>
        </is>
      </c>
      <c r="G3360" s="27" t="n">
        <v>1152</v>
      </c>
      <c r="H3360" s="23" t="n">
        <v>10</v>
      </c>
      <c r="I3360" s="23" t="n">
        <v>5</v>
      </c>
      <c r="J3360" s="23" t="inlineStr">
        <is>
          <t>978-5-9524-5958-8</t>
        </is>
      </c>
      <c r="K3360" s="23" t="inlineStr">
        <is>
          <t>84x108 1/32</t>
        </is>
      </c>
      <c r="L3360" s="23" t="inlineStr">
        <is>
          <t>тв</t>
        </is>
      </c>
      <c r="M3360" s="23" t="n">
        <v>394</v>
      </c>
      <c r="N3360" s="23" t="n">
        <v>2023</v>
      </c>
      <c r="O3360" s="23" t="n">
        <v>376</v>
      </c>
      <c r="P3360" s="23" t="n"/>
      <c r="Q3360" s="23" t="n"/>
      <c r="R3360" s="25" t="inlineStr">
        <is>
          <t>Историческое исследование известного немецкого ученого посвящено Египту — одному из самых древних государств мира. Используя все доступные современному человечеству источники достоверной информации — свитки папирусов из древних библиотек и архивов, надписи и рисунки из храмов и гробниц, предметы материальной культуры, обнаруженные в захоронениях мумий, древнееврейские книги и записки греческих путешественников, — автор выстраивает цепь исторических событий и дает правдивое представление о развитии египетской цивилизации трех периодов: Древнем, Среднем и Новом царствах.</t>
        </is>
      </c>
      <c r="S3360" s="26">
        <f>HYPERLINK("http://www.cnpol.ru/covers/21702.jpg","фото на сайте")</f>
        <v/>
      </c>
    </row>
    <row r="3361" ht="50.1" customHeight="1" s="3">
      <c r="A3361" s="23" t="inlineStr">
        <is>
          <t>Д</t>
        </is>
      </c>
      <c r="B3361" s="24" t="inlineStr">
        <is>
          <t>22143</t>
        </is>
      </c>
      <c r="C3361" s="23" t="inlineStr">
        <is>
          <t>ОИ ВИ</t>
        </is>
      </c>
      <c r="D3361" s="23" t="inlineStr">
        <is>
          <t>Томас Х.</t>
        </is>
      </c>
      <c r="E3361" s="23" t="inlineStr">
        <is>
          <t>Гражданская война в Испании. 1936—1939 гг.</t>
        </is>
      </c>
      <c r="F3361" s="23" t="inlineStr">
        <is>
          <t>        </t>
        </is>
      </c>
      <c r="G3361" s="27" t="n">
        <v>1486</v>
      </c>
      <c r="H3361" s="23" t="n">
        <v>10</v>
      </c>
      <c r="I3361" s="23" t="n">
        <v>10</v>
      </c>
      <c r="J3361" s="23" t="inlineStr">
        <is>
          <t>978-5-9524-6689-0</t>
        </is>
      </c>
      <c r="K3361" s="23" t="inlineStr">
        <is>
          <t>84x108 1/32</t>
        </is>
      </c>
      <c r="L3361" s="23" t="inlineStr">
        <is>
          <t>тв</t>
        </is>
      </c>
      <c r="M3361" s="23" t="n">
        <v>573</v>
      </c>
      <c r="N3361" s="23" t="n">
        <v>2026</v>
      </c>
      <c r="O3361" s="23" t="n">
        <v>600</v>
      </c>
      <c r="P3361" s="23" t="n"/>
      <c r="Q3361" s="23" t="n"/>
      <c r="R3361" s="25" t="inlineStr">
        <is>
          <t>В книге подробно освещены этапы Гражданской войны 1936—1939 гг. в Испании, завершившейся установлением фашистской диктатуры Франко. Автор на основе богатейшего документального материала дает всестороннюю объективную оценку событий сложной исторической эпохи, приводит интересные факты, малоизвестные современному читателю</t>
        </is>
      </c>
      <c r="S3361" s="26">
        <f>HYPERLINK("http://www.cnpol.ru/covers/22143.jpg","фото на сайте")</f>
        <v/>
      </c>
    </row>
    <row r="3362" ht="50.1" customHeight="1" s="3">
      <c r="A3362" s="23" t="n"/>
      <c r="B3362" s="24" t="inlineStr">
        <is>
          <t>15892</t>
        </is>
      </c>
      <c r="C3362" s="23" t="inlineStr">
        <is>
          <t>ОИ ВИ</t>
        </is>
      </c>
      <c r="D3362" s="23" t="inlineStr">
        <is>
          <t>Фоккенс М, Фоккенс Л</t>
        </is>
      </c>
      <c r="E3362" s="23" t="inlineStr">
        <is>
          <t>Дамы Амстердама. Жизнь в витрине: откровенные истории квартала "красных фонарей"</t>
        </is>
      </c>
      <c r="F3362" s="23" t="inlineStr">
        <is>
          <t>        </t>
        </is>
      </c>
      <c r="G3362" s="23" t="n">
        <v>615</v>
      </c>
      <c r="H3362" s="23" t="n">
        <v>10</v>
      </c>
      <c r="I3362" s="23" t="n">
        <v>22</v>
      </c>
      <c r="J3362" s="23" t="inlineStr">
        <is>
          <t>978-5-227-05846-1</t>
        </is>
      </c>
      <c r="K3362" s="23" t="inlineStr">
        <is>
          <t>84x108 1/32</t>
        </is>
      </c>
      <c r="L3362" s="23" t="inlineStr">
        <is>
          <t>тв</t>
        </is>
      </c>
      <c r="M3362" s="23" t="n">
        <v>254</v>
      </c>
      <c r="N3362" s="23" t="n">
        <v>2015</v>
      </c>
      <c r="O3362" s="23" t="n">
        <v>240</v>
      </c>
      <c r="P3362" s="23" t="n"/>
      <c r="Q3362" s="23" t="n"/>
      <c r="R3362" s="25" t="inlineStr">
        <is>
          <t>Сестры Фоккенс — Мартина и Луиза — представительницы древнейшей профессии, истинные звезды квартала «красных фонарей». Эти бесстрашные дамы без комплексов более полувека удовлетворяли не только естественные потребности мужчин, но и воплощали в жизнь самые причудливые и нелепые фантазии искушенных клиентов. Луиза вспоминает веселые и грустные эпизоды своей молодости, Мартина описывает рабочие будни современных жриц любви, рассказывает о трудностях и опасностях профессии, приводит забавные случаи «из практики». Мартина по сей день красуется в витрине и не знает отбоя от клиентов, ведь с ней можно не только снять напряжение, но и выпить превосходного кофе, и поговорить по душам. Увлекательные истории сестер Фоккенс — своеобразный путеводитель по злачным кварталам свободолюбивого Амстердама.</t>
        </is>
      </c>
      <c r="S3362" s="26">
        <f>HYPERLINK("http://www.cnpol.ru/covers/15892.jpg","фото на сайте")</f>
        <v/>
      </c>
    </row>
    <row r="3363" ht="50.1" customHeight="1" s="3">
      <c r="A3363" s="23" t="inlineStr">
        <is>
          <t>Н</t>
        </is>
      </c>
      <c r="B3363" s="24" t="inlineStr">
        <is>
          <t>21442</t>
        </is>
      </c>
      <c r="C3363" s="23" t="inlineStr">
        <is>
          <t>ОИ ВИ</t>
        </is>
      </c>
      <c r="D3363" s="23" t="inlineStr">
        <is>
          <t>Гоувей М.О</t>
        </is>
      </c>
      <c r="E3363" s="23" t="inlineStr">
        <is>
          <t>Девять жизней кошки. Мифы и легенды</t>
        </is>
      </c>
      <c r="F3363" s="23" t="inlineStr">
        <is>
          <t>        </t>
        </is>
      </c>
      <c r="G3363" s="23" t="n">
        <v>935</v>
      </c>
      <c r="H3363" s="23" t="n">
        <v>10</v>
      </c>
      <c r="I3363" s="23" t="n">
        <v>14</v>
      </c>
      <c r="J3363" s="23" t="inlineStr">
        <is>
          <t>978-5-9524-6297-7</t>
        </is>
      </c>
      <c r="K3363" s="23" t="inlineStr">
        <is>
          <t>84x108 1/32</t>
        </is>
      </c>
      <c r="L3363" s="23" t="inlineStr">
        <is>
          <t>тв</t>
        </is>
      </c>
      <c r="M3363" s="23" t="n">
        <v>271</v>
      </c>
      <c r="N3363" s="23" t="n">
        <v>2025</v>
      </c>
      <c r="O3363" s="23" t="n">
        <v>232</v>
      </c>
      <c r="P3363" s="23" t="n"/>
      <c r="Q3363" s="23" t="n"/>
      <c r="R3363" s="25" t="inlineStr">
        <is>
          <t>Из всех домашних животных кошка — самое загадочное. Это таинственное существо за многие века соседства с человеком успело побывать почитаемой миллионами людей богиней, таинственным призраком, демоном, помощницей ведьмы и счастливым талисманом, приносящим удачу в дом. В старинных легендах, преданиях и мифах перед вами предстанут все ипостаси кошки.</t>
        </is>
      </c>
      <c r="S3363" s="26">
        <f>HYPERLINK("http://www.cnpol.ru/covers/21442.jpg","фото на сайте")</f>
        <v/>
      </c>
    </row>
    <row r="3364" ht="50.1" customHeight="1" s="3">
      <c r="A3364" s="23" t="n"/>
      <c r="B3364" s="24" t="inlineStr">
        <is>
          <t>15044</t>
        </is>
      </c>
      <c r="C3364" s="23" t="inlineStr">
        <is>
          <t>ОИ ВИ</t>
        </is>
      </c>
      <c r="D3364" s="23" t="inlineStr">
        <is>
          <t>Адлер Э. Н.</t>
        </is>
      </c>
      <c r="E3364" s="23" t="inlineStr">
        <is>
          <t>Дети Вечного Жида, или Увлекательное путешествие по Средневековью. 19 рассказов странствующих еврейских ученых, купцов, послов и паломников</t>
        </is>
      </c>
      <c r="F3364" s="23" t="inlineStr">
        <is>
          <t>        </t>
        </is>
      </c>
      <c r="G3364" s="23" t="n">
        <v>574</v>
      </c>
      <c r="H3364" s="23" t="n">
        <v>10</v>
      </c>
      <c r="I3364" s="23" t="n">
        <v>10</v>
      </c>
      <c r="J3364" s="23" t="inlineStr">
        <is>
          <t>978-5-9524-5108-7</t>
        </is>
      </c>
      <c r="K3364" s="23" t="inlineStr">
        <is>
          <t>84x108 1/32</t>
        </is>
      </c>
      <c r="L3364" s="23" t="inlineStr">
        <is>
          <t>тв</t>
        </is>
      </c>
      <c r="M3364" s="23" t="n">
        <v>383</v>
      </c>
      <c r="N3364" s="23" t="n">
        <v>2014</v>
      </c>
      <c r="O3364" s="23" t="n">
        <v>306</v>
      </c>
      <c r="P3364" s="23" t="n"/>
      <c r="Q3364" s="23" t="n"/>
      <c r="R3364" s="25" t="inlineStr">
        <is>
          <t>Элкан Натан Адлер, почетный секретарь еврейского Общества по распространению религиозного знания, коллекционер еврейских рукописей, провел несколько лет в путешествиях по Азии и Африке, во время которых занимался собиранием еврейских манускриптов. В результате создал одну из самых обширных их коллекций. Настоящую книгу составили девятнадцать письменных свидетельств эпохи Средневековья, живо представляющих странствующего жида как реального персонажа великой драмы истории. Истории еврейских ученых, послов, купцов, паломников, богатые яркими историческими деталями и наблюдениями, знакомят читателя с жизнью Европы, Ближнего Востока и Северной Африки в Средние века.</t>
        </is>
      </c>
      <c r="S3364" s="26">
        <f>HYPERLINK("http://www.cnpol.ru/covers/15044.jpg","фото на сайте")</f>
        <v/>
      </c>
    </row>
    <row r="3365" ht="50.1" customHeight="1" s="3">
      <c r="A3365" s="23" t="n"/>
      <c r="B3365" s="24" t="inlineStr">
        <is>
          <t>20594</t>
        </is>
      </c>
      <c r="C3365" s="23" t="inlineStr">
        <is>
          <t>ОИ ВИ</t>
        </is>
      </c>
      <c r="D3365" s="23" t="inlineStr">
        <is>
          <t>Невинс А.</t>
        </is>
      </c>
      <c r="E3365" s="23" t="inlineStr">
        <is>
          <t>Джон Д. Рокфеллер. Промышленник и филантроп</t>
        </is>
      </c>
      <c r="F3365" s="23" t="inlineStr">
        <is>
          <t>        </t>
        </is>
      </c>
      <c r="G3365" s="23" t="n">
        <v>653</v>
      </c>
      <c r="H3365" s="23" t="n">
        <v>10</v>
      </c>
      <c r="I3365" s="23" t="n">
        <v>10</v>
      </c>
      <c r="J3365" s="23" t="inlineStr">
        <is>
          <t>978-5-9524-5932-8</t>
        </is>
      </c>
      <c r="K3365" s="23" t="inlineStr">
        <is>
          <t>84x108 1/32</t>
        </is>
      </c>
      <c r="L3365" s="23" t="inlineStr">
        <is>
          <t>тв</t>
        </is>
      </c>
      <c r="M3365" s="23" t="n">
        <v>447</v>
      </c>
      <c r="N3365" s="23" t="n">
        <v>2023</v>
      </c>
      <c r="O3365" s="23" t="n">
        <v>353</v>
      </c>
      <c r="P3365" s="23" t="n"/>
      <c r="Q3365" s="23" t="n"/>
      <c r="R3365" s="25" t="inlineStr">
        <is>
          <t>В предлагаемой книге автор Аллан Невинс анализирует многогранную, но в то же время в определенном смысле ограниченную личность Джона Д. Рокфеллера. Детские годы, неординарные родители, начало пути в бизнесе, где было многое: и подкуп чиновников, и разорение конкурентов, — словом, все, что характеризует первый этап дикого капитализма. Но при этом с первых дней своей деятельности Рокфеллер много и последовательно жертвовал как церковной общине, так и, впоследствии, фонду, который до сих пор существует и носит его имя. Эта книга раскрывает тайны того, как удалось одному человеку сконцентрировать в своей личности такое мощное влияние на судьбы всего человечества.</t>
        </is>
      </c>
      <c r="S3365" s="26">
        <f>HYPERLINK("http://www.cnpol.ru/covers/20594.jpg","фото на сайте")</f>
        <v/>
      </c>
    </row>
    <row r="3366" ht="50.1" customHeight="1" s="3">
      <c r="A3366" s="23" t="inlineStr">
        <is>
          <t>Н</t>
        </is>
      </c>
      <c r="B3366" s="24" t="inlineStr">
        <is>
          <t>21921</t>
        </is>
      </c>
      <c r="C3366" s="23" t="inlineStr">
        <is>
          <t>ОИ ВИ</t>
        </is>
      </c>
      <c r="D3366" s="23" t="inlineStr">
        <is>
          <t>Бивен Э. Р.</t>
        </is>
      </c>
      <c r="E3366" s="23" t="inlineStr">
        <is>
          <t>Династия Птолемеев. История Египта в эпоху эллинизма</t>
        </is>
      </c>
      <c r="F3366" s="23" t="inlineStr">
        <is>
          <t>        </t>
        </is>
      </c>
      <c r="G3366" s="27" t="n">
        <v>1238</v>
      </c>
      <c r="H3366" s="23" t="n">
        <v>10</v>
      </c>
      <c r="I3366" s="23" t="n">
        <v>6</v>
      </c>
      <c r="J3366" s="23" t="inlineStr">
        <is>
          <t>978-5-9524-6091-1</t>
        </is>
      </c>
      <c r="K3366" s="23" t="inlineStr">
        <is>
          <t>84x108 1/32</t>
        </is>
      </c>
      <c r="L3366" s="23" t="inlineStr">
        <is>
          <t>тв</t>
        </is>
      </c>
      <c r="M3366" s="23" t="n">
        <v>447</v>
      </c>
      <c r="N3366" s="23" t="n">
        <v>2026</v>
      </c>
      <c r="O3366" s="23" t="n">
        <v>490</v>
      </c>
      <c r="P3366" s="23" t="n"/>
      <c r="Q3366" s="23" t="n"/>
      <c r="R3366" s="25" t="inlineStr">
        <is>
          <t>Книга Эдвина Бивена посвящена истории эллинистического Египта от времени его завоевания Александром Македонским до превращения в римскую провинцию. Сопоставляя данные античных источников и более поздней научной литературы, созданной на основе новых открытий, авторитетный британский историк создает достоверную картину политического, административного и экономического устройства Египта. Автор отмечает его культурное и религиозное своеобразие, соблюдая хронологию, анализирует историю царствования династии Птолемеев, события и итоги их правления, характер и личные взаимоотношения, а также место Египта среди других государств и его участие в международной жизни.</t>
        </is>
      </c>
      <c r="S3366" s="26">
        <f>HYPERLINK("http://www.cnpol.ru/covers/21921.jpg","фото на сайте")</f>
        <v/>
      </c>
    </row>
    <row r="3367" ht="50.1" customHeight="1" s="3">
      <c r="A3367" s="23" t="n"/>
      <c r="B3367" s="24" t="inlineStr">
        <is>
          <t>19437</t>
        </is>
      </c>
      <c r="C3367" s="23" t="inlineStr">
        <is>
          <t>ОИ ВИ</t>
        </is>
      </c>
      <c r="D3367" s="23" t="inlineStr">
        <is>
          <t>О’Лири Д.Л.</t>
        </is>
      </c>
      <c r="E3367" s="23" t="inlineStr">
        <is>
          <t>Доисламская история арабов. Древние царства сынов Востока</t>
        </is>
      </c>
      <c r="F3367" s="23" t="inlineStr">
        <is>
          <t>        </t>
        </is>
      </c>
      <c r="G3367" s="23" t="n">
        <v>516</v>
      </c>
      <c r="H3367" s="23" t="n">
        <v>10</v>
      </c>
      <c r="I3367" s="23" t="n">
        <v>18</v>
      </c>
      <c r="J3367" s="23" t="inlineStr">
        <is>
          <t>978-5-9524-5458-3</t>
        </is>
      </c>
      <c r="K3367" s="23" t="inlineStr">
        <is>
          <t>84x108 1/32</t>
        </is>
      </c>
      <c r="L3367" s="23" t="inlineStr">
        <is>
          <t>тв</t>
        </is>
      </c>
      <c r="M3367" s="23" t="n">
        <v>224</v>
      </c>
      <c r="N3367" s="23" t="n">
        <v>2020</v>
      </c>
      <c r="O3367" s="23" t="n">
        <v>216</v>
      </c>
      <c r="P3367" s="23" t="n"/>
      <c r="Q3367" s="23" t="n"/>
      <c r="R3367" s="25" t="inlineStr">
        <is>
          <t>Цель настоящей книги британского востоковеда, специалиста по истории ислама и древних языков Де Лейси О’Лири — показать читателю, что доисламская Аравия, являясь центром арабского сообщества, не была страной, изолированной от культурного влияния Западной Азии и от политической и социальной жизни своих соседей на Ближнем Востоке. В книге подробно рассматриваются древние царства, существовавшие на территории Аравии, их общение между собой и с внешним миром, большое внимание уделяется описанию торговых путей и борьбе за них.</t>
        </is>
      </c>
      <c r="S3367" s="26">
        <f>HYPERLINK("http://www.cnpol.ru/covers/19437.jpg","фото на сайте")</f>
        <v/>
      </c>
    </row>
    <row r="3368" ht="50.1" customHeight="1" s="3">
      <c r="A3368" s="23" t="inlineStr">
        <is>
          <t>Д</t>
        </is>
      </c>
      <c r="B3368" s="24" t="inlineStr">
        <is>
          <t>22004</t>
        </is>
      </c>
      <c r="C3368" s="23" t="inlineStr">
        <is>
          <t>ОИ ВИ</t>
        </is>
      </c>
      <c r="D3368" s="23" t="inlineStr">
        <is>
          <t>Кларк Грэм</t>
        </is>
      </c>
      <c r="E3368" s="23" t="inlineStr">
        <is>
          <t>Доисторический мир</t>
        </is>
      </c>
      <c r="F3368" s="23" t="inlineStr">
        <is>
          <t>        </t>
        </is>
      </c>
      <c r="G3368" s="27" t="n">
        <v>1031</v>
      </c>
      <c r="H3368" s="23" t="n">
        <v>10</v>
      </c>
      <c r="I3368" s="23" t="n">
        <v>10</v>
      </c>
      <c r="J3368" s="23" t="inlineStr">
        <is>
          <t>978-5-9524-6624-1</t>
        </is>
      </c>
      <c r="K3368" s="23" t="inlineStr">
        <is>
          <t>84x108 1/32</t>
        </is>
      </c>
      <c r="L3368" s="23" t="inlineStr">
        <is>
          <t>тв</t>
        </is>
      </c>
      <c r="M3368" s="23" t="n">
        <v>319</v>
      </c>
      <c r="N3368" s="23" t="n">
        <v>2026</v>
      </c>
      <c r="O3368" s="23" t="n">
        <v>380</v>
      </c>
      <c r="P3368" s="23" t="n"/>
      <c r="Q3368" s="23" t="n"/>
      <c r="R3368" s="25" t="inlineStr">
        <is>
          <t>Профессор археологии Кембриджского университета и знаток предыстории человечества Грэм Кларк раскладывает перед читателем пеструю мозаику описаний первобытных культур во всех уголках земного шара, пытаясь объяснить, почему появились первые поселения людей, рассказывая, как они распространялись по миру, какие ступени развития прошли известные нам древнейшие цивилизации, чем отличались и чем были похожи их культуры. Кларк дает нам возможность представить, насколько мир в доисторические времена был не похож на сегодняшний, в каком климате жили наши предки, как добывали пропитание, в каких жилищах обитали, во что одевались, как их чувства воплощались в первые произведения искусства, как постепенно, накапливая знания об окружающем мире, они совершенствовали свои технологии.</t>
        </is>
      </c>
      <c r="S3368" s="26">
        <f>HYPERLINK("http://www.cnpol.ru/covers/22004.jpg","фото на сайте")</f>
        <v/>
      </c>
    </row>
    <row r="3369" ht="50.1" customHeight="1" s="3">
      <c r="A3369" s="23" t="inlineStr">
        <is>
          <t>Д</t>
        </is>
      </c>
      <c r="B3369" s="24" t="inlineStr">
        <is>
          <t>21935</t>
        </is>
      </c>
      <c r="C3369" s="23" t="inlineStr">
        <is>
          <t>ОИ ВИ</t>
        </is>
      </c>
      <c r="D3369" s="23" t="inlineStr">
        <is>
          <t>Фергюсон Н.</t>
        </is>
      </c>
      <c r="E3369" s="23" t="inlineStr">
        <is>
          <t>Дом Ротшильдов. Мировые банкиры. 1849—1999</t>
        </is>
      </c>
      <c r="F3369" s="23" t="inlineStr">
        <is>
          <t>        </t>
        </is>
      </c>
      <c r="G3369" s="27" t="n">
        <v>1903</v>
      </c>
      <c r="H3369" s="23" t="n">
        <v>10</v>
      </c>
      <c r="I3369" s="23" t="n">
        <v>5</v>
      </c>
      <c r="J3369" s="23" t="inlineStr">
        <is>
          <t>978-5-227-11221-7</t>
        </is>
      </c>
      <c r="K3369" s="23" t="inlineStr">
        <is>
          <t>60x90 1/16</t>
        </is>
      </c>
      <c r="L3369" s="23" t="inlineStr">
        <is>
          <t>тв</t>
        </is>
      </c>
      <c r="M3369" s="23" t="n">
        <v>735</v>
      </c>
      <c r="N3369" s="23" t="n">
        <v>2024</v>
      </c>
      <c r="O3369" s="23" t="n">
        <v>826</v>
      </c>
      <c r="P3369" s="23" t="n"/>
      <c r="Q3369" s="23" t="n"/>
      <c r="R3369" s="25" t="inlineStr">
        <is>
          <t>Полуторавековая история самого влиятельного и успешного банкирского клана Ротшильдов предстает перед читателем в обширном историческом труде оксфордского ученого Н. Фергюсона. Этот труд отличает безупречная эрудиция автора, который создал увлекательнейшую биографию династии на основе огромного фактического, ранее неизвестного архивного материала и развенчал при этом напластования бесчисленных легенд, анекдотов и мифов, связанных со знаменитым и по­своему исключительным семейством.</t>
        </is>
      </c>
      <c r="S3369" s="26">
        <f>HYPERLINK("http://www.cnpol.ru/covers/21935.jpg","фото на сайте")</f>
        <v/>
      </c>
    </row>
    <row r="3370" ht="50.1" customHeight="1" s="3">
      <c r="A3370" s="23" t="inlineStr">
        <is>
          <t>Д</t>
        </is>
      </c>
      <c r="B3370" s="24" t="inlineStr">
        <is>
          <t>21125</t>
        </is>
      </c>
      <c r="C3370" s="23" t="inlineStr">
        <is>
          <t>ОИ ВИ</t>
        </is>
      </c>
      <c r="D3370" s="23" t="inlineStr">
        <is>
          <t>Фергюсон Н.</t>
        </is>
      </c>
      <c r="E3370" s="23" t="inlineStr">
        <is>
          <t>Дом Ротшильдов. Пророки денег. 1798—1848</t>
        </is>
      </c>
      <c r="F3370" s="23" t="inlineStr">
        <is>
          <t>        </t>
        </is>
      </c>
      <c r="G3370" s="27" t="n">
        <v>1903</v>
      </c>
      <c r="H3370" s="23" t="n">
        <v>10</v>
      </c>
      <c r="I3370" s="23" t="n">
        <v>6</v>
      </c>
      <c r="J3370" s="23" t="inlineStr">
        <is>
          <t>978-5-227-10668-1</t>
        </is>
      </c>
      <c r="K3370" s="23" t="inlineStr">
        <is>
          <t>60x90 1/16</t>
        </is>
      </c>
      <c r="L3370" s="23" t="inlineStr">
        <is>
          <t>тв</t>
        </is>
      </c>
      <c r="M3370" s="23" t="n">
        <v>670</v>
      </c>
      <c r="N3370" s="23" t="n">
        <v>2024</v>
      </c>
      <c r="O3370" s="23" t="n">
        <v>767</v>
      </c>
      <c r="P3370" s="23" t="n"/>
      <c r="Q3370" s="23" t="n"/>
      <c r="R3370" s="25" t="inlineStr">
        <is>
          <t>Блестящий труд Н. Фергюсона основан на редких документах и десятках тысяч писем из семейного архива Ротшильдов. В этой увлекательнейшей семейной саге автор раскрывает тайны феноменального экономического успеха династии и ее доминирования в качестве мировой политической и финансовой силы на протяжении многих десятилетий с момента основания до середины XIX века.</t>
        </is>
      </c>
      <c r="S3370" s="26">
        <f>HYPERLINK("http://www.cnpol.ru/covers/21125.jpg","фото на сайте")</f>
        <v/>
      </c>
    </row>
    <row r="3371" ht="50.1" customHeight="1" s="3">
      <c r="A3371" s="23" t="n"/>
      <c r="B3371" s="24" t="inlineStr">
        <is>
          <t>17313</t>
        </is>
      </c>
      <c r="C3371" s="23" t="inlineStr">
        <is>
          <t>ОИ ВИ</t>
        </is>
      </c>
      <c r="D3371" s="23" t="inlineStr">
        <is>
          <t>Юречко О.</t>
        </is>
      </c>
      <c r="E3371" s="23" t="inlineStr">
        <is>
          <t>Донатас Банионис. Волны океана Соляриса</t>
        </is>
      </c>
      <c r="F3371" s="23" t="inlineStr">
        <is>
          <t>        </t>
        </is>
      </c>
      <c r="G3371" s="23" t="n">
        <v>593</v>
      </c>
      <c r="H3371" s="23" t="n">
        <v>10</v>
      </c>
      <c r="I3371" s="23" t="n">
        <v>16</v>
      </c>
      <c r="J3371" s="23" t="inlineStr">
        <is>
          <t>978-5-227-06627-5</t>
        </is>
      </c>
      <c r="K3371" s="23" t="inlineStr">
        <is>
          <t>82x100 1/32</t>
        </is>
      </c>
      <c r="L3371" s="23" t="inlineStr">
        <is>
          <t>тв</t>
        </is>
      </c>
      <c r="M3371" s="23" t="n">
        <v>224</v>
      </c>
      <c r="N3371" s="23" t="n">
        <v>2017</v>
      </c>
      <c r="O3371" s="23" t="n">
        <v>230</v>
      </c>
      <c r="P3371" s="23" t="n"/>
      <c r="Q3371" s="23" t="n"/>
      <c r="R3371" s="25" t="inlineStr">
        <is>
          <t>Последняя любовь известного актера Донатаса Баниониса — Ольга Юречко, простая учительница из Минска, жизнелюбивая, сильная духом личность. Она была поклонницей Донатаса с юности, всю жизнь мечтала о встрече со знаменитым актером, и только в зрелом возрасте ее мечте суждено было осуществиться. ­Совершая очередной велопробег по Европе, Ольга вспомнила о кумире своей юности и, повинуясь сиюминутному, судьбоносному порыву, заглянула в гости к актеру в Литву. За четыре года общения с Донатасом юношеская влюбленность Ольги, про­несенная ею через всю жизнь, переросла в настоящее чувство, основанное на глубокой духовной связи. Но не все было гладко в отношениях двух людей, встретившихся так поздно...</t>
        </is>
      </c>
      <c r="S3371" s="26">
        <f>HYPERLINK("http://www.cnpol.ru/covers/17313.jpg","фото на сайте")</f>
        <v/>
      </c>
    </row>
    <row r="3372" ht="50.1" customHeight="1" s="3">
      <c r="A3372" s="23" t="n"/>
      <c r="B3372" s="24" t="inlineStr">
        <is>
          <t>17743</t>
        </is>
      </c>
      <c r="C3372" s="23" t="inlineStr">
        <is>
          <t>ОИ ВИ</t>
        </is>
      </c>
      <c r="D3372" s="23" t="inlineStr">
        <is>
          <t>Эндрюс Э.</t>
        </is>
      </c>
      <c r="E3372" s="23" t="inlineStr">
        <is>
          <t>Древние греки. От возвышения Афин в эпоху греко-персидских войн</t>
        </is>
      </c>
      <c r="F3372" s="23" t="inlineStr">
        <is>
          <t>        </t>
        </is>
      </c>
      <c r="G3372" s="23" t="n">
        <v>633</v>
      </c>
      <c r="H3372" s="23" t="n">
        <v>10</v>
      </c>
      <c r="I3372" s="23" t="n">
        <v>8</v>
      </c>
      <c r="J3372" s="23" t="inlineStr">
        <is>
          <t>978-5-9524-5281-7</t>
        </is>
      </c>
      <c r="K3372" s="23" t="inlineStr">
        <is>
          <t>84x108 1/32</t>
        </is>
      </c>
      <c r="L3372" s="23" t="inlineStr">
        <is>
          <t>тв</t>
        </is>
      </c>
      <c r="M3372" s="23" t="n">
        <v>384</v>
      </c>
      <c r="N3372" s="23" t="n">
        <v>2017</v>
      </c>
      <c r="O3372" s="23" t="n">
        <v>332</v>
      </c>
      <c r="P3372" s="23" t="n"/>
      <c r="Q3372" s="23" t="n"/>
      <c r="R3372" s="25" t="inlineStr">
        <is>
          <t>Выдающийся исследователь в области истории Древнего мира, профессор _x000D_
Оксфордского университета Энтони Эндрюс представил яркую картину характерных_x000D_
особенностей древнегреческого общества в ар­хаическую и классическую эпохи, _x000D_
начиная с VIII и заканчивая IV веком до н. э. В оригинальной и доступной _x000D_
форме автор освещает историю раз­нообразных общественных институтов и _x000D_
социальных установок, многие из которых унаследовал современный западный _x000D_
мир. Уделяя огромное внимание археологическим данным, Эндрюс рассказывает о _x000D_
греческих племенных и родовых сообществах, видах землевладения, о _x000D_
колонизации и рабстве. Он также обращает внимание на последствия для _x000D_
общества деятельности судов, вскормивших ораторское искусство, смены _x000D_
полководцев, противостояния спартанской военной мощи и могущественного _x000D_
афинского флота, о влиянии, оказанном на социум древнегреческой религией._x000D_
Повествование сопровождают карты и фотоматериалы.</t>
        </is>
      </c>
      <c r="S3372" s="26">
        <f>HYPERLINK("http://www.cnpol.ru/covers/17743.jpg","фото на сайте")</f>
        <v/>
      </c>
    </row>
    <row r="3373" ht="50.1" customHeight="1" s="3">
      <c r="A3373" s="23" t="inlineStr">
        <is>
          <t>Д</t>
        </is>
      </c>
      <c r="B3373" s="24" t="inlineStr">
        <is>
          <t>21476</t>
        </is>
      </c>
      <c r="C3373" s="23" t="inlineStr">
        <is>
          <t>ОИ ВИ</t>
        </is>
      </c>
      <c r="D3373" s="23" t="inlineStr">
        <is>
          <t>Макговерн У.М.</t>
        </is>
      </c>
      <c r="E3373" s="23" t="inlineStr">
        <is>
          <t>Древние империи Центральной Азии. Скифы и гунны в мировой истории</t>
        </is>
      </c>
      <c r="F3373" s="23" t="inlineStr">
        <is>
          <t>        </t>
        </is>
      </c>
      <c r="G3373" s="27" t="n">
        <v>1359</v>
      </c>
      <c r="H3373" s="23" t="n">
        <v>10</v>
      </c>
      <c r="I3373" s="23" t="n">
        <v>5</v>
      </c>
      <c r="J3373" s="23" t="inlineStr">
        <is>
          <t>978-5-9524-6252-6</t>
        </is>
      </c>
      <c r="K3373" s="23" t="inlineStr">
        <is>
          <t>84x108 1/32</t>
        </is>
      </c>
      <c r="L3373" s="23" t="inlineStr">
        <is>
          <t>тв</t>
        </is>
      </c>
      <c r="M3373" s="23" t="n">
        <v>511</v>
      </c>
      <c r="N3373" s="23" t="n">
        <v>2025</v>
      </c>
      <c r="O3373" s="23" t="n">
        <v>380</v>
      </c>
      <c r="P3373" s="23" t="n"/>
      <c r="Q3373" s="23" t="n"/>
      <c r="R3373" s="25" t="inlineStr">
        <is>
          <t>Уильям Монтгомери Макговерн — американский исследователь, профессор Северо-Западного университета, штат Иллинойс, антрополог, журналист и путешественник — представляет свой труд по истории Центральной Азии, отмечая ее значение в развитии цивилизаций Древнего мира. Макговерн обращает внимание на важную роль, которую играла Центральная Азия в культурной истории человечества и как центр, где развивались многие традиции и виды искусства, и как посредник между всеми крупными культурными центрами Древнего мира. Автор отмечает историческую значимость нашествий, совершенных различными центральноазиатскими народами. С самых ранних времен эту территорию населяли как минимум две отдельные и различные в расовом и языковом отношении группы, которые именуют скифами и гуннами.</t>
        </is>
      </c>
      <c r="S3373" s="26">
        <f>HYPERLINK("http://www.cnpol.ru/covers/21476.jpg","фото на сайте")</f>
        <v/>
      </c>
    </row>
    <row r="3374" ht="50.1" customHeight="1" s="3">
      <c r="A3374" s="23" t="n"/>
      <c r="B3374" s="24" t="inlineStr">
        <is>
          <t>17744</t>
        </is>
      </c>
      <c r="C3374" s="23" t="inlineStr">
        <is>
          <t>ОИ ВИ</t>
        </is>
      </c>
      <c r="D3374" s="23" t="inlineStr">
        <is>
          <t>Старр Ч.</t>
        </is>
      </c>
      <c r="E3374" s="23" t="inlineStr">
        <is>
          <t>Древние цивилизации Евразии. Исторический путь от возникновения человечества до крушения Римской империи</t>
        </is>
      </c>
      <c r="F3374" s="23" t="inlineStr">
        <is>
          <t>        </t>
        </is>
      </c>
      <c r="G3374" s="23" t="n">
        <v>593</v>
      </c>
      <c r="H3374" s="23" t="n">
        <v>10</v>
      </c>
      <c r="I3374" s="23" t="n">
        <v>10</v>
      </c>
      <c r="J3374" s="23" t="inlineStr">
        <is>
          <t>978-5-9524-5277-0</t>
        </is>
      </c>
      <c r="K3374" s="23" t="inlineStr">
        <is>
          <t>84x108 1/32</t>
        </is>
      </c>
      <c r="L3374" s="23" t="inlineStr">
        <is>
          <t>тв</t>
        </is>
      </c>
      <c r="M3374" s="23" t="n">
        <v>320</v>
      </c>
      <c r="N3374" s="23" t="n">
        <v>2017</v>
      </c>
      <c r="O3374" s="23" t="n">
        <v>264</v>
      </c>
      <c r="P3374" s="23" t="n"/>
      <c r="Q3374" s="23" t="n"/>
      <c r="R3374" s="25" t="inlineStr">
        <is>
          <t>Известный американский ученый, специалист по античной истории, античному искусству и археологии, Честер Дж. Старр предлагает свою версию истории Древней Евразии от возникновения человечества до падения Римской империи. В своем исследовании автор не ограничивается историей Греции и Рима: учитывая ближневосточные истоки великолепных греческих достижений, он также уделяет внимание параллельному развитию Индии и Китая, сформировавшим основу для других моделей цивилизации в современном мире. Возникновение и развитие поселений, политика и экономика, религиозные верования, литература, искусство, ремесла, способы ведения хозяйства и войны - в живой, увлекательной и доступной форме Старр описывает все стороны жизни древних народов Евразийского континента._x000D_
Повествование иллюстрируют подробные карты и хронологические таблицы.</t>
        </is>
      </c>
      <c r="S3374" s="26">
        <f>HYPERLINK("http://www.cnpol.ru/covers/17744.jpg","фото на сайте")</f>
        <v/>
      </c>
    </row>
    <row r="3375" ht="50.1" customHeight="1" s="3">
      <c r="A3375" s="23" t="inlineStr">
        <is>
          <t>Н</t>
        </is>
      </c>
      <c r="B3375" s="24" t="inlineStr">
        <is>
          <t>21270</t>
        </is>
      </c>
      <c r="C3375" s="23" t="inlineStr">
        <is>
          <t>ОИ ВИ</t>
        </is>
      </c>
      <c r="D3375" s="23" t="inlineStr">
        <is>
          <t>Куланж Ф.де</t>
        </is>
      </c>
      <c r="E3375" s="23" t="inlineStr">
        <is>
          <t>Древний город. Греческие и римские города-государства с начала их истории: религиозные верования, семейный уклад, общественные институты и правители</t>
        </is>
      </c>
      <c r="F3375" s="23" t="inlineStr">
        <is>
          <t>        </t>
        </is>
      </c>
      <c r="G3375" s="27" t="n">
        <v>1143</v>
      </c>
      <c r="H3375" s="23" t="n">
        <v>10</v>
      </c>
      <c r="I3375" s="23" t="n">
        <v>10</v>
      </c>
      <c r="J3375" s="23" t="inlineStr">
        <is>
          <t>978-5-227-10750-3</t>
        </is>
      </c>
      <c r="K3375" s="23" t="inlineStr">
        <is>
          <t>84x108 1/32</t>
        </is>
      </c>
      <c r="L3375" s="23" t="inlineStr">
        <is>
          <t>тв</t>
        </is>
      </c>
      <c r="M3375" s="23" t="n">
        <v>415</v>
      </c>
      <c r="N3375" s="23" t="n">
        <v>2024</v>
      </c>
      <c r="O3375" s="23" t="n">
        <v>255</v>
      </c>
      <c r="P3375" s="23" t="n"/>
      <c r="Q3375" s="23" t="n"/>
      <c r="R3375" s="25" t="inlineStr">
        <is>
          <t>Книга известного французского историка Фюстеля де Куланжа посвящена истории древних цивилизаций. Свое исследование автор начинает с изучения религии древних. По его мнению, «верования о душе и смерти» лежат в основе всех обычаев, обрядов, самого образа жизни древнего человека. Анализируя взаимоотношения между религией, законами и общественными институтами, Куланж пришел к выводу, что все более или менее значительные изменения в общественной жизни Греции и Рима были обусловлены изменениями, происходящими в сфере религиозных верований.</t>
        </is>
      </c>
      <c r="S3375" s="26">
        <f>HYPERLINK("http://www.cnpol.ru/covers/21270.jpg","фото на сайте")</f>
        <v/>
      </c>
    </row>
    <row r="3376" ht="50.1" customHeight="1" s="3">
      <c r="A3376" s="23" t="inlineStr">
        <is>
          <t>Н</t>
        </is>
      </c>
      <c r="B3376" s="24" t="inlineStr">
        <is>
          <t>21729</t>
        </is>
      </c>
      <c r="C3376" s="23" t="inlineStr">
        <is>
          <t>ОИ ВИ</t>
        </is>
      </c>
      <c r="D3376" s="23" t="inlineStr">
        <is>
          <t>Мертц Б.</t>
        </is>
      </c>
      <c r="E3376" s="23" t="inlineStr">
        <is>
          <t>Древний Египет. Храмы, гробницы, иероглифы</t>
        </is>
      </c>
      <c r="F3376" s="23" t="inlineStr">
        <is>
          <t>        </t>
        </is>
      </c>
      <c r="G3376" s="27" t="n">
        <v>1112</v>
      </c>
      <c r="H3376" s="23" t="n">
        <v>10</v>
      </c>
      <c r="I3376" s="23" t="n">
        <v>5</v>
      </c>
      <c r="J3376" s="23" t="inlineStr">
        <is>
          <t>978-5-9524-6262-5</t>
        </is>
      </c>
      <c r="K3376" s="23" t="inlineStr">
        <is>
          <t>84x108 1/32</t>
        </is>
      </c>
      <c r="L3376" s="23" t="inlineStr">
        <is>
          <t>тв</t>
        </is>
      </c>
      <c r="M3376" s="23" t="n">
        <v>363</v>
      </c>
      <c r="N3376" s="23" t="n">
        <v>2025</v>
      </c>
      <c r="O3376" s="23" t="n">
        <v>499</v>
      </c>
      <c r="P3376" s="23" t="n"/>
      <c r="Q3376" s="23" t="n"/>
      <c r="R3376" s="25" t="inlineStr">
        <is>
          <t>В книге известного специалиста по истории Древнего Египта сопоставлены официальные археологические отчеты и околонаучные сплетни, легенды древней цивилизации и реальная жизнь людей далеких эпох, которая нередко оказывалась интереснее вымысла. Вы узнаете о жизни фараонов и цариц, художников и кудесников, чиновников и простолюдинов, а также получите представление о памятниках культуры, архитектуры и письменности. Яркий, живой язык повествования и прекрасные иллюстрации введут вас в мир древней цивилизации и дадут почувствовать загадочную атмосферу далекого прошлого.</t>
        </is>
      </c>
      <c r="S3376" s="26">
        <f>HYPERLINK("http://www.cnpol.ru/covers/21729.jpg","фото на сайте")</f>
        <v/>
      </c>
    </row>
    <row r="3377" ht="50.1" customHeight="1" s="3">
      <c r="A3377" s="23" t="inlineStr">
        <is>
          <t>Н</t>
        </is>
      </c>
      <c r="B3377" s="24" t="inlineStr">
        <is>
          <t>21770</t>
        </is>
      </c>
      <c r="C3377" s="23" t="inlineStr">
        <is>
          <t>ОИ ВИ</t>
        </is>
      </c>
      <c r="D3377" s="23" t="inlineStr">
        <is>
          <t>Хойс А.</t>
        </is>
      </c>
      <c r="E3377" s="23" t="inlineStr">
        <is>
          <t>Древняя и эллинистическая Греция. История от истоков до времен Александра Македонского</t>
        </is>
      </c>
      <c r="F3377" s="23" t="inlineStr">
        <is>
          <t>        </t>
        </is>
      </c>
      <c r="G3377" s="27" t="n">
        <v>1466</v>
      </c>
      <c r="H3377" s="23" t="n">
        <v>10</v>
      </c>
      <c r="I3377" s="23" t="n">
        <v>5</v>
      </c>
      <c r="J3377" s="23" t="inlineStr">
        <is>
          <t>978-5-9524-6314-1</t>
        </is>
      </c>
      <c r="K3377" s="23" t="inlineStr">
        <is>
          <t>84x108 1/32</t>
        </is>
      </c>
      <c r="L3377" s="23" t="inlineStr">
        <is>
          <t>тв</t>
        </is>
      </c>
      <c r="M3377" s="23" t="n">
        <v>400</v>
      </c>
      <c r="N3377" s="23" t="n">
        <v>2025</v>
      </c>
      <c r="O3377" s="23" t="n">
        <v>566</v>
      </c>
      <c r="P3377" s="23" t="n"/>
      <c r="Q3377" s="23" t="n"/>
      <c r="R3377" s="25" t="inlineStr">
        <is>
          <t>Исследование известного немецкого ученого доктора Альфреда Хойса, посвященное истории Древней Греции, начинается с возникновения и эволюции древних культур Эгейского района, островов Крит и Микен. В первом разделе книги Хойс представляет начало архаического периода истории Греции с Великого, или Эгейского, переселения народов с XII в. до н. э. до рубежа тысячелетий. Хойс описывает, как развивался греческий народ в области интеллектуального роста и социального существования в архаический период, как создавались греческая письменность и общее для всех греков небо богов, как строились отношения между местными культами. Второй раздел посвящен классической эпохе Греции – целому ряду войн и политическим событиям, в то же время это была эпоха высшего расцвета государственного устройства, достижений в области науки, архитектуры, искусства, поэзии. Свершения греков в этот период столь велики и значительны, что до сих пор вызывают у цивилизованных народов стремление брать их за образец.</t>
        </is>
      </c>
      <c r="S3377" s="26">
        <f>HYPERLINK("http://www.cnpol.ru/covers/21770.jpg","фото на сайте")</f>
        <v/>
      </c>
    </row>
    <row r="3378" ht="50.1" customHeight="1" s="3">
      <c r="A3378" s="23" t="inlineStr">
        <is>
          <t>Н</t>
        </is>
      </c>
      <c r="B3378" s="24" t="inlineStr">
        <is>
          <t>21869</t>
        </is>
      </c>
      <c r="C3378" s="23" t="inlineStr">
        <is>
          <t>ОИ ВИ</t>
        </is>
      </c>
      <c r="D3378" s="23" t="inlineStr">
        <is>
          <t>Хабас Б.</t>
        </is>
      </c>
      <c r="E3378" s="23" t="inlineStr">
        <is>
          <t>Еврейская иммиграция в Палестину</t>
        </is>
      </c>
      <c r="F3378" s="23" t="inlineStr">
        <is>
          <t>        </t>
        </is>
      </c>
      <c r="G3378" s="23" t="n">
        <v>633</v>
      </c>
      <c r="H3378" s="23" t="n">
        <v>10</v>
      </c>
      <c r="I3378" s="23" t="n">
        <v>12</v>
      </c>
      <c r="J3378" s="23" t="inlineStr">
        <is>
          <t>978-5-9524-6526-8</t>
        </is>
      </c>
      <c r="K3378" s="23" t="inlineStr">
        <is>
          <t>84x108 1/32</t>
        </is>
      </c>
      <c r="L3378" s="23" t="inlineStr">
        <is>
          <t>тв</t>
        </is>
      </c>
      <c r="M3378" s="23" t="n">
        <v>383</v>
      </c>
      <c r="N3378" s="23" t="n">
        <v>2025</v>
      </c>
      <c r="O3378" s="23" t="n">
        <v>311</v>
      </c>
      <c r="P3378" s="23" t="n"/>
      <c r="Q3378" s="23" t="n"/>
      <c r="R3378" s="25" t="inlineStr">
        <is>
          <t>Браха Хабас, автор многочисленных книг, в настоящем издании касается трагических событий истории еврейской Палестинской общины, предшествовавших обретению независимости и государственности Израиля. Посвятив свой рассказ людям, которые организовывали «нелегальную» иммиграцию в эту страну представителей преследуемой расы, писатель повествует о поистине героических подвигах и тяжестях этого драматического начинания. Сталкиваясь с крайними опасностями, неминуемым арестом, пытками и казнями, эти молодые посланники ишува пробирались в страны, находящиеся под властью нацистской Германии, и в другие земли, связываясь с теми, кто стремился попасть в Палестину, и организовывая «подпольную переправку» беженцев к берегам Родной Земли, подчас заканчивающуюся гибелью эмигрантов.</t>
        </is>
      </c>
      <c r="S3378" s="26">
        <f>HYPERLINK("http://www.cnpol.ru/covers/21869.jpg","фото на сайте")</f>
        <v/>
      </c>
    </row>
    <row r="3379" ht="50.1" customHeight="1" s="3">
      <c r="A3379" s="23" t="n"/>
      <c r="B3379" s="24" t="inlineStr">
        <is>
          <t>19216</t>
        </is>
      </c>
      <c r="C3379" s="23" t="inlineStr">
        <is>
          <t>ОИ ВИ</t>
        </is>
      </c>
      <c r="D3379" s="23" t="inlineStr">
        <is>
          <t>Барти Т.</t>
        </is>
      </c>
      <c r="E3379" s="23" t="inlineStr">
        <is>
          <t>Европа во времена Первой мировой войны. Дневники посла Великобритании во Франции. 1914-1918 годы</t>
        </is>
      </c>
      <c r="F3379" s="23" t="inlineStr">
        <is>
          <t>        </t>
        </is>
      </c>
      <c r="G3379" s="27" t="n">
        <v>1466</v>
      </c>
      <c r="H3379" s="23" t="n">
        <v>10</v>
      </c>
      <c r="I3379" s="23" t="n">
        <v>8</v>
      </c>
      <c r="J3379" s="23" t="inlineStr">
        <is>
          <t>978-5-9524-5428-6</t>
        </is>
      </c>
      <c r="K3379" s="23" t="inlineStr">
        <is>
          <t>84x108 1/32</t>
        </is>
      </c>
      <c r="L3379" s="23" t="inlineStr">
        <is>
          <t>тв</t>
        </is>
      </c>
      <c r="M3379" s="23" t="n">
        <v>575</v>
      </c>
      <c r="N3379" s="23" t="n">
        <v>2020</v>
      </c>
      <c r="O3379" s="23" t="n">
        <v>588</v>
      </c>
      <c r="P3379" s="23" t="n"/>
      <c r="Q3379" s="23" t="n"/>
      <c r="R3379" s="25" t="n"/>
      <c r="S3379" s="26">
        <f>HYPERLINK("http://www.cnpol.ru/covers/19216.jpg","фото на сайте")</f>
        <v/>
      </c>
    </row>
    <row r="3380" ht="50.1" customHeight="1" s="3">
      <c r="A3380" s="23" t="inlineStr">
        <is>
          <t>Н</t>
        </is>
      </c>
      <c r="B3380" s="24" t="inlineStr">
        <is>
          <t>21826</t>
        </is>
      </c>
      <c r="C3380" s="23" t="inlineStr">
        <is>
          <t>ОИ ВИ</t>
        </is>
      </c>
      <c r="D3380" s="23" t="inlineStr">
        <is>
          <t>Перри Д.</t>
        </is>
      </c>
      <c r="E3380" s="23" t="inlineStr">
        <is>
          <t>Европейские колониальные империи в XVIII веке. Борьба за господство и торговлю на разных континентах</t>
        </is>
      </c>
      <c r="F3380" s="23" t="inlineStr">
        <is>
          <t>        </t>
        </is>
      </c>
      <c r="G3380" s="23" t="n">
        <v>733</v>
      </c>
      <c r="H3380" s="23" t="n">
        <v>10</v>
      </c>
      <c r="I3380" s="23" t="n">
        <v>8</v>
      </c>
      <c r="J3380" s="23" t="inlineStr">
        <is>
          <t>978-5-9524-6426-1</t>
        </is>
      </c>
      <c r="K3380" s="23" t="inlineStr">
        <is>
          <t>84x108 1/32</t>
        </is>
      </c>
      <c r="L3380" s="23" t="inlineStr">
        <is>
          <t>тв</t>
        </is>
      </c>
      <c r="M3380" s="23" t="n">
        <v>478</v>
      </c>
      <c r="N3380" s="23" t="n">
        <v>2025</v>
      </c>
      <c r="O3380" s="23" t="n">
        <v>399</v>
      </c>
      <c r="P3380" s="23" t="n"/>
      <c r="Q3380" s="23" t="n"/>
      <c r="R3380" s="25" t="inlineStr">
        <is>
          <t>К середине XVIII века каждая европейская страна, граничащая с Атлантикой, и даже некоторые государства, которые не граничили с ней, приобрели земли за морем. И поскольку эти имперские державы устремились захватывать колонии, мир стал слишком тесен для этих соперничающих авантюристов. Автор книги рассматривает вторую фазу колонизации — борьбу за расширение вновь обретенных территорий, активизацию торговли. Повествует о военных и политических столкновениях между основными игроками движения колонизации, внутренних мятежах, изменении курса и трансформации отношения к подчиненным расам.</t>
        </is>
      </c>
      <c r="S3380" s="26">
        <f>HYPERLINK("http://www.cnpol.ru/covers/21826.jpg","фото на сайте")</f>
        <v/>
      </c>
    </row>
    <row r="3381" ht="50.1" customHeight="1" s="3">
      <c r="A3381" s="23" t="n"/>
      <c r="B3381" s="24" t="inlineStr">
        <is>
          <t>18402</t>
        </is>
      </c>
      <c r="C3381" s="23" t="inlineStr">
        <is>
          <t>ОИ ВИ</t>
        </is>
      </c>
      <c r="D3381" s="23" t="inlineStr">
        <is>
          <t>Элгуд П.</t>
        </is>
      </c>
      <c r="E3381" s="23" t="inlineStr">
        <is>
          <t>Египет под властью Птолемеев. Иноземцы, сменившие древних фараонов. 325–30 гг. до н.э.</t>
        </is>
      </c>
      <c r="F3381" s="23" t="inlineStr">
        <is>
          <t>        </t>
        </is>
      </c>
      <c r="G3381" s="23" t="n">
        <v>593</v>
      </c>
      <c r="H3381" s="23" t="n">
        <v>10</v>
      </c>
      <c r="I3381" s="23" t="n">
        <v>14</v>
      </c>
      <c r="J3381" s="23" t="inlineStr">
        <is>
          <t>978-5-9524-5336-4</t>
        </is>
      </c>
      <c r="K3381" s="23" t="inlineStr">
        <is>
          <t>84x108 1/32</t>
        </is>
      </c>
      <c r="L3381" s="23" t="inlineStr">
        <is>
          <t>тв</t>
        </is>
      </c>
      <c r="M3381" s="23" t="n">
        <v>320</v>
      </c>
      <c r="N3381" s="23" t="n">
        <v>2018</v>
      </c>
      <c r="O3381" s="23" t="n">
        <v>286</v>
      </c>
      <c r="P3381" s="23" t="n"/>
      <c r="Q3381" s="23" t="n"/>
      <c r="R3381" s="25" t="inlineStr">
        <is>
          <t>Египет — страна царей и богов — с незапамятных времен сохранял культурную самобытность, особый уклад и традиции престолонаследования. Покоренная Александром Великим, древняя земля фараонов оказалась под властью чужеземцев — в течение трех столетий Египтом правила могущественная династия Птолемеев. В этой книге вы найдете подробные портреты царей и цариц из македонского рода Лагидов — от Птолемея Сотера, самого мудрого и гуманного правителя эллинистического мира, до Клеопатры VII, коварной и обольстительной, после гибели которой Египет стал ­одной из провинций Римской империи. Автор живо и ярко описывает характер и личные взаимоотношения потомков Птолемея I, одни из которых способствовали процветанию государства, а другие, погрязнув в пороках, приближали неминуемый крах монархии.</t>
        </is>
      </c>
      <c r="S3381" s="26">
        <f>HYPERLINK("http://www.cnpol.ru/covers/18402.jpg","фото на сайте")</f>
        <v/>
      </c>
    </row>
    <row r="3382" ht="50.1" customHeight="1" s="3">
      <c r="A3382" s="23" t="inlineStr">
        <is>
          <t>Н</t>
        </is>
      </c>
      <c r="B3382" s="24" t="inlineStr">
        <is>
          <t>21603</t>
        </is>
      </c>
      <c r="C3382" s="23" t="inlineStr">
        <is>
          <t>ОИ ВИ</t>
        </is>
      </c>
      <c r="D3382" s="23" t="inlineStr">
        <is>
          <t>Мюррей А.</t>
        </is>
      </c>
      <c r="E3382" s="23" t="inlineStr">
        <is>
          <t>Египетские храмы. Жилища таинственных богов</t>
        </is>
      </c>
      <c r="F3382" s="23" t="inlineStr">
        <is>
          <t>        </t>
        </is>
      </c>
      <c r="G3382" s="23" t="n">
        <v>849</v>
      </c>
      <c r="H3382" s="23" t="n">
        <v>10</v>
      </c>
      <c r="I3382" s="23" t="n">
        <v>8</v>
      </c>
      <c r="J3382" s="23" t="inlineStr">
        <is>
          <t>978-5-9524-5971-7</t>
        </is>
      </c>
      <c r="K3382" s="23" t="inlineStr">
        <is>
          <t>84x108 1/32</t>
        </is>
      </c>
      <c r="L3382" s="23" t="inlineStr">
        <is>
          <t>тв</t>
        </is>
      </c>
      <c r="M3382" s="23" t="n">
        <v>223</v>
      </c>
      <c r="N3382" s="23" t="n">
        <v>2025</v>
      </c>
      <c r="O3382" s="23" t="n">
        <v>322</v>
      </c>
      <c r="P3382" s="23" t="n"/>
      <c r="Q3382" s="23" t="n"/>
      <c r="R3382" s="25" t="inlineStr">
        <is>
          <t>В книге рассказывается о храмах и храмовых комплексах самой древней и таинственной цивилизации мира — египетской. Автор, используя богатейшие данные археологических экспедиций, ярко и увлекательно повествует о характерных особенностях планировки, разнообразии материалов и стилистике украшений культовых сооружений Древнего, Среднего и Нового царств.</t>
        </is>
      </c>
      <c r="S3382" s="26">
        <f>HYPERLINK("http://www.cnpol.ru/covers/21603.jpg","фото на сайте")</f>
        <v/>
      </c>
    </row>
    <row r="3383" ht="50.1" customHeight="1" s="3">
      <c r="A3383" s="23" t="n"/>
      <c r="B3383" s="24" t="inlineStr">
        <is>
          <t>15930</t>
        </is>
      </c>
      <c r="C3383" s="23" t="inlineStr">
        <is>
          <t>ОИ ВИ</t>
        </is>
      </c>
      <c r="D3383" s="23" t="inlineStr">
        <is>
          <t>Дмитричев Т.Ф.</t>
        </is>
      </c>
      <c r="E3383" s="23" t="inlineStr">
        <is>
          <t>Есть ли жизнь за железным занавесом? Воспоминания советского дипломата</t>
        </is>
      </c>
      <c r="F3383" s="23" t="inlineStr">
        <is>
          <t>        </t>
        </is>
      </c>
      <c r="G3383" s="23" t="n">
        <v>822</v>
      </c>
      <c r="H3383" s="23" t="n">
        <v>10</v>
      </c>
      <c r="I3383" s="23" t="n">
        <v>14</v>
      </c>
      <c r="J3383" s="23" t="inlineStr">
        <is>
          <t>978-5-227-05728-0</t>
        </is>
      </c>
      <c r="K3383" s="23" t="inlineStr">
        <is>
          <t>84x108 1/32</t>
        </is>
      </c>
      <c r="L3383" s="23" t="inlineStr">
        <is>
          <t>тв</t>
        </is>
      </c>
      <c r="M3383" s="23" t="n">
        <v>416</v>
      </c>
      <c r="N3383" s="23" t="n">
        <v>2015</v>
      </c>
      <c r="O3383" s="23" t="n">
        <v>438</v>
      </c>
      <c r="P3383" s="23" t="n"/>
      <c r="Q3383" s="23" t="n"/>
      <c r="R3383" s="25" t="inlineStr">
        <is>
          <t>Автор книги в силу служебных и жизненных обстоятельств, как за десятилетия работы в качестве международного служащего высокого ранга секретариата ООН в Нью­Йорке, так и ответственного сотрудника Министерства иностранных дел СССР/России, оказался непосредственным свидетелем или участником целого ряда важных исторических, политических и дипломати­ческих событий периода ядерного противостояния. Предлагаемое вниманию читателей произведение представляет собой динамичный и захватывающий рассказ о неизвестных или малоизвестных, но всегда очень необычных, дра­матических или даже забавных, а в большинстве своем просто уникальных историях, неординарных встречах, беседах, работе, а также уникальных и порой даже остродетективных моментах с известными государственными деятелями зарубежных стран, таких как Ф. Кастро, Э. Че Гевара, Л. Корвалан и др., с ­канадским родственником Ленина, знаменитой писательницей Ниной ­Берберовой, белым офицером­миллионером и другими удивительными представителями русской белой эмиграции, с выдающимися деятелями искусства С. Образцовым, С. Дали, С. Герасимовым, Ю. Григоровичем, Т. Гайдаром, Р. Карменом.</t>
        </is>
      </c>
      <c r="S3383" s="26">
        <f>HYPERLINK("http://www.cnpol.ru/covers/15930.jpg","фото на сайте")</f>
        <v/>
      </c>
    </row>
    <row r="3384" ht="50.1" customHeight="1" s="3">
      <c r="A3384" s="23" t="n"/>
      <c r="B3384" s="24" t="inlineStr">
        <is>
          <t>17068</t>
        </is>
      </c>
      <c r="C3384" s="23" t="inlineStr">
        <is>
          <t>ОИ ВИ</t>
        </is>
      </c>
      <c r="D3384" s="23" t="inlineStr">
        <is>
          <t>Бэлсдон Джон Перси</t>
        </is>
      </c>
      <c r="E3384" s="23" t="inlineStr">
        <is>
          <t>Женщины Древнего Рима. Увлекательные истории жизни римлянок всех сословий</t>
        </is>
      </c>
      <c r="F3384" s="23" t="inlineStr">
        <is>
          <t>        </t>
        </is>
      </c>
      <c r="G3384" s="23" t="n">
        <v>554</v>
      </c>
      <c r="H3384" s="23" t="n">
        <v>10</v>
      </c>
      <c r="I3384" s="23" t="n">
        <v>12</v>
      </c>
      <c r="J3384" s="23" t="inlineStr">
        <is>
          <t>978-5-9524-5209-1</t>
        </is>
      </c>
      <c r="K3384" s="23" t="inlineStr">
        <is>
          <t>84x108 1/32</t>
        </is>
      </c>
      <c r="L3384" s="23" t="inlineStr">
        <is>
          <t>тв</t>
        </is>
      </c>
      <c r="M3384" s="23" t="n">
        <v>320</v>
      </c>
      <c r="N3384" s="23" t="n">
        <v>2016</v>
      </c>
      <c r="O3384" s="23" t="n">
        <v>296</v>
      </c>
      <c r="P3384" s="23" t="n"/>
      <c r="Q3384" s="23" t="n"/>
      <c r="R3384" s="25" t="inlineStr">
        <is>
          <t>Профессор Оксфордского университета, член Британской академии, автор ряда исследований по древней истории Джон Перси Бэлсдон посвятил свою книгу женщинам Древнего Рима. История римских женщин — это многовековая история представительниц всех слоев римского общества. Женщины никогда не управляли Римом, но это не означает, что они не участвовали в формировании имперской политики. От них, в особенности от исполнения ими жреческих обязанностей, например, зависело здоровье общества, а символом государственной морали были девственницы­весталки, которые гарантировали экономическое процветание страны. Автор охватил более чем тысячелетний период, описывая многих женщин, родившихся в римских провинциях и ставших частью римской истории.</t>
        </is>
      </c>
      <c r="S3384" s="26">
        <f>HYPERLINK("http://www.cnpol.ru/covers/17068.jpg","фото на сайте")</f>
        <v/>
      </c>
    </row>
    <row r="3385" ht="50.1" customHeight="1" s="3">
      <c r="A3385" s="23" t="n"/>
      <c r="B3385" s="24" t="inlineStr">
        <is>
          <t>15376</t>
        </is>
      </c>
      <c r="C3385" s="23" t="inlineStr">
        <is>
          <t>ОИ ВИ</t>
        </is>
      </c>
      <c r="D3385" s="23" t="inlineStr">
        <is>
          <t>Чернявский Г., Станчев М., Тортика М.</t>
        </is>
      </c>
      <c r="E3385" s="23" t="inlineStr">
        <is>
          <t>Жизненный путь Христиана Раковского</t>
        </is>
      </c>
      <c r="F3385" s="23" t="inlineStr">
        <is>
          <t>        </t>
        </is>
      </c>
      <c r="G3385" s="27" t="n">
        <v>1314</v>
      </c>
      <c r="H3385" s="23" t="n">
        <v>10</v>
      </c>
      <c r="I3385" s="23" t="n">
        <v>10</v>
      </c>
      <c r="J3385" s="23" t="inlineStr">
        <is>
          <t>978-5-227-05277-3</t>
        </is>
      </c>
      <c r="K3385" s="23" t="inlineStr">
        <is>
          <t>60x90 1/16</t>
        </is>
      </c>
      <c r="L3385" s="23" t="inlineStr">
        <is>
          <t>тв</t>
        </is>
      </c>
      <c r="M3385" s="23" t="n">
        <v>560</v>
      </c>
      <c r="N3385" s="23" t="n">
        <v>2014</v>
      </c>
      <c r="O3385" s="23" t="n">
        <v>648</v>
      </c>
      <c r="P3385" s="23" t="n"/>
      <c r="Q3385" s="23" t="n"/>
      <c r="R3385" s="25" t="inlineStr">
        <is>
          <t>На основании обширных архивных материалов ряда стран впервые подробно рассматривается жизненный путь одного из ярчайших лидеров международного социалистического движения болгарина Крыстю (Христиана) Раковского, видного центристского деятеля II Интернационала, ставшего после 1917 года большевиком. Авторы проследили роль Раковского как государственного руководителя Украины — председателя ее правительства, его мужественную борьбу за подлинное равноправие республики в составе СССР, против сталинского курса на унификацию, раскрыли попытки Раковского европеизировать СССР, когда он был полномочным представителем в Великобритании и Франции. Исследование выразительно повествует о противодействии Раковского установлению сталинского единовластия, пребывании в ссылке, возвращении в Москву на второстепенный пост и расправе с ним. Уделено внимание и личной жизни героя, его семейным и внесемейным связям, его родным и близким._x000D_
 Книга написана живым языком, с увлечением читается и представляет интерес не только для специалистов, но и для самой широкой аудитории. Текст дополнен уникальными фотоснимками.</t>
        </is>
      </c>
      <c r="S3385" s="26">
        <f>HYPERLINK("http://www.cnpol.ru/covers/15376.jpg","фото на сайте")</f>
        <v/>
      </c>
    </row>
    <row r="3386" ht="50.1" customHeight="1" s="3">
      <c r="A3386" s="23" t="inlineStr">
        <is>
          <t>Д</t>
        </is>
      </c>
      <c r="B3386" s="24" t="inlineStr">
        <is>
          <t>21012</t>
        </is>
      </c>
      <c r="C3386" s="23" t="inlineStr">
        <is>
          <t>ОИ ВИ</t>
        </is>
      </c>
      <c r="D3386" s="23" t="inlineStr">
        <is>
          <t>Светоний Г. Т.</t>
        </is>
      </c>
      <c r="E3386" s="23" t="inlineStr">
        <is>
          <t>Жизнь двенадцати цезарей</t>
        </is>
      </c>
      <c r="F3386" s="23" t="inlineStr">
        <is>
          <t>        </t>
        </is>
      </c>
      <c r="G3386" s="27" t="n">
        <v>1238</v>
      </c>
      <c r="H3386" s="23" t="n">
        <v>10</v>
      </c>
      <c r="I3386" s="23" t="n">
        <v>10</v>
      </c>
      <c r="J3386" s="23" t="inlineStr">
        <is>
          <t>978-5-227-10615-5</t>
        </is>
      </c>
      <c r="K3386" s="23" t="inlineStr">
        <is>
          <t>84x108 1/32</t>
        </is>
      </c>
      <c r="L3386" s="23" t="inlineStr">
        <is>
          <t>тв</t>
        </is>
      </c>
      <c r="M3386" s="23" t="n">
        <v>447</v>
      </c>
      <c r="N3386" s="23" t="n">
        <v>2024</v>
      </c>
      <c r="O3386" s="23" t="n">
        <v>480</v>
      </c>
      <c r="P3386" s="23" t="n"/>
      <c r="Q3386" s="23" t="n"/>
      <c r="R3386" s="25" t="inlineStr">
        <is>
          <t>Ценнейший литературный памятник, принадлежащий древнеримскому писателю Светонию (ок. 70 — ок. 140) — историку, ученому-энциклопедисту, личному секретарю императора Адриана. Собрание исторических биографий содержит сведения о происхождении двенадцати знаменитых правителей от Юлия Цезаря до Домициана. Рассказано о ранних годах их жизни, приходе к власти, общественной деятельности. Портреты цезарей щедро дополнены  событиями их частной жизни, описаниями свойств характера, особенностей внешности. Завершает каждую биографию рассказ об обстоятельствах смерти императора.</t>
        </is>
      </c>
      <c r="S3386" s="26">
        <f>HYPERLINK("http://www.cnpol.ru/covers/21012.jpg","фото на сайте")</f>
        <v/>
      </c>
    </row>
    <row r="3387" ht="50.1" customHeight="1" s="3">
      <c r="A3387" s="23" t="n"/>
      <c r="B3387" s="24" t="inlineStr">
        <is>
          <t>20636</t>
        </is>
      </c>
      <c r="C3387" s="23" t="inlineStr">
        <is>
          <t>ОИ ВИ</t>
        </is>
      </c>
      <c r="D3387" s="23" t="inlineStr">
        <is>
          <t>Хорти М.</t>
        </is>
      </c>
      <c r="E3387" s="23" t="inlineStr">
        <is>
          <t>Жизнь для Венгрии. Адмирал Миклош Хорти. Мемуары. 1920—1944</t>
        </is>
      </c>
      <c r="F3387" s="23" t="inlineStr">
        <is>
          <t>        </t>
        </is>
      </c>
      <c r="G3387" s="23" t="n">
        <v>593</v>
      </c>
      <c r="H3387" s="23" t="n">
        <v>10</v>
      </c>
      <c r="I3387" s="23" t="n">
        <v>10</v>
      </c>
      <c r="J3387" s="23" t="inlineStr">
        <is>
          <t>978-5-9524-5616-7</t>
        </is>
      </c>
      <c r="K3387" s="23" t="inlineStr">
        <is>
          <t>84x108 1/32</t>
        </is>
      </c>
      <c r="L3387" s="23" t="inlineStr">
        <is>
          <t>тв</t>
        </is>
      </c>
      <c r="M3387" s="23" t="n">
        <v>351</v>
      </c>
      <c r="N3387" s="23" t="n">
        <v>2023</v>
      </c>
      <c r="O3387" s="23" t="n">
        <v>310</v>
      </c>
      <c r="P3387" s="23" t="n"/>
      <c r="Q3387" s="23" t="n"/>
      <c r="R3387" s="25" t="inlineStr">
        <is>
          <t>Адмирал Николас Хорти занимал пост регента Королевства Венгрия с 1 марта 1920 года по 15 октября 1944 года. Исполняя обязанности регента, Хорти пытался проводить политику восстановления Венгрии в ее прежних, до крушения Австро-Венгерской империи границах. Эта политика, в конечном счете, привела его к союзу с Гитлером. В результате Венгрия вернула себе часть своих исконных земель в Сербии, Хорватии, Словакии и Румынии. Но за это надо было платить, и венгерские соединения отправились на Восточный фронт, где понесли значительные потери. Вскоре Хорти понял неотвратимость поражения войск стран «оси» и начал тайные переговоры с союзниками. Однако вывести страну из войны ему не удалось. Война закончилась для Венгрии только с приходом советских войск, которые Хорти считал врагами и оккупантами._x000D_
Мемуары Хорти — это рассказ регента королевства без короля и адмирала без флота о своей жизни и о том, как он вел борьбу за свою страну в господствовавшей в Европе атмосфере конфликтов, зависти и ненависти.</t>
        </is>
      </c>
      <c r="S3387" s="26">
        <f>HYPERLINK("http://www.cnpol.ru/covers/20636.jpg","фото на сайте")</f>
        <v/>
      </c>
    </row>
    <row r="3388" ht="50.1" customHeight="1" s="3">
      <c r="A3388" s="23" t="n"/>
      <c r="B3388" s="24" t="inlineStr">
        <is>
          <t>20842</t>
        </is>
      </c>
      <c r="C3388" s="23" t="inlineStr">
        <is>
          <t>ОИ ВИ</t>
        </is>
      </c>
      <c r="D3388" s="23" t="inlineStr">
        <is>
          <t>Мэйхью Г.</t>
        </is>
      </c>
      <c r="E3388" s="23" t="inlineStr">
        <is>
          <t>Жизнь лондонского дна в Викторианскую эпоху. Подлинные истории, рассказанные нищими, ворами и продаж</t>
        </is>
      </c>
      <c r="F3388" s="23" t="inlineStr">
        <is>
          <t>        </t>
        </is>
      </c>
      <c r="G3388" s="23" t="n">
        <v>672</v>
      </c>
      <c r="H3388" s="23" t="n">
        <v>10</v>
      </c>
      <c r="I3388" s="23" t="n">
        <v>8</v>
      </c>
      <c r="J3388" s="23" t="inlineStr">
        <is>
          <t>978-5-227-10291-1</t>
        </is>
      </c>
      <c r="K3388" s="23" t="inlineStr">
        <is>
          <t>84x108 1/32</t>
        </is>
      </c>
      <c r="L3388" s="23" t="inlineStr">
        <is>
          <t>тв</t>
        </is>
      </c>
      <c r="M3388" s="23" t="n">
        <v>575</v>
      </c>
      <c r="N3388" s="23" t="n">
        <v>2023</v>
      </c>
      <c r="O3388" s="23" t="n">
        <v>426</v>
      </c>
      <c r="P3388" s="23" t="n"/>
      <c r="Q3388" s="23" t="n"/>
      <c r="R3388" s="25" t="inlineStr">
        <is>
          <t>Перед вами первое и наиболее полное исследование преступного мира Лондона, предпринятое издателем и журналистом Генри Мэйхью в середине ХIХ века. Вместе со своими помощниками автор посетил трущобы Ист-Энда и собрал правдивые рассказы воров, продажных женщин и прочих изгоев общества, которые зарабатывают на жизнь бесчестным путем, наживаясь на пороке или доверчивости более обеспеченных жителей города. Эта книга — источник бесценных сведений для социологов, историков и криминалистов, в ней вы найдете поистине диккенсовские сюжеты и убедитесь, что за прошедшие полтора столетия нравы горожан и приемы мошенников изменились не так уж сильно.</t>
        </is>
      </c>
      <c r="S3388" s="26">
        <f>HYPERLINK("http://www.cnpol.ru/covers/20842.jpg","фото на сайте")</f>
        <v/>
      </c>
    </row>
    <row r="3389" ht="50.1" customHeight="1" s="3">
      <c r="A3389" s="23" t="n"/>
      <c r="B3389" s="24" t="inlineStr">
        <is>
          <t>20939</t>
        </is>
      </c>
      <c r="C3389" s="23" t="inlineStr">
        <is>
          <t>ОИ ВИ</t>
        </is>
      </c>
      <c r="D3389" s="23" t="inlineStr">
        <is>
          <t>Морисон С.Э.</t>
        </is>
      </c>
      <c r="E3389" s="23" t="inlineStr">
        <is>
          <t>Жизнь Христофора Колумба. Великие путешествия и открытия, которые изменили мир</t>
        </is>
      </c>
      <c r="F3389" s="23" t="inlineStr">
        <is>
          <t>        </t>
        </is>
      </c>
      <c r="G3389" s="23" t="n">
        <v>875</v>
      </c>
      <c r="H3389" s="23" t="n">
        <v>10</v>
      </c>
      <c r="I3389" s="23" t="n">
        <v>6</v>
      </c>
      <c r="J3389" s="23" t="inlineStr">
        <is>
          <t>978-5-9524-6053-9</t>
        </is>
      </c>
      <c r="K3389" s="23" t="inlineStr">
        <is>
          <t>60x90 1/16</t>
        </is>
      </c>
      <c r="L3389" s="23" t="inlineStr">
        <is>
          <t>тв</t>
        </is>
      </c>
      <c r="M3389" s="23" t="n">
        <v>623</v>
      </c>
      <c r="N3389" s="23" t="n">
        <v>2024</v>
      </c>
      <c r="O3389" s="23" t="n">
        <v>661</v>
      </c>
      <c r="P3389" s="23" t="n"/>
      <c r="Q3389" s="23" t="n"/>
      <c r="R3389" s="25" t="inlineStr">
        <is>
          <t>С.Э. Морисон, будучи не только профессиональным историком, но и военным моряком, стал первым биографом Колумба, который пересек Атлантический океан на парусном судне, повторив маршрут прославленного морехода. В книге, удостоенной Пулитцеровской премии за достоверное и увлекательное жизнеописание Христофора Колумба, большое внимание уделено четырем морским экспедициям, в ходе которых были открыты морской путь в Индию и Новый Свет, рассмотрены особенности кораблестроения и навигационного дела того времени и отражен дух эпохи Великих географических открытий в целом.</t>
        </is>
      </c>
      <c r="S3389" s="26">
        <f>HYPERLINK("http://www.cnpol.ru/covers/20939.jpg","фото на сайте")</f>
        <v/>
      </c>
    </row>
    <row r="3390" ht="50.1" customHeight="1" s="3">
      <c r="A3390" s="23" t="inlineStr">
        <is>
          <t>Н</t>
        </is>
      </c>
      <c r="B3390" s="24" t="inlineStr">
        <is>
          <t>21744</t>
        </is>
      </c>
      <c r="C3390" s="23" t="inlineStr">
        <is>
          <t>ОИ ВИ</t>
        </is>
      </c>
      <c r="D3390" s="23" t="inlineStr">
        <is>
          <t>Хемминг Д.</t>
        </is>
      </c>
      <c r="E3390" s="23" t="inlineStr">
        <is>
          <t>Завоевание империи инков. Трагическая и загадочная история покорения испанцами перуанских индейцев</t>
        </is>
      </c>
      <c r="F3390" s="23" t="inlineStr">
        <is>
          <t>        </t>
        </is>
      </c>
      <c r="G3390" s="27" t="n">
        <v>1356</v>
      </c>
      <c r="H3390" s="23" t="n">
        <v>10</v>
      </c>
      <c r="I3390" s="23" t="n">
        <v>5</v>
      </c>
      <c r="J3390" s="23" t="inlineStr">
        <is>
          <t>978-5-9524-6163-5</t>
        </is>
      </c>
      <c r="K3390" s="23" t="inlineStr">
        <is>
          <t>84x108 1/32</t>
        </is>
      </c>
      <c r="L3390" s="23" t="inlineStr">
        <is>
          <t>тв</t>
        </is>
      </c>
      <c r="M3390" s="23" t="n">
        <v>558</v>
      </c>
      <c r="N3390" s="23" t="n">
        <v>2025</v>
      </c>
      <c r="O3390" s="23" t="n">
        <v>456</v>
      </c>
      <c r="P3390" s="23" t="n"/>
      <c r="Q3390" s="23" t="n"/>
      <c r="R3390" s="25" t="inlineStr">
        <is>
          <t>В книге рассказывается о завоевании цветущей могущественной империи инков испанскими конкистадорами, о том, как развитая цивилизация постепенно превращалась в зависимую провинцию Испании и какими методами завоеватели насаждали свою деспотию. Автор рисует портреты целой плеяды Великих Инков, военачальников и полководцев-иноземцев, с именами которых связана трагическая и загадочная история перуанских индейцев, с искусством, религией, достижениями, традициями и обрядами великого народа.</t>
        </is>
      </c>
      <c r="S3390" s="26">
        <f>HYPERLINK("http://www.cnpol.ru/covers/21744.jpg","фото на сайте")</f>
        <v/>
      </c>
    </row>
    <row r="3391" ht="50.1" customHeight="1" s="3">
      <c r="A3391" s="23" t="inlineStr">
        <is>
          <t>Д</t>
        </is>
      </c>
      <c r="B3391" s="24" t="inlineStr">
        <is>
          <t>21939</t>
        </is>
      </c>
      <c r="C3391" s="23" t="inlineStr">
        <is>
          <t>ОИ ВИ</t>
        </is>
      </c>
      <c r="D3391" s="23" t="inlineStr">
        <is>
          <t>Рансимен С.</t>
        </is>
      </c>
      <c r="E3391" s="23" t="inlineStr">
        <is>
          <t>Завоевания крестоносцев. Королевство Балдуина I и франкский Восток</t>
        </is>
      </c>
      <c r="F3391" s="23" t="inlineStr">
        <is>
          <t>        </t>
        </is>
      </c>
      <c r="G3391" s="27" t="n">
        <v>1291</v>
      </c>
      <c r="H3391" s="23" t="n">
        <v>10</v>
      </c>
      <c r="I3391" s="23" t="n">
        <v>6</v>
      </c>
      <c r="J3391" s="23" t="inlineStr">
        <is>
          <t>978-5-9524-6585-5</t>
        </is>
      </c>
      <c r="K3391" s="23" t="inlineStr">
        <is>
          <t>84x108 1/32</t>
        </is>
      </c>
      <c r="L3391" s="23" t="inlineStr">
        <is>
          <t>тв</t>
        </is>
      </c>
      <c r="M3391" s="23" t="n">
        <v>479</v>
      </c>
      <c r="N3391" s="23" t="n">
        <v>2026</v>
      </c>
      <c r="O3391" s="23" t="n">
        <v>515</v>
      </c>
      <c r="P3391" s="23" t="n"/>
      <c r="Q3391" s="23" t="n"/>
      <c r="R3391" s="25" t="inlineStr">
        <is>
          <t>Британский ученый Стивен Рансимен в своем труде рассказывает историю франкских государств Утремера со времени восшествия на престол короля Балдуина I до завоевания Иерусалима Саладином. Автор сосредоточил внимание на Утремере, учитывая, что он существовал в период активной западноевропейской политики и религиозных войн. Именно многочисленным кампаниям и посвящена книга, так как вся жизнь в Утремере проходила на их фоне, и опасности, характерные для поля боя, нередко становились судьбоносными. Историк счел нужным включить в книгу главу, посвященную жизни во франкских государствах на Востоке, тому, как они были устроены.</t>
        </is>
      </c>
      <c r="S3391" s="26">
        <f>HYPERLINK("http://www.cnpol.ru/covers/21939.jpg","фото на сайте")</f>
        <v/>
      </c>
    </row>
    <row r="3392" ht="50.1" customHeight="1" s="3">
      <c r="A3392" s="23" t="n"/>
      <c r="B3392" s="24" t="inlineStr">
        <is>
          <t>20964</t>
        </is>
      </c>
      <c r="C3392" s="23" t="inlineStr">
        <is>
          <t>ОИ ВИ</t>
        </is>
      </c>
      <c r="D3392" s="23" t="inlineStr">
        <is>
          <t>Кроули Р.</t>
        </is>
      </c>
      <c r="E3392" s="23" t="inlineStr">
        <is>
          <t>Завоеватели. Как португальцы построили первую мировую империю</t>
        </is>
      </c>
      <c r="F3392" s="23" t="inlineStr">
        <is>
          <t>        </t>
        </is>
      </c>
      <c r="G3392" s="27" t="n">
        <v>1110</v>
      </c>
      <c r="H3392" s="23" t="n">
        <v>10</v>
      </c>
      <c r="I3392" s="23" t="n">
        <v>12</v>
      </c>
      <c r="J3392" s="23" t="inlineStr">
        <is>
          <t>978-5-227-10563-9</t>
        </is>
      </c>
      <c r="K3392" s="23" t="inlineStr">
        <is>
          <t>84x108 1/32</t>
        </is>
      </c>
      <c r="L3392" s="23" t="inlineStr">
        <is>
          <t>тв</t>
        </is>
      </c>
      <c r="M3392" s="23" t="n">
        <v>383</v>
      </c>
      <c r="N3392" s="23" t="n">
        <v>2024</v>
      </c>
      <c r="O3392" s="23" t="n">
        <v>412</v>
      </c>
      <c r="P3392" s="23" t="n"/>
      <c r="Q3392" s="23" t="n"/>
      <c r="R3392" s="25" t="inlineStr">
        <is>
          <t>Книга британского историка Роджера Кроули посвящена эпохе великих завоеваний и географических открытий XV—XVI вв. За неполные тридцать лет правления короля Мануэла I португальским мореходам удалось укротить ветра Атлантики, покорить океаны и утвердиться в неизведанных землях — Васко да Гама открыл морской путь в Индию, Педру Кабрал достиг берегов Южной Америки, Франсишку ди Алмейда стал первым вице-королем Индии, Афонсу ди Албукерк основал колонии в Персидском заливе и Малакке. Автор живо и ярко описывает жизнь и подвиги этих бесстрашных мореплавателей, кораблекрушения, морские сражения и другие суровые испытания, выпавшие на долю основателей первой мировой империи. Роджер Кроули также рассказывает о навигации и кораблестроении, торговле, дипломатии и развитии науки в период португальской экспансии, который ознаменовал начало Нового времени.</t>
        </is>
      </c>
      <c r="S3392" s="26">
        <f>HYPERLINK("http://www.cnpol.ru/covers/20964.jpg","фото на сайте")</f>
        <v/>
      </c>
    </row>
    <row r="3393" ht="50.1" customHeight="1" s="3">
      <c r="A3393" s="23" t="inlineStr">
        <is>
          <t>Н</t>
        </is>
      </c>
      <c r="B3393" s="24" t="inlineStr">
        <is>
          <t>22187</t>
        </is>
      </c>
      <c r="C3393" s="23" t="inlineStr">
        <is>
          <t>ОИ ВИ</t>
        </is>
      </c>
      <c r="D3393" s="23" t="inlineStr">
        <is>
          <t>Вел. князь Александр Михайлович</t>
        </is>
      </c>
      <c r="E3393" s="23" t="inlineStr">
        <is>
          <t>Закат королевской власти. История угасания монарших домов Европы в конце ХIХ — начале ХХ века</t>
        </is>
      </c>
      <c r="F3393" s="23" t="inlineStr">
        <is>
          <t>        </t>
        </is>
      </c>
      <c r="G3393" s="23" t="n">
        <v>782</v>
      </c>
      <c r="H3393" s="23" t="n">
        <v>10</v>
      </c>
      <c r="I3393" s="23" t="n">
        <v>10</v>
      </c>
      <c r="J3393" s="23" t="inlineStr">
        <is>
          <t>978-5-9524-6708-8</t>
        </is>
      </c>
      <c r="K3393" s="23" t="inlineStr">
        <is>
          <t>84x108 1/32</t>
        </is>
      </c>
      <c r="L3393" s="23" t="inlineStr">
        <is>
          <t>тв</t>
        </is>
      </c>
      <c r="M3393" s="23" t="n">
        <v>191</v>
      </c>
      <c r="N3393" s="23" t="n">
        <v>2026</v>
      </c>
      <c r="O3393" s="23" t="n">
        <v>285</v>
      </c>
      <c r="P3393" s="23" t="n"/>
      <c r="Q3393" s="23" t="n"/>
      <c r="R3393" s="25" t="inlineStr">
        <is>
          <t>Исторический труд великого князя Александра Михайловича Романова (1866–1933) проливает свет на судьбы королевских династий Европы в эпоху слома многовековых традиций и затяжного кризиса абсолютизма. Автор — внук императора Николая I, дядя и шурин Николая II, состоявший в родстве почти со всеми авгус¬тейшими семьями Старого Света, делится воспоминаниями о бывших и действующих монархах, не без иронии рассказывает о том, как правящие династии удерживают власть, а свергнутые — переживают изгнание. В центре повествования — история короля Альфонсо ХIII, вынужденного покинуть Испанию, но не отрекшегося от престола и не потерявшего веру в свое высокое предназначение.</t>
        </is>
      </c>
      <c r="S3393" s="26">
        <f>HYPERLINK("http://www.cnpol.ru/covers/22187.jpg","фото на сайте")</f>
        <v/>
      </c>
    </row>
    <row r="3394" ht="50.1" customHeight="1" s="3">
      <c r="A3394" s="23" t="n"/>
      <c r="B3394" s="24" t="inlineStr">
        <is>
          <t>16440</t>
        </is>
      </c>
      <c r="C3394" s="23" t="inlineStr">
        <is>
          <t>ОИ ВИ</t>
        </is>
      </c>
      <c r="D3394" s="23" t="inlineStr">
        <is>
          <t>Кольер Роберт</t>
        </is>
      </c>
      <c r="E3394" s="23" t="inlineStr">
        <is>
          <t>Закон притяжения. Как получить всё, чего вы хотите</t>
        </is>
      </c>
      <c r="F3394" s="23" t="inlineStr">
        <is>
          <t>        </t>
        </is>
      </c>
      <c r="G3394" s="23" t="n">
        <v>554</v>
      </c>
      <c r="H3394" s="23" t="n">
        <v>10</v>
      </c>
      <c r="I3394" s="23" t="n">
        <v>10</v>
      </c>
      <c r="J3394" s="23" t="inlineStr">
        <is>
          <t>978-5-9524-5169-8</t>
        </is>
      </c>
      <c r="K3394" s="23" t="inlineStr">
        <is>
          <t>84x108 1/32</t>
        </is>
      </c>
      <c r="L3394" s="23" t="inlineStr">
        <is>
          <t>тв</t>
        </is>
      </c>
      <c r="M3394" s="23" t="n">
        <v>320</v>
      </c>
      <c r="N3394" s="23" t="n">
        <v>2016</v>
      </c>
      <c r="O3394" s="23" t="n">
        <v>274</v>
      </c>
      <c r="P3394" s="23" t="n"/>
      <c r="Q3394" s="23" t="n"/>
      <c r="R3394" s="25" t="inlineStr">
        <is>
          <t>В книге американского писателя Роберта Кольера собраны тайные знания великих мудрецов Востока и мотивирующие истории восхождения на вершину успеха основателей финансовых и промышленных корпораций, а также великих открытий и творческих озарений. Вдохновленный Священным Писанием и «Йога­сутры» гуру Патанджали, Кольер выстроил собственную методику личностного роста и достижения целей, применимую в современных условиях жизни. Для активизации защитных сил, омоложения и очищения организма автор предлагает комплекс упражнений, включающий базовые асаны йоги, дыхательную гимнастику, а также рекомендации по здоровому питанию. Постигая секреты великих мастеров йоги с помощью этого уникального руководства, вы научитесь добиваться поставленной цели, освоите дхарану (искусство умственной концентрации), расширите возможности памяти и разума, обретете успех, богатство и долголетие.</t>
        </is>
      </c>
      <c r="S3394" s="26">
        <f>HYPERLINK("http://www.cnpol.ru/covers/16440.jpg","фото на сайте")</f>
        <v/>
      </c>
    </row>
    <row r="3395" ht="50.1" customHeight="1" s="3">
      <c r="A3395" s="23" t="n"/>
      <c r="B3395" s="24" t="inlineStr">
        <is>
          <t>21285</t>
        </is>
      </c>
      <c r="C3395" s="23" t="inlineStr">
        <is>
          <t>ОИ ВИ</t>
        </is>
      </c>
      <c r="D3395" s="23" t="inlineStr">
        <is>
          <t>Видок Э.-Ф.</t>
        </is>
      </c>
      <c r="E3395" s="23" t="inlineStr">
        <is>
          <t>Записки начальника Парижской тайной полиции</t>
        </is>
      </c>
      <c r="F3395" s="23" t="inlineStr">
        <is>
          <t>        </t>
        </is>
      </c>
      <c r="G3395" s="27" t="n">
        <v>1795</v>
      </c>
      <c r="H3395" s="23" t="n">
        <v>10</v>
      </c>
      <c r="I3395" s="23" t="n">
        <v>6</v>
      </c>
      <c r="J3395" s="23" t="inlineStr">
        <is>
          <t>978-5-227-10789-3</t>
        </is>
      </c>
      <c r="K3395" s="23" t="inlineStr">
        <is>
          <t>60x90 1/16</t>
        </is>
      </c>
      <c r="L3395" s="23" t="inlineStr">
        <is>
          <t>тв</t>
        </is>
      </c>
      <c r="M3395" s="23" t="n">
        <v>639</v>
      </c>
      <c r="N3395" s="23" t="n">
        <v>2024</v>
      </c>
      <c r="O3395" s="23" t="n">
        <v>673</v>
      </c>
      <c r="P3395" s="23" t="n"/>
      <c r="Q3395" s="23" t="n"/>
      <c r="R3395" s="25" t="inlineStr">
        <is>
          <t>Опасный преступник, впоследствии ставший сыщиком, одним из известнейших частных детективов, буквально «отцом уголовного розыска» во Франции, в истории своей жизни описывает, как попал в криминальный мир, за что был не раз посажен за решетку. Прозванный «королем риска», а потом «оборотнем», так как создал особую бригаду из уголовников, «частную полицию», работавшую по принципу «Только преступник может побороть преступление», Видок в мемуарах излагает массу сюжетов своих «подвигов» и подробности расследований, которые читаются как захватывающие детективы.</t>
        </is>
      </c>
      <c r="S3395" s="26">
        <f>HYPERLINK("http://www.cnpol.ru/covers/21285.jpg","фото на сайте")</f>
        <v/>
      </c>
    </row>
    <row r="3396" ht="50.1" customHeight="1" s="3">
      <c r="A3396" s="23" t="n"/>
      <c r="B3396" s="24" t="inlineStr">
        <is>
          <t>20454</t>
        </is>
      </c>
      <c r="C3396" s="23" t="inlineStr">
        <is>
          <t>ОИ ВИ</t>
        </is>
      </c>
      <c r="D3396" s="23" t="inlineStr">
        <is>
          <t>Кастильоне Б.</t>
        </is>
      </c>
      <c r="E3396" s="23" t="inlineStr">
        <is>
          <t>Записки придворного. Изысканные обычаи, интеллектуальные игры и развлечения итальянского общества эпохи Возрождения</t>
        </is>
      </c>
      <c r="F3396" s="23" t="inlineStr">
        <is>
          <t>        </t>
        </is>
      </c>
      <c r="G3396" s="27" t="n">
        <v>1063</v>
      </c>
      <c r="H3396" s="23" t="n">
        <v>10</v>
      </c>
      <c r="I3396" s="23" t="n">
        <v>10</v>
      </c>
      <c r="J3396" s="23" t="inlineStr">
        <is>
          <t>978-5-227-10189-1</t>
        </is>
      </c>
      <c r="K3396" s="23" t="inlineStr">
        <is>
          <t>84x108 1/32</t>
        </is>
      </c>
      <c r="L3396" s="23" t="inlineStr">
        <is>
          <t>тв</t>
        </is>
      </c>
      <c r="M3396" s="23" t="n">
        <v>351</v>
      </c>
      <c r="N3396" s="23" t="n">
        <v>2022</v>
      </c>
      <c r="O3396" s="23" t="n">
        <v>344</v>
      </c>
      <c r="P3396" s="23" t="n"/>
      <c r="Q3396" s="23" t="n"/>
      <c r="R3396" s="25" t="inlineStr">
        <is>
          <t>Граф Бальдассаре Кастильоне (1478—1529) — дипломат, философ, поэт, друг Рафаэля, современник Цезаря Борджиа и Лодовико Моро._x000D_
В книге, состоящей из диалогов и остроумных бесед героев, складывается яркая картина изысканных обычаев итальянского общества эпохи Возрождения. Веселые и одновременно глубокие беседы, которые ведут придворные, герои произведения, касаются всех сторон общественной и частной жизни людей XVI века.</t>
        </is>
      </c>
      <c r="S3396" s="26">
        <f>HYPERLINK("http://www.cnpol.ru/covers/20454.jpg","фото на сайте")</f>
        <v/>
      </c>
    </row>
    <row r="3397" ht="50.1" customHeight="1" s="3">
      <c r="A3397" s="23" t="n"/>
      <c r="B3397" s="24" t="inlineStr">
        <is>
          <t>18388</t>
        </is>
      </c>
      <c r="C3397" s="23" t="inlineStr">
        <is>
          <t>ОИ ВИ</t>
        </is>
      </c>
      <c r="D3397" s="23" t="inlineStr">
        <is>
          <t>Солоневич Т.В</t>
        </is>
      </c>
      <c r="E3397" s="23" t="inlineStr">
        <is>
          <t>Записки советской переводчицы. Три года в Берлинском торгпредстве. 1928—1930</t>
        </is>
      </c>
      <c r="F3397" s="23" t="inlineStr">
        <is>
          <t>        </t>
        </is>
      </c>
      <c r="G3397" s="23" t="n">
        <v>593</v>
      </c>
      <c r="H3397" s="23" t="n">
        <v>10</v>
      </c>
      <c r="I3397" s="23" t="n">
        <v>12</v>
      </c>
      <c r="J3397" s="23" t="inlineStr">
        <is>
          <t>978-5-227-07844-5</t>
        </is>
      </c>
      <c r="K3397" s="23" t="inlineStr">
        <is>
          <t>84x108 1/32</t>
        </is>
      </c>
      <c r="L3397" s="23" t="inlineStr">
        <is>
          <t>тв</t>
        </is>
      </c>
      <c r="M3397" s="23" t="n">
        <v>352</v>
      </c>
      <c r="N3397" s="23" t="n">
        <v>2018</v>
      </c>
      <c r="O3397" s="23" t="n">
        <v>292</v>
      </c>
      <c r="P3397" s="23" t="n"/>
      <c r="Q3397" s="23" t="n"/>
      <c r="R3397" s="25" t="inlineStr">
        <is>
          <t>Тамара Владимировна Солоневич работала в органах внешней торговли, и ее основным «орудием производства» было знание иностранных языков. Это давало ей надежду вырваться за границу более или менее легальным путем. В результате она смогла в 1928 году получить работу переводчицы и стенографистки в берлинском отделении советского торгпредства. В 1931 году Солоневич вернулась в СССР, позже ее откомандировали в Комиссию внешних сношений для сопровождения делегаций. Далее ее жизнь превратилась в триллер: фиктивный развод с мужем, замужество с иностранцем. Все это время она работала переводчицей с австралийской, американской, французской делегациями. 1932—1933 годы прошли в хлопотах о получении визы на выезд из Советского Союза. Ей это удалось, она уехала опять в Берлин. Тем временем муж и сын предприняли неудачную попытку бегства за границу. Наконец в 1934 году семья воссоединилась в Берлине. Летом 1936 года Солоневичи переехали в Софию и начали издавать газету «Голос России».</t>
        </is>
      </c>
      <c r="S3397" s="26">
        <f>HYPERLINK("http://www.cnpol.ru/covers/18388.jpg","фото на сайте")</f>
        <v/>
      </c>
    </row>
    <row r="3398" ht="50.1" customHeight="1" s="3">
      <c r="A3398" s="23" t="inlineStr">
        <is>
          <t>Д</t>
        </is>
      </c>
      <c r="B3398" s="24" t="inlineStr">
        <is>
          <t>21274</t>
        </is>
      </c>
      <c r="C3398" s="23" t="inlineStr">
        <is>
          <t>ОИ ВИ</t>
        </is>
      </c>
      <c r="D3398" s="23" t="inlineStr">
        <is>
          <t>Таннер В.</t>
        </is>
      </c>
      <c r="E3398" s="23" t="inlineStr">
        <is>
          <t>Зимняя война. Дипломатическое противостояние Советского Союза и Финляндии. 1939—1940</t>
        </is>
      </c>
      <c r="F3398" s="23" t="inlineStr">
        <is>
          <t>        </t>
        </is>
      </c>
      <c r="G3398" s="27" t="n">
        <v>1063</v>
      </c>
      <c r="H3398" s="23" t="n">
        <v>10</v>
      </c>
      <c r="I3398" s="23" t="n">
        <v>10</v>
      </c>
      <c r="J3398" s="23" t="inlineStr">
        <is>
          <t>978-5-9524-6203-8</t>
        </is>
      </c>
      <c r="K3398" s="23" t="inlineStr">
        <is>
          <t>84x108 1/32</t>
        </is>
      </c>
      <c r="L3398" s="23" t="inlineStr">
        <is>
          <t>тв</t>
        </is>
      </c>
      <c r="M3398" s="23" t="n">
        <v>352</v>
      </c>
      <c r="N3398" s="23" t="n">
        <v>2024</v>
      </c>
      <c r="O3398" s="23" t="n">
        <v>266</v>
      </c>
      <c r="P3398" s="23" t="n"/>
      <c r="Q3398" s="23" t="n"/>
      <c r="R3398" s="25" t="inlineStr">
        <is>
          <t>Книга Вяйнё Таннера освещает историю одной из «малых войн» прошлого века и рассказывает о причинах, приведших Финляндию и Советский Союз к противостоянию в 1939—1940 гг. Автор с неожиданной точки зрения показывает методы советской дипломатической процедуры и закулисье международной политической кухни, основываясь на знании исторических реалий и собственных записях того времени. Большая часть приведенного материала публикуется в российской печати впервые.</t>
        </is>
      </c>
      <c r="S3398" s="26">
        <f>HYPERLINK("http://www.cnpol.ru/covers/21274.jpg","фото на сайте")</f>
        <v/>
      </c>
    </row>
    <row r="3399" ht="50.1" customHeight="1" s="3">
      <c r="A3399" s="23" t="inlineStr">
        <is>
          <t>Н</t>
        </is>
      </c>
      <c r="B3399" s="24" t="inlineStr">
        <is>
          <t>21504</t>
        </is>
      </c>
      <c r="C3399" s="23" t="inlineStr">
        <is>
          <t>ОИ ВИ</t>
        </is>
      </c>
      <c r="D3399" s="23" t="inlineStr">
        <is>
          <t>Боксер Ч.Р.</t>
        </is>
      </c>
      <c r="E3399" s="23" t="inlineStr">
        <is>
          <t>Золотой век Бразилии. От заокеанской колонии к процветающему государству. 1695—1750</t>
        </is>
      </c>
      <c r="F3399" s="23" t="inlineStr">
        <is>
          <t>        </t>
        </is>
      </c>
      <c r="G3399" s="23" t="n">
        <v>593</v>
      </c>
      <c r="H3399" s="23" t="n">
        <v>10</v>
      </c>
      <c r="I3399" s="23" t="n">
        <v>12</v>
      </c>
      <c r="J3399" s="23" t="inlineStr">
        <is>
          <t>978-5-9524-6246-5</t>
        </is>
      </c>
      <c r="K3399" s="23" t="inlineStr">
        <is>
          <t>84x108 1/32</t>
        </is>
      </c>
      <c r="L3399" s="23" t="inlineStr">
        <is>
          <t>тв</t>
        </is>
      </c>
      <c r="M3399" s="23" t="n">
        <v>319</v>
      </c>
      <c r="N3399" s="23" t="n">
        <v>2025</v>
      </c>
      <c r="O3399" s="23" t="n">
        <v>299</v>
      </c>
      <c r="P3399" s="23" t="n"/>
      <c r="Q3399" s="23" t="n"/>
      <c r="R3399" s="25" t="inlineStr">
        <is>
          <t>Британский историк, профессор Йельского университета Чарлз Боксер в настоящем исследовании описывает развитие Бразилии, являвшейся в первой половине XVIII века огромной колонией Португалии, что в корне повлияло на рост экономики американского государства. Труд негров-рабов, завезенных из Западной Африки, позволил начать выращивать в колонии табак и производить сахар, развитие скотоводства и открытие и последующая эксплуатация месторождений золота и алмазов привели к значительным изменениям в жизни и занятиях населения Португальской Америки и слиянию трех рас — европейской, африканской и индейской. Все это послужило основой формирования независимости бразильцев как самостоятельного народа и позволило назвать то время золотым веком Бразилии.</t>
        </is>
      </c>
      <c r="S3399" s="26">
        <f>HYPERLINK("http://www.cnpol.ru/covers/21504.jpg","фото на сайте")</f>
        <v/>
      </c>
    </row>
    <row r="3400" ht="50.1" customHeight="1" s="3">
      <c r="A3400" s="23" t="inlineStr">
        <is>
          <t>Д</t>
        </is>
      </c>
      <c r="B3400" s="24" t="inlineStr">
        <is>
          <t>21672</t>
        </is>
      </c>
      <c r="C3400" s="23" t="inlineStr">
        <is>
          <t>ОИ ВИ</t>
        </is>
      </c>
      <c r="D3400" s="23" t="inlineStr">
        <is>
          <t>Лейн Ф.</t>
        </is>
      </c>
      <c r="E3400" s="23" t="inlineStr">
        <is>
          <t>Золотой век Венецианской республики. Завоеватели, торговцы и первые банкиры Европы</t>
        </is>
      </c>
      <c r="F3400" s="23" t="inlineStr">
        <is>
          <t>        </t>
        </is>
      </c>
      <c r="G3400" s="27" t="n">
        <v>1533</v>
      </c>
      <c r="H3400" s="23" t="n">
        <v>10</v>
      </c>
      <c r="I3400" s="23" t="n">
        <v>4</v>
      </c>
      <c r="J3400" s="23" t="inlineStr">
        <is>
          <t>978-5-9524-6428-5</t>
        </is>
      </c>
      <c r="K3400" s="23" t="inlineStr">
        <is>
          <t>84x108 1/32</t>
        </is>
      </c>
      <c r="L3400" s="23" t="inlineStr">
        <is>
          <t>тв</t>
        </is>
      </c>
      <c r="M3400" s="23" t="n">
        <v>607</v>
      </c>
      <c r="N3400" s="23" t="n">
        <v>2025</v>
      </c>
      <c r="O3400" s="23" t="n">
        <v>620</v>
      </c>
      <c r="P3400" s="23" t="n"/>
      <c r="Q3400" s="23" t="n"/>
      <c r="R3400" s="25" t="inlineStr">
        <is>
          <t>Фредерик Лейн — авторитетный американский исследователь — посвятил свой труд  истории Венеции с самого ее основания в VI веке. Это рассказ о взлете и падении одной из первых европейских империй — уникальной в своем роде благодаря особому местоположению. Мореплавание, морские войны, государственное устройство, торговля, финансы, экономика, религия, искусство и ремесла — вот неполный перечень тем, которые рассматривает автор, представляя читателю образ блистательной Венецианской республики. Его также инте¬ресует повседневная жизнь венецианцев, политика, демография и многое другое, включая мифы, легенды и народные предания, которые чрезвычайно оживляют сухой перечень фактов и дат.</t>
        </is>
      </c>
      <c r="S3400" s="26">
        <f>HYPERLINK("http://www.cnpol.ru/covers/21672.jpg","фото на сайте")</f>
        <v/>
      </c>
    </row>
    <row r="3401" ht="50.1" customHeight="1" s="3">
      <c r="A3401" s="23" t="n"/>
      <c r="B3401" s="24" t="inlineStr">
        <is>
          <t>20829</t>
        </is>
      </c>
      <c r="C3401" s="23" t="inlineStr">
        <is>
          <t>ОИ ВИ</t>
        </is>
      </c>
      <c r="D3401" s="23" t="inlineStr">
        <is>
          <t>Бёмер Г.</t>
        </is>
      </c>
      <c r="E3401" s="23" t="inlineStr">
        <is>
          <t>Иезуиты. История духовного ордена Римской церкви</t>
        </is>
      </c>
      <c r="F3401" s="23" t="inlineStr">
        <is>
          <t>        </t>
        </is>
      </c>
      <c r="G3401" s="27" t="n">
        <v>1009</v>
      </c>
      <c r="H3401" s="23" t="n">
        <v>10</v>
      </c>
      <c r="I3401" s="23" t="n">
        <v>12</v>
      </c>
      <c r="J3401" s="23" t="inlineStr">
        <is>
          <t>978-5-227-10478-6</t>
        </is>
      </c>
      <c r="K3401" s="23" t="inlineStr">
        <is>
          <t>84x108 1/32</t>
        </is>
      </c>
      <c r="L3401" s="23" t="inlineStr">
        <is>
          <t>тв</t>
        </is>
      </c>
      <c r="M3401" s="23" t="n">
        <v>319</v>
      </c>
      <c r="N3401" s="23" t="n">
        <v>2023</v>
      </c>
      <c r="O3401" s="23" t="n">
        <v>368</v>
      </c>
      <c r="P3401" s="23" t="n"/>
      <c r="Q3401" s="23" t="n"/>
      <c r="R3401" s="25" t="inlineStr">
        <is>
          <t>Объективное научное исследование почти пятивековой истории иезуитов (Общества Иисуса) — мужского духовного ордена Римской церкви, основанного в 1540 году и существующего до наших дней. Автор описывает возникновение ордена и отмечает все важнейшие этапы, через которые прошло его развитие. Рассказывает о том, как своего рода католическая армия спасения под верховным командованием папы распространяла свое учение в Европе, а затем, усилиями миссионеров, в Америке, Японии, Китае и Африке. Не упуская из вида все отрицательные стороны деятельности иезуитов, Генрих Бёмер в то же время старается защитить их от несправедливых нападок.</t>
        </is>
      </c>
      <c r="S3401" s="26">
        <f>HYPERLINK("http://www.cnpol.ru/covers/20829.jpg","фото на сайте")</f>
        <v/>
      </c>
    </row>
    <row r="3402" ht="50.1" customHeight="1" s="3">
      <c r="A3402" s="23" t="n"/>
      <c r="B3402" s="24" t="inlineStr">
        <is>
          <t>20569</t>
        </is>
      </c>
      <c r="C3402" s="23" t="inlineStr">
        <is>
          <t>ОИ ВИ</t>
        </is>
      </c>
      <c r="D3402" s="23" t="inlineStr">
        <is>
          <t>Александровский Б.Н.</t>
        </is>
      </c>
      <c r="E3402" s="23" t="inlineStr">
        <is>
          <t>Из пережитого в чужих краях. Воспоминания и думы бывшего эмигранта</t>
        </is>
      </c>
      <c r="F3402" s="23" t="inlineStr">
        <is>
          <t>        </t>
        </is>
      </c>
      <c r="G3402" s="27" t="n">
        <v>1184</v>
      </c>
      <c r="H3402" s="23" t="n">
        <v>10</v>
      </c>
      <c r="I3402" s="23" t="n">
        <v>5</v>
      </c>
      <c r="J3402" s="23" t="inlineStr">
        <is>
          <t>978-5-227-09873-3</t>
        </is>
      </c>
      <c r="K3402" s="23" t="inlineStr">
        <is>
          <t>84x108 1/32</t>
        </is>
      </c>
      <c r="L3402" s="23" t="inlineStr">
        <is>
          <t>тв</t>
        </is>
      </c>
      <c r="M3402" s="23" t="n">
        <v>415</v>
      </c>
      <c r="N3402" s="23" t="n">
        <v>2023</v>
      </c>
      <c r="O3402" s="23" t="n">
        <v>415</v>
      </c>
      <c r="P3402" s="23" t="n"/>
      <c r="Q3402" s="23" t="n"/>
      <c r="R3402" s="25" t="inlineStr">
        <is>
          <t>Воспоминания бывшего эмигранта, вернувшегося на родину в 1947 году._x000D_
Молодость Бориса Александровского пришлась на сложное время: Первая мировая война, революция, Гражданская война… Судьба делала крутые изгибы – выпускник медицинского факультета Московского университета вместо научной деятельности был призван на фронт Первой мировой войны, потом был призван в качестве военного врача в Красную армию, потом, попав в плен, перешел к белым… После разгрома Белой армии – «эвакуация» с врангелевскими частями морем в Турцию и обычный горький путь эмигранта, потерявшего родину… Турецкий Галлиполи, где встали лагерем военные беженцы, Болгария и, наконец, Франция… Долгие годы жизнь Александровского была связана с эмигрантским «русским Парижем», быту, нравам и общественной жизни которого посвящена значительная часть его воспоминаний. Александровский коснулся самых разных тем – деятельности русских политиков, православной церкви за рубежом, русских музыкантов, художников и писателей, оказавшихся в изгнании, русских учебных заведений, открытых в Париже и других городах «русского рассеяния»… На страницах книги можно встретить знаменитые имена – Рахманинова, Шаляпина, Бенуа, Коровина, Билибина, Куприна и многих других «властителей дум», занесенных судьбой в эмиграцию. Вторая мировая война стала переломным рубежом в настроении многих русских людей на чужбине. Александровский в 1947 году добился возвращения в Россию и считал это  настоящим счастьем.</t>
        </is>
      </c>
      <c r="S3402" s="26">
        <f>HYPERLINK("http://www.cnpol.ru/covers/20569.jpg","фото на сайте")</f>
        <v/>
      </c>
    </row>
    <row r="3403" ht="50.1" customHeight="1" s="3">
      <c r="A3403" s="23" t="n"/>
      <c r="B3403" s="24" t="inlineStr">
        <is>
          <t>18209</t>
        </is>
      </c>
      <c r="C3403" s="23" t="inlineStr">
        <is>
          <t>ОИ ВИ</t>
        </is>
      </c>
      <c r="D3403" s="23" t="inlineStr">
        <is>
          <t>Птифис Жан-Кристиан</t>
        </is>
      </c>
      <c r="E3403" s="23" t="inlineStr">
        <is>
          <t>Иисус. Жизнеописание Христа: от исторической реальности к священной тайне</t>
        </is>
      </c>
      <c r="F3403" s="23" t="inlineStr">
        <is>
          <t>        </t>
        </is>
      </c>
      <c r="G3403" s="23" t="n">
        <v>948</v>
      </c>
      <c r="H3403" s="23" t="n">
        <v>10</v>
      </c>
      <c r="I3403" s="23" t="n">
        <v>10</v>
      </c>
      <c r="J3403" s="23" t="inlineStr">
        <is>
          <t>978-5-227-08237-4</t>
        </is>
      </c>
      <c r="K3403" s="23" t="inlineStr">
        <is>
          <t>60x90 1/16</t>
        </is>
      </c>
      <c r="L3403" s="23" t="inlineStr">
        <is>
          <t>тв</t>
        </is>
      </c>
      <c r="M3403" s="23" t="n">
        <v>560</v>
      </c>
      <c r="N3403" s="23" t="n">
        <v>2018</v>
      </c>
      <c r="O3403" s="23" t="n">
        <v>572</v>
      </c>
      <c r="P3403" s="23" t="n"/>
      <c r="Q3403" s="23" t="n"/>
      <c r="R3403" s="25" t="inlineStr">
        <is>
          <t>Известный французский историк и биограф, лауреат многих литературных премий Жан­Кристиан Птифис предлагает интереснейшую книгу о земной жизни Иисуса и его смерти на кресте. Основываясь на новейших научных данных и авторитетных исторических материалах, автор доходчиво и увлекательно рассказывает о содержании проповедей Иисуса, о его странствиях и чудесах. Излагает евангельские рассказы о Воскресении, о явлении Христа ученикам уже после Воскресения, приводит малоизвестные факты, отвечает на острые и неожиданные вопросы. Эта книга увлечет любого читателя – верующего и неверующего, человека молодого и зрелого возраста, того, кто философски настроен, и того, кому интересна история Римской империи и христианства.</t>
        </is>
      </c>
      <c r="S3403" s="26">
        <f>HYPERLINK("http://www.cnpol.ru/covers/18209.jpg","фото на сайте")</f>
        <v/>
      </c>
    </row>
    <row r="3404" ht="50.1" customHeight="1" s="3">
      <c r="A3404" s="23" t="inlineStr">
        <is>
          <t>Н</t>
        </is>
      </c>
      <c r="B3404" s="24" t="inlineStr">
        <is>
          <t>21305</t>
        </is>
      </c>
      <c r="C3404" s="23" t="inlineStr">
        <is>
          <t>ОИ ВИ</t>
        </is>
      </c>
      <c r="D3404" s="23" t="inlineStr">
        <is>
          <t>Крофтс А.,Бьюкенен П.</t>
        </is>
      </c>
      <c r="E3404" s="23" t="inlineStr">
        <is>
          <t>Империи Дальнего Востока. История государств Восточной Азии в противостоянии Западу</t>
        </is>
      </c>
      <c r="F3404" s="23" t="inlineStr">
        <is>
          <t>        </t>
        </is>
      </c>
      <c r="G3404" s="27" t="n">
        <v>1438</v>
      </c>
      <c r="H3404" s="23" t="n">
        <v>10</v>
      </c>
      <c r="I3404" s="23" t="n">
        <v>8</v>
      </c>
      <c r="J3404" s="23" t="inlineStr">
        <is>
          <t>978-5-9524-6202-1</t>
        </is>
      </c>
      <c r="K3404" s="23" t="inlineStr">
        <is>
          <t>84x100 1/32</t>
        </is>
      </c>
      <c r="L3404" s="23" t="inlineStr">
        <is>
          <t>тв</t>
        </is>
      </c>
      <c r="M3404" s="23" t="n">
        <v>571</v>
      </c>
      <c r="N3404" s="23" t="n">
        <v>2024</v>
      </c>
      <c r="O3404" s="23" t="n">
        <v>788</v>
      </c>
      <c r="P3404" s="23" t="n"/>
      <c r="Q3404" s="23" t="n"/>
      <c r="R3404" s="25" t="inlineStr">
        <is>
          <t>Альфред Крофтс, доктор наук Денверского университета, специализирующийся на истории дальневосточных стран, и Перси Бьюкенен, директор Института по изучению Азии в Оклахомском университете, оба много лет прожившие в Китае и Японии, исследуют в своей работе развитие народов Восточной и Юго-Восточной Азии, их социальные и культурные связи, экономические и политические силы, сформировавшие историю государств этого региона от ее истоков до середины XX века.</t>
        </is>
      </c>
      <c r="S3404" s="26">
        <f>HYPERLINK("http://www.cnpol.ru/covers/21305.jpg","фото на сайте")</f>
        <v/>
      </c>
    </row>
    <row r="3405" ht="50.1" customHeight="1" s="3">
      <c r="A3405" s="23" t="inlineStr">
        <is>
          <t>Д</t>
        </is>
      </c>
      <c r="B3405" s="24" t="inlineStr">
        <is>
          <t>22227</t>
        </is>
      </c>
      <c r="C3405" s="23" t="inlineStr">
        <is>
          <t>ОИ ВИ</t>
        </is>
      </c>
      <c r="D3405" s="23" t="inlineStr">
        <is>
          <t>Льюис Марк Э.</t>
        </is>
      </c>
      <c r="E3405" s="23" t="inlineStr">
        <is>
          <t>Империи Древнего Китая. От Цинь к Хань: великая смена династий</t>
        </is>
      </c>
      <c r="F3405" s="23" t="inlineStr">
        <is>
          <t>        </t>
        </is>
      </c>
      <c r="G3405" s="27" t="n">
        <v>1184</v>
      </c>
      <c r="H3405" s="23" t="n">
        <v>10</v>
      </c>
      <c r="I3405" s="23" t="n">
        <v>10</v>
      </c>
      <c r="J3405" s="23" t="inlineStr">
        <is>
          <t>978-5-227-11354-2</t>
        </is>
      </c>
      <c r="K3405" s="23" t="inlineStr">
        <is>
          <t>84x108 1/32</t>
        </is>
      </c>
      <c r="L3405" s="23" t="inlineStr">
        <is>
          <t>тв</t>
        </is>
      </c>
      <c r="M3405" s="23" t="n">
        <v>415</v>
      </c>
      <c r="N3405" s="23" t="n">
        <v>2021</v>
      </c>
      <c r="O3405" s="23" t="n">
        <v>461</v>
      </c>
      <c r="P3405" s="23" t="n"/>
      <c r="Q3405" s="23" t="n"/>
      <c r="R3405" s="25" t="inlineStr">
        <is>
          <t>Книга американского исследователя Марка Эдварда Льюиса посвящена истории Древнего Китая в имперский период правления могущественных династий Цинь и Хань. Историк рассказывает об особой роли императора Цинь Шихуана, объединившего в 221 г. до н. э. разрозненные земли Китая, и формировании единой нации в эпоху расцвета династии Хань. Автор анализирует географические особенности Великой Китайской равнины, повлиявшие на характер этой восточной цивилизации, рассказывает о жизни в городах и сельской местности, исследует религиозные воззрения и искусство, а также систему правосудия и семейный уклад древних китайцев. Авторитетный китаист дает всестороннюю характеристику эпохи правления династий Цинь и Хань в истории Поднебесной, когда была заложена основа могущества современного Китая.</t>
        </is>
      </c>
      <c r="S3405" s="26">
        <f>HYPERLINK("http://www.cnpol.ru/covers/22227.jpg","фото на сайте")</f>
        <v/>
      </c>
    </row>
    <row r="3406" ht="50.1" customHeight="1" s="3">
      <c r="A3406" s="23" t="inlineStr">
        <is>
          <t>Н</t>
        </is>
      </c>
      <c r="B3406" s="24" t="inlineStr">
        <is>
          <t>21662</t>
        </is>
      </c>
      <c r="C3406" s="23" t="inlineStr">
        <is>
          <t>ОИ ВИ</t>
        </is>
      </c>
      <c r="D3406" s="23" t="inlineStr">
        <is>
          <t>Магаффи Дж.П., Джилман А.</t>
        </is>
      </c>
      <c r="E3406" s="23" t="inlineStr">
        <is>
          <t>Империя Александра Великого. Борьба за мировое господство македонского царя и его преемников диадохов</t>
        </is>
      </c>
      <c r="F3406" s="23" t="inlineStr">
        <is>
          <t>        </t>
        </is>
      </c>
      <c r="G3406" s="23" t="n">
        <v>936</v>
      </c>
      <c r="H3406" s="23" t="n">
        <v>10</v>
      </c>
      <c r="I3406" s="23" t="n">
        <v>14</v>
      </c>
      <c r="J3406" s="23" t="inlineStr">
        <is>
          <t>978-5-9524-6180-2</t>
        </is>
      </c>
      <c r="K3406" s="23" t="inlineStr">
        <is>
          <t>84x108 1/32</t>
        </is>
      </c>
      <c r="L3406" s="23" t="inlineStr">
        <is>
          <t>тв</t>
        </is>
      </c>
      <c r="M3406" s="23" t="n">
        <v>285</v>
      </c>
      <c r="N3406" s="23" t="n">
        <v>2025</v>
      </c>
      <c r="O3406" s="23" t="n">
        <v>265</v>
      </c>
      <c r="P3406" s="23" t="n"/>
      <c r="Q3406" s="23" t="n"/>
      <c r="R3406" s="25" t="inlineStr">
        <is>
          <t>Александр Великий не оставил после себя наследника столь же гениального, как и он сам, и потому созданная им империя, о завоеваниях которой написано достаточно, быстро распалась. В настоящей книге прослеживается процесс этого распада, судьба разных частей великой империи, история их взлетов и падений, обретение и потеря ими независимости. Показано, какое влияние оказал на Римскую империю эллинизм, духовное преображение всего мира.</t>
        </is>
      </c>
      <c r="S3406" s="26">
        <f>HYPERLINK("http://www.cnpol.ru/covers/21662.jpg","фото на сайте")</f>
        <v/>
      </c>
    </row>
    <row r="3407" ht="50.1" customHeight="1" s="3">
      <c r="A3407" s="23" t="inlineStr">
        <is>
          <t>Н</t>
        </is>
      </c>
      <c r="B3407" s="24" t="inlineStr">
        <is>
          <t>22277</t>
        </is>
      </c>
      <c r="C3407" s="23" t="inlineStr">
        <is>
          <t>ОИ ВИ</t>
        </is>
      </c>
      <c r="D3407" s="23" t="inlineStr">
        <is>
          <t>Пирен А.</t>
        </is>
      </c>
      <c r="E3407" s="23" t="inlineStr">
        <is>
          <t>Империя Карла Великого и Арабский халифат. Конец античного мира</t>
        </is>
      </c>
      <c r="F3407" s="23" t="inlineStr">
        <is>
          <t>        </t>
        </is>
      </c>
      <c r="G3407" s="27" t="n">
        <v>1057</v>
      </c>
      <c r="H3407" s="23" t="n">
        <v>10</v>
      </c>
      <c r="I3407" s="23" t="n">
        <v>10</v>
      </c>
      <c r="J3407" s="23" t="inlineStr">
        <is>
          <t>978-5-9524-6298-4</t>
        </is>
      </c>
      <c r="K3407" s="23" t="inlineStr">
        <is>
          <t>84x108 1/32</t>
        </is>
      </c>
      <c r="L3407" s="23" t="inlineStr">
        <is>
          <t>тв</t>
        </is>
      </c>
      <c r="M3407" s="23" t="n">
        <v>351</v>
      </c>
      <c r="N3407" s="23" t="n">
        <v>2026</v>
      </c>
      <c r="O3407" s="23" t="n">
        <v>397</v>
      </c>
      <c r="P3407" s="23" t="n"/>
      <c r="Q3407" s="23" t="n"/>
      <c r="R3407" s="25" t="inlineStr">
        <is>
          <t>Исследование известного бельгийского историка Анри Пирена посвящено истории Западной Европы, тому влиянию, которое оказало на ее развитие вторжение варваров в пределы Римской империи, а затем завоевание арабами-магометанами части этой территории и включение ее в состав Арабского халифата. Автор отмечает, что вторжение германцев не нарушило средиземноморского единства античного мира. Разрыв с античной традицией произошел позже, и причиной послужило быстрое распространение ислама в результате вторжения арабов-магометан. В итоге Восток был окончательно отделен от Запада и средиземноморскому единству пришел конец. Упадок, в который погрузилась монархия Меровингов, привел к появлению династии Каролингов. Папа римский вступил в союз с новой династией, порвав с императором Византии, уже неспособным обеспечить Риму реальную защиту. Главенствующую роль в Европе стали играть церковь и феодалы. Европа явила миру свой новый лик. Начинались Средние века.</t>
        </is>
      </c>
      <c r="S3407" s="26">
        <f>HYPERLINK("http://www.cnpol.ru/covers/22277.jpg","фото на сайте")</f>
        <v/>
      </c>
    </row>
    <row r="3408" ht="50.1" customHeight="1" s="3">
      <c r="A3408" s="23" t="n"/>
      <c r="B3408" s="24" t="inlineStr">
        <is>
          <t>20197</t>
        </is>
      </c>
      <c r="C3408" s="23" t="inlineStr">
        <is>
          <t>ОИ ВИ</t>
        </is>
      </c>
      <c r="D3408" s="23" t="inlineStr">
        <is>
          <t>Боден Л.</t>
        </is>
      </c>
      <c r="E3408" s="23" t="inlineStr">
        <is>
          <t>Инки. История легендарного народа доколумбовой Америки</t>
        </is>
      </c>
      <c r="F3408" s="23" t="inlineStr">
        <is>
          <t>        </t>
        </is>
      </c>
      <c r="G3408" s="23" t="n">
        <v>896</v>
      </c>
      <c r="H3408" s="23" t="n">
        <v>10</v>
      </c>
      <c r="I3408" s="23" t="n">
        <v>16</v>
      </c>
      <c r="J3408" s="23" t="inlineStr">
        <is>
          <t>978-5-9524-5687-7</t>
        </is>
      </c>
      <c r="K3408" s="23" t="inlineStr">
        <is>
          <t>84x108 1/32</t>
        </is>
      </c>
      <c r="L3408" s="23" t="inlineStr">
        <is>
          <t>тв</t>
        </is>
      </c>
      <c r="M3408" s="23" t="n">
        <v>255</v>
      </c>
      <c r="N3408" s="23" t="n">
        <v>2022</v>
      </c>
      <c r="O3408" s="23" t="n">
        <v>233</v>
      </c>
      <c r="P3408" s="23" t="n"/>
      <c r="Q3408" s="23" t="n"/>
      <c r="R3408" s="25" t="inlineStr">
        <is>
          <t>Книга рассказывает о жизни инков — народа, населявшего территорию современного Перу. Автор подробно описывает повседневную жизнь инков во всем ее многообразии, опираясь на данные археологических раскопок, богатый фольклор, легенды и записи испанских завоевателей.</t>
        </is>
      </c>
      <c r="S3408" s="26">
        <f>HYPERLINK("http://www.cnpol.ru/covers/20197.jpg","фото на сайте")</f>
        <v/>
      </c>
    </row>
    <row r="3409" ht="50.1" customHeight="1" s="3">
      <c r="A3409" s="23" t="inlineStr">
        <is>
          <t>Н</t>
        </is>
      </c>
      <c r="B3409" s="24" t="inlineStr">
        <is>
          <t>21794</t>
        </is>
      </c>
      <c r="C3409" s="23" t="inlineStr">
        <is>
          <t>ОИ ВИ</t>
        </is>
      </c>
      <c r="D3409" s="23" t="inlineStr">
        <is>
          <t>Грант М.</t>
        </is>
      </c>
      <c r="E3409" s="23" t="inlineStr">
        <is>
          <t>Ирод Великий. Двуликий правитель Иудеи</t>
        </is>
      </c>
      <c r="F3409" s="23" t="inlineStr">
        <is>
          <t>        </t>
        </is>
      </c>
      <c r="G3409" s="27" t="n">
        <v>1002</v>
      </c>
      <c r="H3409" s="23" t="n">
        <v>10</v>
      </c>
      <c r="I3409" s="23" t="n">
        <v>5</v>
      </c>
      <c r="J3409" s="23" t="inlineStr">
        <is>
          <t>978-5-9524-6447-6</t>
        </is>
      </c>
      <c r="K3409" s="23" t="inlineStr">
        <is>
          <t>84x108 1/32</t>
        </is>
      </c>
      <c r="L3409" s="23" t="inlineStr">
        <is>
          <t>тв</t>
        </is>
      </c>
      <c r="M3409" s="23" t="n">
        <v>304</v>
      </c>
      <c r="N3409" s="23" t="n">
        <v>2025</v>
      </c>
      <c r="O3409" s="23" t="n">
        <v>358</v>
      </c>
      <c r="P3409" s="23" t="n"/>
      <c r="Q3409" s="23" t="n"/>
      <c r="R3409" s="25" t="inlineStr">
        <is>
          <t>Автор предлагает оригинальную версию жизни Ирода Великого, развенчивает миф об избиении младенцев, используя свидетельства великих историков древности, и детально воссоздает реалии политики, экономики и тонкости верований народов, живших на территории Синайского полуострова.</t>
        </is>
      </c>
      <c r="S3409" s="26">
        <f>HYPERLINK("http://www.cnpol.ru/covers/21794.jpg","фото на сайте")</f>
        <v/>
      </c>
    </row>
    <row r="3410" ht="50.1" customHeight="1" s="3">
      <c r="A3410" s="23" t="n"/>
      <c r="B3410" s="24" t="inlineStr">
        <is>
          <t>20707</t>
        </is>
      </c>
      <c r="C3410" s="23" t="inlineStr">
        <is>
          <t>ОИ ВИ</t>
        </is>
      </c>
      <c r="D3410" s="23" t="inlineStr">
        <is>
          <t>Фиске Б.А.</t>
        </is>
      </c>
      <c r="E3410" s="23" t="inlineStr">
        <is>
          <t>Искусство ведения войны. Эволюция тактики и стратегии</t>
        </is>
      </c>
      <c r="F3410" s="23" t="inlineStr">
        <is>
          <t>        </t>
        </is>
      </c>
      <c r="G3410" s="27" t="n">
        <v>1084</v>
      </c>
      <c r="H3410" s="23" t="n">
        <v>10</v>
      </c>
      <c r="I3410" s="23" t="n">
        <v>10</v>
      </c>
      <c r="J3410" s="23" t="inlineStr">
        <is>
          <t>978-5-9524-5955-7</t>
        </is>
      </c>
      <c r="K3410" s="23" t="inlineStr">
        <is>
          <t>84x108 1/32</t>
        </is>
      </c>
      <c r="L3410" s="23" t="inlineStr">
        <is>
          <t>тв</t>
        </is>
      </c>
      <c r="M3410" s="23" t="n">
        <v>413</v>
      </c>
      <c r="N3410" s="23" t="n">
        <v>2023</v>
      </c>
      <c r="O3410" s="23" t="n">
        <v>415</v>
      </c>
      <c r="P3410" s="23" t="n"/>
      <c r="Q3410" s="23" t="n"/>
      <c r="R3410" s="25" t="inlineStr">
        <is>
          <t>Основоположник американской военно-морской стратегии XX века, «отец» морской авиации контр-адмирал Брэдли Аллен Фиске в свое время фактически возглавлял все оперативное планирование ВМС США, руководил модернизацией флота и его подготовкой к войне. В книге он рассматривает принципы военного искусства, особое внимание уделяя стратегии, объясняя цель своего труда как концентрацию необходимых знаний для правильного формирования и подготовки армии и флота, управления ими в целях защиты своей страны в неспокойные годы и обеспечения сохранения мирных позиций в любое другое время.</t>
        </is>
      </c>
      <c r="S3410" s="26">
        <f>HYPERLINK("http://www.cnpol.ru/covers/20707.jpg","фото на сайте")</f>
        <v/>
      </c>
    </row>
    <row r="3411" ht="50.1" customHeight="1" s="3">
      <c r="A3411" s="23" t="inlineStr">
        <is>
          <t>Н</t>
        </is>
      </c>
      <c r="B3411" s="24" t="inlineStr">
        <is>
          <t>21703</t>
        </is>
      </c>
      <c r="C3411" s="23" t="inlineStr">
        <is>
          <t>ОИ ВИ</t>
        </is>
      </c>
      <c r="D3411" s="23" t="inlineStr">
        <is>
          <t>Эрман А.</t>
        </is>
      </c>
      <c r="E3411" s="23" t="inlineStr">
        <is>
          <t>Искусство, религия и мифология Древнего Египта</t>
        </is>
      </c>
      <c r="F3411" s="23" t="inlineStr">
        <is>
          <t>        </t>
        </is>
      </c>
      <c r="G3411" s="27" t="n">
        <v>1152</v>
      </c>
      <c r="H3411" s="23" t="n">
        <v>10</v>
      </c>
      <c r="I3411" s="23" t="n">
        <v>5</v>
      </c>
      <c r="J3411" s="23" t="inlineStr">
        <is>
          <t>978-5-9524-5959-5</t>
        </is>
      </c>
      <c r="K3411" s="23" t="inlineStr">
        <is>
          <t>84x108 1/32</t>
        </is>
      </c>
      <c r="L3411" s="23" t="inlineStr">
        <is>
          <t>тв</t>
        </is>
      </c>
      <c r="M3411" s="23" t="n">
        <v>395</v>
      </c>
      <c r="N3411" s="23" t="n">
        <v>2023</v>
      </c>
      <c r="O3411" s="23" t="n">
        <v>355</v>
      </c>
      <c r="P3411" s="23" t="n"/>
      <c r="Q3411" s="23" t="n"/>
      <c r="R3411" s="25" t="inlineStr">
        <is>
          <t>Книга известного немецкого ученого посвящена бытовой и культурной жизни древнего египтянина. Основываясь на достоверных источниках информации (папирусы из древних архивов и библиотек, надписи и рисунки из храмов и гробниц, бесчисленные свидетельства материальной культуры), автор подробно и увлекательно описывает эволюцию одежды египтян, устройство и убранство их домов, формы проведения досуга и способы зарабатывания на жизнь, систему образования, семейные и религиозные отношения. Эрману удалось объективно оценить величие египетского искусства и отдать ему дань уважения, необыкновенно интересно рассказать о магии и эзотерической мифологии умных, практичных и очень энергичных египтян.</t>
        </is>
      </c>
      <c r="S3411" s="26">
        <f>HYPERLINK("http://www.cnpol.ru/covers/21703.jpg","фото на сайте")</f>
        <v/>
      </c>
    </row>
    <row r="3412" ht="50.1" customHeight="1" s="3">
      <c r="A3412" s="23" t="inlineStr">
        <is>
          <t>Н</t>
        </is>
      </c>
      <c r="B3412" s="24" t="inlineStr">
        <is>
          <t>21904</t>
        </is>
      </c>
      <c r="C3412" s="23" t="inlineStr">
        <is>
          <t>ОИ ВИ</t>
        </is>
      </c>
      <c r="D3412" s="23" t="inlineStr">
        <is>
          <t>Кобб П.</t>
        </is>
      </c>
      <c r="E3412" s="23" t="inlineStr">
        <is>
          <t>Исламская история крестовых походов. Религиозные войны в восприятии средневековых мусульман</t>
        </is>
      </c>
      <c r="F3412" s="23" t="inlineStr">
        <is>
          <t>        </t>
        </is>
      </c>
      <c r="G3412" s="27" t="n">
        <v>1110</v>
      </c>
      <c r="H3412" s="23" t="n">
        <v>10</v>
      </c>
      <c r="I3412" s="23" t="n">
        <v>8</v>
      </c>
      <c r="J3412" s="23" t="inlineStr">
        <is>
          <t>978-5-9524-6572-5</t>
        </is>
      </c>
      <c r="K3412" s="23" t="inlineStr">
        <is>
          <t>84x108 1/32</t>
        </is>
      </c>
      <c r="L3412" s="23" t="inlineStr">
        <is>
          <t>тв</t>
        </is>
      </c>
      <c r="M3412" s="23" t="n">
        <v>383</v>
      </c>
      <c r="N3412" s="23" t="n">
        <v>2026</v>
      </c>
      <c r="O3412" s="23" t="n">
        <v>423</v>
      </c>
      <c r="P3412" s="23" t="n"/>
      <c r="Q3412" s="23" t="n"/>
      <c r="R3412" s="25" t="inlineStr">
        <is>
          <t>В книге современного американского историка Пола Кобба отражены события эпохи крестовых походов в исламском контексте. Опираясь на подлинные арабские и сирийские источники, автор прослеживает этапы вторжения иноземцев в мусульманские владения на Сицилии и в Испании, затем на территории Сирии и Палестины. Рассказывая об утверждении франков на Святой земле, профессор Кобб описывает постепенное взаимопроникновение культур, а также исследует феномен почитания благородного сарацинского рыцаря Саладина как на Среднем Востоке, так и в Европе.</t>
        </is>
      </c>
      <c r="S3412" s="26">
        <f>HYPERLINK("http://www.cnpol.ru/covers/21904.jpg","фото на сайте")</f>
        <v/>
      </c>
    </row>
    <row r="3413" ht="50.1" customHeight="1" s="3">
      <c r="A3413" s="23" t="n"/>
      <c r="B3413" s="24" t="inlineStr">
        <is>
          <t>20854</t>
        </is>
      </c>
      <c r="C3413" s="23" t="inlineStr">
        <is>
          <t>ОИ ВИ</t>
        </is>
      </c>
      <c r="D3413" s="23" t="inlineStr">
        <is>
          <t>Эллиот Д.</t>
        </is>
      </c>
      <c r="E3413" s="23" t="inlineStr">
        <is>
          <t>Испанская империя. Мировое господство династии Габсбургов. 1500—1700 гг.</t>
        </is>
      </c>
      <c r="F3413" s="23" t="inlineStr">
        <is>
          <t>        </t>
        </is>
      </c>
      <c r="G3413" s="23" t="n">
        <v>615</v>
      </c>
      <c r="H3413" s="23" t="n">
        <v>10</v>
      </c>
      <c r="I3413" s="23" t="n">
        <v>10</v>
      </c>
      <c r="J3413" s="23" t="inlineStr">
        <is>
          <t>978-5-9524-5673-0</t>
        </is>
      </c>
      <c r="K3413" s="23" t="inlineStr">
        <is>
          <t>84x108 1/32</t>
        </is>
      </c>
      <c r="L3413" s="23" t="inlineStr">
        <is>
          <t>тв</t>
        </is>
      </c>
      <c r="M3413" s="23" t="n">
        <v>415</v>
      </c>
      <c r="N3413" s="23" t="n">
        <v>2023</v>
      </c>
      <c r="O3413" s="23" t="n">
        <v>336</v>
      </c>
      <c r="P3413" s="23" t="n"/>
      <c r="Q3413" s="23" t="n"/>
      <c r="R3413" s="25" t="inlineStr">
        <is>
          <t>В эпоху правления Габсбургов Испания превратилась в процветающее и наиболее влиятельное государство Европы, создавшее превосходно отлаженную систему управления обширными заморскими территориями и подарившее миру богатую самобытную культуру. Профессор Джон Эллиот в своем исследовании прослеживает имперский период истории Испании от ее возвышения при Фердинанде и Изабелле до правления Филиппа V и отвечает на вопрос, что пробудило могучую энергию, породившую новую цивилизацию в Новом Свете и изменившую соотношение сил в Европе.</t>
        </is>
      </c>
      <c r="S3413" s="26">
        <f>HYPERLINK("http://www.cnpol.ru/covers/20854.jpg","фото на сайте")</f>
        <v/>
      </c>
    </row>
    <row r="3414" ht="50.1" customHeight="1" s="3">
      <c r="A3414" s="23" t="inlineStr">
        <is>
          <t>Д</t>
        </is>
      </c>
      <c r="B3414" s="24" t="inlineStr">
        <is>
          <t>21937</t>
        </is>
      </c>
      <c r="C3414" s="23" t="inlineStr">
        <is>
          <t>ОИ ВИ</t>
        </is>
      </c>
      <c r="D3414" s="23" t="inlineStr">
        <is>
          <t>Перри Д.</t>
        </is>
      </c>
      <c r="E3414" s="23" t="inlineStr">
        <is>
          <t>Испанские завоевания в Центральной и Южной Америке. XV—XIX века. Крупнейшая колониальная империя от возникновения до распада</t>
        </is>
      </c>
      <c r="F3414" s="23" t="inlineStr">
        <is>
          <t>        </t>
        </is>
      </c>
      <c r="G3414" s="27" t="n">
        <v>1238</v>
      </c>
      <c r="H3414" s="23" t="n">
        <v>10</v>
      </c>
      <c r="I3414" s="23" t="n">
        <v>6</v>
      </c>
      <c r="J3414" s="23" t="inlineStr">
        <is>
          <t>978-5-9524-6582-4</t>
        </is>
      </c>
      <c r="K3414" s="23" t="inlineStr">
        <is>
          <t>84x108 1/32</t>
        </is>
      </c>
      <c r="L3414" s="23" t="inlineStr">
        <is>
          <t>тв</t>
        </is>
      </c>
      <c r="M3414" s="23" t="n">
        <v>447</v>
      </c>
      <c r="N3414" s="23" t="n">
        <v>2026</v>
      </c>
      <c r="O3414" s="23" t="n">
        <v>475</v>
      </c>
      <c r="P3414" s="23" t="n"/>
      <c r="Q3414" s="23" t="n"/>
      <c r="R3414" s="25" t="inlineStr">
        <is>
          <t>Испанская империя была первой во времена великих, рожденных морем империй Западной Европы, огромной и самой богатой, что сделало ее объектом зависти, страха и ненависти._x000D_
Выдающийся британский историк Джон Перри представляет историю возникновения, расцвета и распада великой морской Испанской державы. Автор прослеживает влияние Испании на Центральную и Южную Америки, представляя широкую яркую картину процесса ее завоевания, экономических и социальных последствий для Испании, усилий, которые она предпринимала, чтобы сохранить контроль над этими обширными владениями. Перри исследует сложное управление империей, ее экономику, социальную структуру, роль Церкви, разрушение культур завоеванных территорий и влияние их упадка на испанскую политику. Классическое исследование Джона Перри создало основу для нового аспекта в изучении истории бывших испанских колоний Латинской Америки и преобразования доколумбовой культуры в колониальные государства.</t>
        </is>
      </c>
      <c r="S3414" s="26">
        <f>HYPERLINK("http://www.cnpol.ru/covers/21937.jpg","фото на сайте")</f>
        <v/>
      </c>
    </row>
    <row r="3415" ht="50.1" customHeight="1" s="3">
      <c r="A3415" s="23" t="n"/>
      <c r="B3415" s="24" t="inlineStr">
        <is>
          <t>20944</t>
        </is>
      </c>
      <c r="C3415" s="23" t="inlineStr">
        <is>
          <t>ОИ ВИ</t>
        </is>
      </c>
      <c r="D3415" s="23" t="inlineStr">
        <is>
          <t>Мортон А.Л.</t>
        </is>
      </c>
      <c r="E3415" s="23" t="inlineStr">
        <is>
          <t>История Англии. Как народ создал великую державу</t>
        </is>
      </c>
      <c r="F3415" s="23" t="inlineStr">
        <is>
          <t>        </t>
        </is>
      </c>
      <c r="G3415" s="23" t="n">
        <v>704</v>
      </c>
      <c r="H3415" s="23" t="n">
        <v>10</v>
      </c>
      <c r="I3415" s="23" t="n">
        <v>8</v>
      </c>
      <c r="J3415" s="23" t="inlineStr">
        <is>
          <t>978-5-9524-5691-4</t>
        </is>
      </c>
      <c r="K3415" s="23" t="inlineStr">
        <is>
          <t>84x108 1/32</t>
        </is>
      </c>
      <c r="L3415" s="23" t="inlineStr">
        <is>
          <t>тв</t>
        </is>
      </c>
      <c r="M3415" s="23" t="n">
        <v>543</v>
      </c>
      <c r="N3415" s="23" t="n">
        <v>2024</v>
      </c>
      <c r="O3415" s="23" t="n">
        <v>404</v>
      </c>
      <c r="P3415" s="23" t="n"/>
      <c r="Q3415" s="23" t="n"/>
      <c r="R3415" s="25" t="inlineStr">
        <is>
          <t>Англия — первая в мире промышленно развитая держава, родина блестящих изобретателей, первооткрывателей и банкиров, давшая миру образцовое законодательство и основы конституции. Британский прогрессивный историк Артур Л. Мортон рассматривает пути развития Туманного Альбиона со времен кельтов и иберийцев и Нормандского завоевания до Первой мировой войны с точки зрения исторического материализма и убедительно доказывает, что во все времена именно народ вершил политику, формировал социальные институты и являлся главной движущей силой прогресса. В этой книге изложена поистине народная история Англии — живая, актуальная и поучительная.</t>
        </is>
      </c>
      <c r="S3415" s="26">
        <f>HYPERLINK("http://www.cnpol.ru/covers/20944.jpg","фото на сайте")</f>
        <v/>
      </c>
    </row>
    <row r="3416" ht="50.1" customHeight="1" s="3">
      <c r="A3416" s="23" t="n"/>
      <c r="B3416" s="24" t="inlineStr">
        <is>
          <t>20974</t>
        </is>
      </c>
      <c r="C3416" s="23" t="inlineStr">
        <is>
          <t>ОИ ВИ</t>
        </is>
      </c>
      <c r="D3416" s="23" t="inlineStr">
        <is>
          <t>Кидсон П. ; Мюррей П. ; Томпсон П.</t>
        </is>
      </c>
      <c r="E3416" s="23" t="inlineStr">
        <is>
          <t>История английской архитектуры</t>
        </is>
      </c>
      <c r="F3416" s="23" t="inlineStr">
        <is>
          <t>        </t>
        </is>
      </c>
      <c r="G3416" s="27" t="n">
        <v>1110</v>
      </c>
      <c r="H3416" s="23" t="n">
        <v>10</v>
      </c>
      <c r="I3416" s="23" t="n">
        <v>10</v>
      </c>
      <c r="J3416" s="23" t="inlineStr">
        <is>
          <t>978-5-9524-6084-3</t>
        </is>
      </c>
      <c r="K3416" s="23" t="inlineStr">
        <is>
          <t>84x108 1/32</t>
        </is>
      </c>
      <c r="L3416" s="23" t="inlineStr">
        <is>
          <t>тв</t>
        </is>
      </c>
      <c r="M3416" s="23" t="n">
        <v>382</v>
      </c>
      <c r="N3416" s="23" t="n">
        <v>2024</v>
      </c>
      <c r="O3416" s="23" t="n">
        <v>418</v>
      </c>
      <c r="P3416" s="23" t="n"/>
      <c r="Q3416" s="23" t="n"/>
      <c r="R3416" s="25" t="inlineStr">
        <is>
          <t>В книге подробно изложена история английской архитектуры со времен построек V—VI веков до второй половины XX века. Авторы рассказывают о создании церковных и светских зданий, особое внимание уделяя описанию архитектурных деталей. Издание содержит много иллюстраций и редких фотографий, снабжено планами и реконструкциями древних сооружений. В приложении представлен краткий словарь специальных терминов.</t>
        </is>
      </c>
      <c r="S3416" s="26">
        <f>HYPERLINK("http://www.cnpol.ru/covers/20974.jpg","фото на сайте")</f>
        <v/>
      </c>
    </row>
    <row r="3417" ht="50.1" customHeight="1" s="3">
      <c r="A3417" s="23" t="inlineStr">
        <is>
          <t>Н</t>
        </is>
      </c>
      <c r="B3417" s="24" t="inlineStr">
        <is>
          <t>21365</t>
        </is>
      </c>
      <c r="C3417" s="23" t="inlineStr">
        <is>
          <t>ОИ ВИ</t>
        </is>
      </c>
      <c r="D3417" s="23" t="inlineStr">
        <is>
          <t>Сартон Д.</t>
        </is>
      </c>
      <c r="E3417" s="23" t="inlineStr">
        <is>
          <t>История античной науки. Открытия великих ученых и мыслителей древности</t>
        </is>
      </c>
      <c r="F3417" s="23" t="inlineStr">
        <is>
          <t>        </t>
        </is>
      </c>
      <c r="G3417" s="27" t="n">
        <v>1143</v>
      </c>
      <c r="H3417" s="23" t="n">
        <v>10</v>
      </c>
      <c r="I3417" s="23" t="n">
        <v>4</v>
      </c>
      <c r="J3417" s="23" t="inlineStr">
        <is>
          <t>978-5-9524-5737-9</t>
        </is>
      </c>
      <c r="K3417" s="23" t="inlineStr">
        <is>
          <t>60x90 1/16</t>
        </is>
      </c>
      <c r="L3417" s="23" t="inlineStr">
        <is>
          <t>тв</t>
        </is>
      </c>
      <c r="M3417" s="23" t="n">
        <v>751</v>
      </c>
      <c r="N3417" s="23" t="n">
        <v>2024</v>
      </c>
      <c r="O3417" s="23" t="n">
        <v>594</v>
      </c>
      <c r="P3417" s="23" t="n"/>
      <c r="Q3417" s="23" t="n"/>
      <c r="R3417" s="25" t="inlineStr">
        <is>
          <t>Один из лучших в мире специалистов по истории науки Джордж Сартон увлекательно и ярко рисует картину развития математики, астрономии, физики, биологии, медицины, по мере того как они возникали в доисторической эпохе и расцветали в древнегреческом обществе. Первая часть книги посвящена ранним свидетельствам существования математики, астрономии и других наук, затем достижениям Египта, Месопотамии, началу греческой цивилизации и расцвету ионийской науки в VI до н. э. Этой эпохе принадлежат Фалес Милетский, Анаксимандр, Анаксимен и Ксенофан, Пифагор, учению которого уделено особое внимание. Вторая часть открывается расцветом Афин в V в. до н. э. Это шедевры поэзии, изобразительного искусства, философии и науки. Здесь представлены Гераклит, Анаксагор, Парменид, Демокрит, Гиппократ, Геродот и многие другие. Часть третья – это выдающиеся греческие мыслители IV в. до н. э.: Платон и его Академия, Аристотель, Ксенофонт, школа киников, стоиков, скептиков, эпикурейцев. _x000D_
Иллюстрации поясняют и украшают повествование.</t>
        </is>
      </c>
      <c r="S3417" s="26">
        <f>HYPERLINK("http://www.cnpol.ru/covers/21365.jpg","фото на сайте")</f>
        <v/>
      </c>
    </row>
    <row r="3418" ht="50.1" customHeight="1" s="3">
      <c r="A3418" s="23" t="n"/>
      <c r="B3418" s="24" t="inlineStr">
        <is>
          <t>20504</t>
        </is>
      </c>
      <c r="C3418" s="23" t="inlineStr">
        <is>
          <t>ОИ ВИ</t>
        </is>
      </c>
      <c r="D3418" s="23" t="inlineStr">
        <is>
          <t>Морган Ж.</t>
        </is>
      </c>
      <c r="E3418" s="23" t="inlineStr">
        <is>
          <t>История армянского народа. Доблестные потомки великого Ноя</t>
        </is>
      </c>
      <c r="F3418" s="23" t="inlineStr">
        <is>
          <t>        </t>
        </is>
      </c>
      <c r="G3418" s="23" t="n">
        <v>593</v>
      </c>
      <c r="H3418" s="23" t="n">
        <v>10</v>
      </c>
      <c r="I3418" s="23" t="n">
        <v>12</v>
      </c>
      <c r="J3418" s="23" t="inlineStr">
        <is>
          <t>978-5-9524-5854-3</t>
        </is>
      </c>
      <c r="K3418" s="23" t="inlineStr">
        <is>
          <t>84x108 1/32</t>
        </is>
      </c>
      <c r="L3418" s="23" t="inlineStr">
        <is>
          <t>тв</t>
        </is>
      </c>
      <c r="M3418" s="23" t="n">
        <v>384</v>
      </c>
      <c r="N3418" s="23" t="n">
        <v>2023</v>
      </c>
      <c r="O3418" s="23" t="n">
        <v>304</v>
      </c>
      <c r="P3418" s="23" t="n"/>
      <c r="Q3418" s="23" t="n"/>
      <c r="R3418" s="25" t="inlineStr">
        <is>
          <t>Известный французский археолог Жак де Морган исследует историю армянского народа с древних времен до первой четверти ХХ века. Труд Моргана интересен прежде всего тем, что в нем цитируются малоизвестные и не переведенные источники, и отличается ярким изображением драматических событий, пережитых армянским народом. Автор представляет историю войн, в которых, так или иначе, участвовали армяне, и галерею портретов царей, которые ими правили. Особое внимание Морган обращает на культурную жизнь народа. На то, как зарождались и развивались письменность, литература, изобразительное искусство, ремесла, музыка, театр, называя имена тех, кто сыграл важную роль в той или иной деятельности._x000D_
Повествование украшает около четырехсот рисунков.</t>
        </is>
      </c>
      <c r="S3418" s="26">
        <f>HYPERLINK("http://www.cnpol.ru/covers/20504.jpg","фото на сайте")</f>
        <v/>
      </c>
    </row>
    <row r="3419" ht="50.1" customHeight="1" s="3">
      <c r="A3419" s="23" t="inlineStr">
        <is>
          <t>Н</t>
        </is>
      </c>
      <c r="B3419" s="24" t="inlineStr">
        <is>
          <t>21493</t>
        </is>
      </c>
      <c r="C3419" s="23" t="inlineStr">
        <is>
          <t>ОИ ВИ</t>
        </is>
      </c>
      <c r="D3419" s="23" t="inlineStr">
        <is>
          <t>Хогг О.</t>
        </is>
      </c>
      <c r="E3419" s="23" t="inlineStr">
        <is>
          <t>История артиллерии. Вооружение. Тактика. Крупнейшие сражения. XIV—XX века</t>
        </is>
      </c>
      <c r="F3419" s="23" t="inlineStr">
        <is>
          <t>        </t>
        </is>
      </c>
      <c r="G3419" s="27" t="n">
        <v>1099</v>
      </c>
      <c r="H3419" s="23" t="n">
        <v>10</v>
      </c>
      <c r="I3419" s="23" t="n">
        <v>10</v>
      </c>
      <c r="J3419" s="23" t="inlineStr">
        <is>
          <t>978-5-9524-6218-2</t>
        </is>
      </c>
      <c r="K3419" s="23" t="inlineStr">
        <is>
          <t>84x108 1/32</t>
        </is>
      </c>
      <c r="L3419" s="23" t="inlineStr">
        <is>
          <t>тв</t>
        </is>
      </c>
      <c r="M3419" s="23" t="n">
        <v>350</v>
      </c>
      <c r="N3419" s="23" t="n">
        <v>2025</v>
      </c>
      <c r="O3419" s="23" t="n">
        <v>399</v>
      </c>
      <c r="P3419" s="23" t="n"/>
      <c r="Q3419" s="23" t="n"/>
      <c r="R3419" s="25" t="inlineStr">
        <is>
          <t>Оливер Хогг почти сорок лет прослужил в сухопутной артиллерии Великобритании, занимаясь техническими вопросами. Проведя достаточно глубокие исследования, он в данной книге изложил историю артиллерийских орудий и вспомогательных устройств за последние шестьсот лет. В основу своей работы он положил принципы развития артиллерии, рассмотрел технологию производства орудий и взрывчатых веществ, затронул вопросы стратегии и тактики применения артиллерии в разных странах. Издание будет интересно как специалистам, так и широкому кругу читателей, интересующихся артиллерией.</t>
        </is>
      </c>
      <c r="S3419" s="26">
        <f>HYPERLINK("http://www.cnpol.ru/covers/21493.jpg","фото на сайте")</f>
        <v/>
      </c>
    </row>
    <row r="3420" ht="50.1" customHeight="1" s="3">
      <c r="A3420" s="23" t="n"/>
      <c r="B3420" s="24" t="inlineStr">
        <is>
          <t>20728</t>
        </is>
      </c>
      <c r="C3420" s="23" t="inlineStr">
        <is>
          <t>ОИ ВИ</t>
        </is>
      </c>
      <c r="D3420" s="23" t="inlineStr">
        <is>
          <t>Сайкс П.</t>
        </is>
      </c>
      <c r="E3420" s="23" t="inlineStr">
        <is>
          <t>История Афганистана. С древнейших времен до учреждения королевской монархии</t>
        </is>
      </c>
      <c r="F3420" s="23" t="inlineStr">
        <is>
          <t>        </t>
        </is>
      </c>
      <c r="G3420" s="23" t="n">
        <v>897</v>
      </c>
      <c r="H3420" s="23" t="n">
        <v>10</v>
      </c>
      <c r="I3420" s="23" t="n">
        <v>10</v>
      </c>
      <c r="J3420" s="23" t="inlineStr">
        <is>
          <t>978-5-9524-5819-2</t>
        </is>
      </c>
      <c r="K3420" s="23" t="inlineStr">
        <is>
          <t>60x90 1/16</t>
        </is>
      </c>
      <c r="L3420" s="23" t="inlineStr">
        <is>
          <t>тв</t>
        </is>
      </c>
      <c r="M3420" s="23" t="n">
        <v>640</v>
      </c>
      <c r="N3420" s="23" t="n">
        <v>2023</v>
      </c>
      <c r="O3420" s="23" t="n">
        <v>679</v>
      </c>
      <c r="P3420" s="23" t="n"/>
      <c r="Q3420" s="23" t="n"/>
      <c r="R3420" s="25" t="inlineStr">
        <is>
          <t>Книга британского историка и дипломата Перси Сайкса наиболее полно и достоверно воспроизводит историю Афганистана — государства, которое долгое время было центром борьбы за власть ввиду своего географического и стратегического положения. Автор описывает важнейшие исторические и политические события, происходившие на Среднем Востоке с древнейших времен до осады Герата в 1833 г., а также историю Афганистана с Первой англо­афганской войны, закончившейся оккупацией Кабула, до убийства короля Надир­шаха и восшествия на престол Захир­шаха в 1933 г. Раздел «Приложения» включает ряд важнейших документов — договоры, письма и соглашения, — в том числе Симлский манифест (1938 г.).</t>
        </is>
      </c>
      <c r="S3420" s="26">
        <f>HYPERLINK("http://www.cnpol.ru/covers/20728.jpg","фото на сайте")</f>
        <v/>
      </c>
    </row>
    <row r="3421" ht="50.1" customHeight="1" s="3">
      <c r="A3421" s="23" t="inlineStr">
        <is>
          <t>Д</t>
        </is>
      </c>
      <c r="B3421" s="24" t="inlineStr">
        <is>
          <t>21890</t>
        </is>
      </c>
      <c r="C3421" s="23" t="inlineStr">
        <is>
          <t>ОИ ВИ</t>
        </is>
      </c>
      <c r="D3421" s="23" t="inlineStr">
        <is>
          <t>Форбс Н.</t>
        </is>
      </c>
      <c r="E3421" s="23" t="inlineStr">
        <is>
          <t>История Балкан. Болгария, Сербия, Греция, Румыния, Турция. От становления государства до Первой мировой войны</t>
        </is>
      </c>
      <c r="F3421" s="23" t="inlineStr">
        <is>
          <t>        </t>
        </is>
      </c>
      <c r="G3421" s="23" t="n">
        <v>983</v>
      </c>
      <c r="H3421" s="23" t="n">
        <v>10</v>
      </c>
      <c r="I3421" s="23" t="n">
        <v>10</v>
      </c>
      <c r="J3421" s="23" t="inlineStr">
        <is>
          <t>978-5-9524-6558-9</t>
        </is>
      </c>
      <c r="K3421" s="23" t="inlineStr">
        <is>
          <t>84x108 1/32</t>
        </is>
      </c>
      <c r="L3421" s="23" t="inlineStr">
        <is>
          <t>тв</t>
        </is>
      </c>
      <c r="M3421" s="23" t="n">
        <v>319</v>
      </c>
      <c r="N3421" s="23" t="n">
        <v>2026</v>
      </c>
      <c r="O3421" s="23" t="n">
        <v>352</v>
      </c>
      <c r="P3421" s="23" t="n"/>
      <c r="Q3421" s="23" t="n"/>
      <c r="R3421" s="25" t="inlineStr">
        <is>
          <t>История Балкан охватывает становление, развитие и внешнюю и внутреннюю политику пяти государств - Болгарии, Сербии, Греции, Румынии и Турции. Рассматривая территориально-политические образования на полуострове, авторы прослеживают происхождение и формирование национального состава стран, их христианизацию, периоды подъема, укрепления, упадка, экспансий и снова возрождения при правлении разных государей, периоды революций и войн вплоть до Первой мировой войны.</t>
        </is>
      </c>
      <c r="S3421" s="26">
        <f>HYPERLINK("http://www.cnpol.ru/covers/21890.jpg","фото на сайте")</f>
        <v/>
      </c>
    </row>
    <row r="3422" ht="50.1" customHeight="1" s="3">
      <c r="A3422" s="23" t="n"/>
      <c r="B3422" s="24" t="inlineStr">
        <is>
          <t>20359</t>
        </is>
      </c>
      <c r="C3422" s="23" t="inlineStr">
        <is>
          <t>ОИ ВИ</t>
        </is>
      </c>
      <c r="D3422" s="23" t="inlineStr">
        <is>
          <t>Ахшарумов С.Д.</t>
        </is>
      </c>
      <c r="E3422" s="23" t="inlineStr">
        <is>
          <t>История Бастилии. Четыре века самой зловещей тюрьмы Европы. 1370—1789</t>
        </is>
      </c>
      <c r="F3422" s="23" t="inlineStr">
        <is>
          <t>        </t>
        </is>
      </c>
      <c r="G3422" s="23" t="n">
        <v>829</v>
      </c>
      <c r="H3422" s="23" t="n">
        <v>10</v>
      </c>
      <c r="I3422" s="23" t="n">
        <v>18</v>
      </c>
      <c r="J3422" s="23" t="inlineStr">
        <is>
          <t>978-5-227-10092-4</t>
        </is>
      </c>
      <c r="K3422" s="23" t="inlineStr">
        <is>
          <t>84x108 1/32</t>
        </is>
      </c>
      <c r="L3422" s="23" t="inlineStr">
        <is>
          <t>тв</t>
        </is>
      </c>
      <c r="M3422" s="23" t="n">
        <v>233</v>
      </c>
      <c r="N3422" s="23" t="n">
        <v>2022</v>
      </c>
      <c r="O3422" s="23" t="n">
        <v>135</v>
      </c>
      <c r="P3422" s="23" t="n"/>
      <c r="Q3422" s="23" t="n"/>
      <c r="R3422" s="25" t="inlineStr">
        <is>
          <t>Действительный статский советник, историк, специалист по Франции и прекрасный рассказчик, С.Д. Ахшарумов представил историю Бастилии с самого начала ее существования. Историк подробно описал особенности ее устройства с представлением детального плана крепости, существовавшие в ней порядки и то, как менялись условия содержания узников, а также кто, как и за что был брошен в ее темницы. Выбирая наиболее яркие события, характеризующие разные эпохи, историк рассказал об интригах и коварстве монархов и подданных короны, о храбрости и трусости, о подлости и благородстве. Более четырех столетий просуществовала ненавистная французам крепость и лишь в 1789 г. была уничтожена мятежными парижанами.</t>
        </is>
      </c>
      <c r="S3422" s="26">
        <f>HYPERLINK("http://www.cnpol.ru/covers/20359.jpg","фото на сайте")</f>
        <v/>
      </c>
    </row>
    <row r="3423" ht="50.1" customHeight="1" s="3">
      <c r="A3423" s="23" t="n"/>
      <c r="B3423" s="24" t="inlineStr">
        <is>
          <t>14151</t>
        </is>
      </c>
      <c r="C3423" s="23" t="inlineStr">
        <is>
          <t>ОИ ВИ</t>
        </is>
      </c>
      <c r="D3423" s="23" t="inlineStr">
        <is>
          <t>Кинси З.</t>
        </is>
      </c>
      <c r="E3423" s="23" t="inlineStr">
        <is>
          <t>История борделей с древних времен</t>
        </is>
      </c>
      <c r="F3423" s="23" t="inlineStr">
        <is>
          <t>        </t>
        </is>
      </c>
      <c r="G3423" s="23" t="n">
        <v>803</v>
      </c>
      <c r="H3423" s="23" t="n">
        <v>10</v>
      </c>
      <c r="I3423" s="23" t="n">
        <v>14</v>
      </c>
      <c r="J3423" s="23" t="inlineStr">
        <is>
          <t>978-5-227-04055-8</t>
        </is>
      </c>
      <c r="K3423" s="23" t="inlineStr">
        <is>
          <t>82x100 1/32</t>
        </is>
      </c>
      <c r="L3423" s="23" t="inlineStr">
        <is>
          <t>тв</t>
        </is>
      </c>
      <c r="M3423" s="23" t="n">
        <v>383</v>
      </c>
      <c r="N3423" s="23" t="n">
        <v>2013</v>
      </c>
      <c r="O3423" s="23" t="n">
        <v>366</v>
      </c>
      <c r="P3423" s="23" t="n"/>
      <c r="Q3423" s="23" t="n"/>
      <c r="R3423" s="25" t="inlineStr">
        <is>
          <t>Книга о примечательном историческом явлении в его развитии с древнейших времен до XVIII века. Основываясь на документальных источниках и классических текстах, а также мемуарах популярных исторических персон, автор проводит своеобразный экскурс по домам свиданий государств Древнего мира, античного Средиземноморья, средневековой Европы, арабского Востока, Китая, Японии, заглядывая под конец в будуары блистательного Парижа. Однако повествование не ограничено рамками заявленной темы. Освещаются и другие приватные стороны жизни социума, такие как брак, супружеский секс, законы привлекательности, взаимные измены, фаворитизм при королевском дворе, гарем, жертвы во имя красоты и прочее.</t>
        </is>
      </c>
      <c r="S3423" s="26">
        <f>HYPERLINK("http://www.cnpol.ru/covers/14151.jpg","фото на сайте")</f>
        <v/>
      </c>
    </row>
    <row r="3424" ht="50.1" customHeight="1" s="3">
      <c r="A3424" s="23" t="n"/>
      <c r="B3424" s="24" t="inlineStr">
        <is>
          <t>16806</t>
        </is>
      </c>
      <c r="C3424" s="23" t="inlineStr">
        <is>
          <t>ОИ ВИ</t>
        </is>
      </c>
      <c r="D3424" s="23" t="inlineStr">
        <is>
          <t>Кинси З.</t>
        </is>
      </c>
      <c r="E3424" s="23" t="inlineStr">
        <is>
          <t>История борделей с древних времен</t>
        </is>
      </c>
      <c r="F3424" s="23" t="inlineStr">
        <is>
          <t>        </t>
        </is>
      </c>
      <c r="G3424" s="23" t="n">
        <v>871</v>
      </c>
      <c r="H3424" s="23" t="n">
        <v>10</v>
      </c>
      <c r="I3424" s="23" t="n">
        <v>14</v>
      </c>
      <c r="J3424" s="23" t="inlineStr">
        <is>
          <t>978-5-227-06672-5</t>
        </is>
      </c>
      <c r="K3424" s="23" t="inlineStr">
        <is>
          <t>84x108 1/32</t>
        </is>
      </c>
      <c r="L3424" s="23" t="inlineStr">
        <is>
          <t>тв</t>
        </is>
      </c>
      <c r="M3424" s="23" t="n">
        <v>400</v>
      </c>
      <c r="N3424" s="23" t="n">
        <v>2016</v>
      </c>
      <c r="O3424" s="23" t="n">
        <v>366</v>
      </c>
      <c r="P3424" s="23" t="n"/>
      <c r="Q3424" s="23" t="n"/>
      <c r="R3424" s="25" t="inlineStr">
        <is>
          <t>Книга о примечательном историческом явлении в его развитии с древнейших времен до XVIII века. Основываясь на документальных источниках и классических текстах, а также мемуарах популярных исторических персон, автор проводит своеобразный экскурс по домам свиданий государств Древнего мира, античного Средиземноморья, средневековой Европы, арабского Востока, Китая, Японии, заглядывая под конец в будуары блистательного Парижа. Однако повествование не ограничено рамками заявленной темы. Освещаются и другие приватные стороны жизни социума, такие как брак, супружеский секс, законы привлекательности, взаимные измены, фаворитизм при королевском дворе, гарем, жертвы во имя красоты и прочее.</t>
        </is>
      </c>
      <c r="S3424" s="26">
        <f>HYPERLINK("http://www.cnpol.ru/covers/16806.jpg","фото на сайте")</f>
        <v/>
      </c>
    </row>
    <row r="3425" ht="50.1" customHeight="1" s="3">
      <c r="A3425" s="23" t="inlineStr">
        <is>
          <t>Д</t>
        </is>
      </c>
      <c r="B3425" s="24" t="inlineStr">
        <is>
          <t>21942</t>
        </is>
      </c>
      <c r="C3425" s="23" t="inlineStr">
        <is>
          <t>ОИ ВИ</t>
        </is>
      </c>
      <c r="D3425" s="23" t="inlineStr">
        <is>
          <t>Менхен-Хельфен О.</t>
        </is>
      </c>
      <c r="E3425" s="23" t="inlineStr">
        <is>
          <t>История гуннов. Как жили и воевали легендарные кочевники</t>
        </is>
      </c>
      <c r="F3425" s="23" t="inlineStr">
        <is>
          <t>        </t>
        </is>
      </c>
      <c r="G3425" s="27" t="n">
        <v>1352</v>
      </c>
      <c r="H3425" s="23" t="n">
        <v>10</v>
      </c>
      <c r="I3425" s="23" t="n">
        <v>5</v>
      </c>
      <c r="J3425" s="23" t="inlineStr">
        <is>
          <t>978-5-9524-6589-3</t>
        </is>
      </c>
      <c r="K3425" s="23" t="inlineStr">
        <is>
          <t>84x108 1/32</t>
        </is>
      </c>
      <c r="L3425" s="23" t="inlineStr">
        <is>
          <t>тв</t>
        </is>
      </c>
      <c r="M3425" s="23" t="n">
        <v>479</v>
      </c>
      <c r="N3425" s="23" t="n">
        <v>2026</v>
      </c>
      <c r="O3425" s="23" t="n">
        <v>541</v>
      </c>
      <c r="P3425" s="23" t="n"/>
      <c r="Q3425" s="23" t="n"/>
      <c r="R3425" s="25" t="inlineStr">
        <is>
          <t>"Большую часть своей жизни профессор Калифорнийского университета Отто Менхен­Хельфен посвятил изучению мира гуннов. Он много лет путешествовал, посещал раскопки в Венгрии, Афганистане, Непале и Монголии, на Кавказе и у Великой Китайской стены. Вооруженный обширными знаниями в филологии, лингвистике и в истории азиатского искусства, Менхен­Хельфен собрал сведения из самых разных источников, классифицировал их и предложил свою трактовку мира гуннов, представил правдоподобный рассказ об экономике, общественном устройстве, военных действиях, искусстве и религии этого воинственного племени.
Книга богато иллюстрирована редкими фотографиями, собранными автором."</t>
        </is>
      </c>
      <c r="S3425" s="26">
        <f>HYPERLINK("http://www.cnpol.ru/covers/21942.jpg","фото на сайте")</f>
        <v/>
      </c>
    </row>
    <row r="3426" ht="50.1" customHeight="1" s="3">
      <c r="A3426" s="23" t="n"/>
      <c r="B3426" s="24" t="inlineStr">
        <is>
          <t>20321</t>
        </is>
      </c>
      <c r="C3426" s="23" t="inlineStr">
        <is>
          <t>ОИ ВИ</t>
        </is>
      </c>
      <c r="D3426" s="23" t="inlineStr">
        <is>
          <t>Дюмулен Г.</t>
        </is>
      </c>
      <c r="E3426" s="23" t="inlineStr">
        <is>
          <t>История дзэн­буддизма</t>
        </is>
      </c>
      <c r="F3426" s="23" t="inlineStr">
        <is>
          <t>        </t>
        </is>
      </c>
      <c r="G3426" s="27" t="n">
        <v>1009</v>
      </c>
      <c r="H3426" s="23" t="n">
        <v>10</v>
      </c>
      <c r="I3426" s="23" t="n">
        <v>12</v>
      </c>
      <c r="J3426" s="23" t="inlineStr">
        <is>
          <t>978-5-9524-5676-1</t>
        </is>
      </c>
      <c r="K3426" s="23" t="inlineStr">
        <is>
          <t>84x108 1/32</t>
        </is>
      </c>
      <c r="L3426" s="23" t="inlineStr">
        <is>
          <t>тв</t>
        </is>
      </c>
      <c r="M3426" s="23" t="n">
        <v>317</v>
      </c>
      <c r="N3426" s="23" t="n">
        <v>2022</v>
      </c>
      <c r="O3426" s="23" t="n">
        <v>278</v>
      </c>
      <c r="P3426" s="23" t="n"/>
      <c r="Q3426" s="23" t="n"/>
      <c r="R3426" s="25" t="inlineStr">
        <is>
          <t>В книге профессора философии и истории религии Токийского университета анализируются условия возникновения и основные традиции дзэн­буддизма. Подробно рассказано о распространении и методологическом развитии дзэна в Японии, Америке и Европе, о религиозных и философских учениях, а также медитативных практиках буддийских и дзэнских наставников и патриархов.</t>
        </is>
      </c>
      <c r="S3426" s="26">
        <f>HYPERLINK("http://www.cnpol.ru/covers/20321.jpg","фото на сайте")</f>
        <v/>
      </c>
    </row>
    <row r="3427" ht="50.1" customHeight="1" s="3">
      <c r="A3427" s="23" t="inlineStr">
        <is>
          <t>Н</t>
        </is>
      </c>
      <c r="B3427" s="24" t="inlineStr">
        <is>
          <t>21965</t>
        </is>
      </c>
      <c r="C3427" s="23" t="inlineStr">
        <is>
          <t>ОИ ВИ</t>
        </is>
      </c>
      <c r="D3427" s="23" t="inlineStr">
        <is>
          <t>Грэй Д.Г.</t>
        </is>
      </c>
      <c r="E3427" s="23" t="inlineStr">
        <is>
          <t>История Древнего Китая</t>
        </is>
      </c>
      <c r="F3427" s="23" t="inlineStr">
        <is>
          <t>        </t>
        </is>
      </c>
      <c r="G3427" s="27" t="n">
        <v>1588</v>
      </c>
      <c r="H3427" s="23" t="n">
        <v>10</v>
      </c>
      <c r="I3427" s="23" t="n">
        <v>5</v>
      </c>
      <c r="J3427" s="23" t="inlineStr">
        <is>
          <t>978-5-9524-5641-9</t>
        </is>
      </c>
      <c r="K3427" s="23" t="inlineStr">
        <is>
          <t>60x90 1/16</t>
        </is>
      </c>
      <c r="L3427" s="23" t="inlineStr">
        <is>
          <t>тв</t>
        </is>
      </c>
      <c r="M3427" s="23" t="n">
        <v>606</v>
      </c>
      <c r="N3427" s="23" t="n">
        <v>2026</v>
      </c>
      <c r="O3427" s="23" t="n">
        <v>720</v>
      </c>
      <c r="P3427" s="23" t="n"/>
      <c r="Q3427" s="23" t="n"/>
      <c r="R3427" s="25" t="inlineStr">
        <is>
          <t>Фундаментальный труд американского исследователя Джона Г. Грэя посвящен Китаю — одной из самых древних и загадочных стран мира. В течение нескольких лет пребывания в этой стране Дж. Грэй собрал и систематизировал богатейший материал о природе китайской цивилизации. Система государственного управления, быт, религия, культура, семейные отношения, обряды, ремесла, способы городского и сельского хозяйствования — автор осветил практически все стороны жизни и деятельности народов Срединного царства.</t>
        </is>
      </c>
      <c r="S3427" s="26">
        <f>HYPERLINK("http://www.cnpol.ru/covers/21965.jpg","фото на сайте")</f>
        <v/>
      </c>
    </row>
    <row r="3428" ht="50.1" customHeight="1" s="3">
      <c r="A3428" s="23" t="inlineStr">
        <is>
          <t>Н</t>
        </is>
      </c>
      <c r="B3428" s="24" t="inlineStr">
        <is>
          <t>21418</t>
        </is>
      </c>
      <c r="C3428" s="23" t="inlineStr">
        <is>
          <t>ОИ ВИ</t>
        </is>
      </c>
      <c r="D3428" s="23" t="inlineStr">
        <is>
          <t>Хоренский М.</t>
        </is>
      </c>
      <c r="E3428" s="23" t="inlineStr">
        <is>
          <t>История Древней Армении. Мифология, религия, внутренняя жизнь страны, связи с внешним миром</t>
        </is>
      </c>
      <c r="F3428" s="23" t="inlineStr">
        <is>
          <t>        </t>
        </is>
      </c>
      <c r="G3428" s="23" t="n">
        <v>962</v>
      </c>
      <c r="H3428" s="23" t="n">
        <v>10</v>
      </c>
      <c r="I3428" s="23" t="n">
        <v>12</v>
      </c>
      <c r="J3428" s="23" t="inlineStr">
        <is>
          <t>978-5-227-10855-5</t>
        </is>
      </c>
      <c r="K3428" s="23" t="inlineStr">
        <is>
          <t>84x108 1/32</t>
        </is>
      </c>
      <c r="L3428" s="23" t="inlineStr">
        <is>
          <t>тв</t>
        </is>
      </c>
      <c r="M3428" s="23" t="n">
        <v>319</v>
      </c>
      <c r="N3428" s="23" t="n">
        <v>2025</v>
      </c>
      <c r="O3428" s="23" t="n">
        <v>265</v>
      </c>
      <c r="P3428" s="23" t="n"/>
      <c r="Q3428" s="23" t="n"/>
      <c r="R3428" s="25" t="inlineStr">
        <is>
          <t>В книге Моисея Хоренского, выдающегося писателя раннего Средневековья, изложена история Древней Армении от праотца Ноя до эпохи завоеваний Александра Великого и от воцарения Аршака I до падения Армянского царства. Создавая летопись древнейшего государства Закавказья, отец армянской историографии обращался к библейским преданиям, персидским и греческим источникам, а также к дохристианской литературе, мифологии и языческим верованиям народов Армянского нагорья. Особое внимание уделено периоду христианизации Южного Кавказа и просветительской деятельности святого Григория. Повествование отличаетcя исторической достоверностью, яркими портретами правителей, духовных учителей и народных героев, а также изяществом и высокой образностью языка. Труд Моисея Хоренского переведен на русский язык профессором Лазаревского института восточных языков Н.О. Эмином. В приложении приведен полный перечень царей, обзор географических объектов, а также очерк о политическом и административном устройстве Древней Армении.</t>
        </is>
      </c>
      <c r="S3428" s="26">
        <f>HYPERLINK("http://www.cnpol.ru/covers/21418.jpg","фото на сайте")</f>
        <v/>
      </c>
    </row>
    <row r="3429" ht="50.1" customHeight="1" s="3">
      <c r="A3429" s="23" t="inlineStr">
        <is>
          <t>Н</t>
        </is>
      </c>
      <c r="B3429" s="24" t="inlineStr">
        <is>
          <t>21966</t>
        </is>
      </c>
      <c r="C3429" s="23" t="inlineStr">
        <is>
          <t>ОИ ВИ</t>
        </is>
      </c>
      <c r="D3429" s="23" t="inlineStr">
        <is>
          <t>Хаммонд Н.</t>
        </is>
      </c>
      <c r="E3429" s="23" t="inlineStr">
        <is>
          <t>История Древней Греции</t>
        </is>
      </c>
      <c r="F3429" s="23" t="inlineStr">
        <is>
          <t>        </t>
        </is>
      </c>
      <c r="G3429" s="27" t="n">
        <v>1832</v>
      </c>
      <c r="H3429" s="23" t="n">
        <v>10</v>
      </c>
      <c r="I3429" s="23" t="n">
        <v>5</v>
      </c>
      <c r="J3429" s="23" t="inlineStr">
        <is>
          <t>978-5-9524-5640-2</t>
        </is>
      </c>
      <c r="K3429" s="23" t="inlineStr">
        <is>
          <t>60x90 1/16</t>
        </is>
      </c>
      <c r="L3429" s="23" t="inlineStr">
        <is>
          <t>тв</t>
        </is>
      </c>
      <c r="M3429" s="23" t="n">
        <v>703</v>
      </c>
      <c r="N3429" s="23" t="n">
        <v>2026</v>
      </c>
      <c r="O3429" s="23" t="n">
        <v>835</v>
      </c>
      <c r="P3429" s="23" t="n"/>
      <c r="Q3429" s="23" t="n"/>
      <c r="R3429" s="25" t="inlineStr">
        <is>
          <t>"Автор, профессор Кембриджского университета, используя труды древнегреческих историков, философов и политиков — Геродота, Фукидида, Ксенофонта, Аристотеля, Платона и др. произведения древнего эпоса и данные современной науки, воссоздает важнейшие этапы исторического развития Древней Греции, начиная от крито-микенской цивилизации до разгрома Персидской державы и начала периода эллинизма.
Текст дополнен иллюстрациями, географическими картами, схемами сражений."</t>
        </is>
      </c>
      <c r="S3429" s="26">
        <f>HYPERLINK("http://www.cnpol.ru/covers/21966.jpg","фото на сайте")</f>
        <v/>
      </c>
    </row>
    <row r="3430" ht="50.1" customHeight="1" s="3">
      <c r="A3430" s="23" t="inlineStr">
        <is>
          <t>Д</t>
        </is>
      </c>
      <c r="B3430" s="24" t="inlineStr">
        <is>
          <t>21873</t>
        </is>
      </c>
      <c r="C3430" s="23" t="inlineStr">
        <is>
          <t>ОИ ВИ</t>
        </is>
      </c>
      <c r="D3430" s="23" t="inlineStr">
        <is>
          <t>Брэстед Д.</t>
        </is>
      </c>
      <c r="E3430" s="23" t="inlineStr">
        <is>
          <t>История Египта c древнейших времен до персидского завоевания</t>
        </is>
      </c>
      <c r="F3430" s="23" t="inlineStr">
        <is>
          <t>        </t>
        </is>
      </c>
      <c r="G3430" s="23" t="n">
        <v>754</v>
      </c>
      <c r="H3430" s="23" t="n">
        <v>10</v>
      </c>
      <c r="I3430" s="23" t="n">
        <v>6</v>
      </c>
      <c r="J3430" s="23" t="inlineStr">
        <is>
          <t>978-5-9524-6544-2</t>
        </is>
      </c>
      <c r="K3430" s="23" t="inlineStr">
        <is>
          <t>84x108 1/32</t>
        </is>
      </c>
      <c r="L3430" s="23" t="inlineStr">
        <is>
          <t>тв</t>
        </is>
      </c>
      <c r="M3430" s="23" t="n">
        <v>607</v>
      </c>
      <c r="N3430" s="23" t="n">
        <v>2025</v>
      </c>
      <c r="O3430" s="23" t="n">
        <v>522</v>
      </c>
      <c r="P3430" s="23" t="n"/>
      <c r="Q3430" s="23" t="n"/>
      <c r="R3430" s="25" t="inlineStr">
        <is>
          <t>Фундаментальный труд Джеймса Брэстеда, — профессора египтологии и восточной истории Чикагского университета, — охватывает более трех тысячелетий истории величайшего государства Древнего мира. Основываясь на подлинных источниках, — иероглифических письменах, начертанных на стенах храмов в Амарне, Луксоре и Фивах, дарственных и погребальных надписях на бесценных артефактах из собрания Каирского музея и крупнейших музеев Европы, а также образцах изящной словесности эпохи Среднего и Нового царств, — историк прослеживает судьбы царей и цариц двадцати шести правящих династий Египта, создает живые портреты государственных деятелей, жрецов и мирных тружеников самой загадочной цивилизации древности.</t>
        </is>
      </c>
      <c r="S3430" s="26">
        <f>HYPERLINK("http://www.cnpol.ru/covers/21873.jpg","фото на сайте")</f>
        <v/>
      </c>
    </row>
    <row r="3431" ht="50.1" customHeight="1" s="3">
      <c r="A3431" s="23" t="n"/>
      <c r="B3431" s="24" t="inlineStr">
        <is>
          <t>17446</t>
        </is>
      </c>
      <c r="C3431" s="23" t="inlineStr">
        <is>
          <t>ОИ ВИ</t>
        </is>
      </c>
      <c r="D3431" s="23" t="inlineStr">
        <is>
          <t>Яворницкий Д.И.</t>
        </is>
      </c>
      <c r="E3431" s="23" t="inlineStr">
        <is>
          <t>История запорожских казаков. Борьба запорожцев за независимость. 1471-1686. Т.2</t>
        </is>
      </c>
      <c r="F3431" s="23" t="n">
        <v>2</v>
      </c>
      <c r="G3431" s="23" t="n">
        <v>910</v>
      </c>
      <c r="H3431" s="23" t="n">
        <v>10</v>
      </c>
      <c r="I3431" s="23" t="n">
        <v>10</v>
      </c>
      <c r="J3431" s="23" t="inlineStr">
        <is>
          <t>978-5-227-06624-4</t>
        </is>
      </c>
      <c r="K3431" s="23" t="inlineStr">
        <is>
          <t>60x90 1/16</t>
        </is>
      </c>
      <c r="L3431" s="23" t="inlineStr">
        <is>
          <t>тв</t>
        </is>
      </c>
      <c r="M3431" s="23" t="n">
        <v>560</v>
      </c>
      <c r="N3431" s="23" t="n">
        <v>2017</v>
      </c>
      <c r="O3431" s="23" t="n">
        <v>598</v>
      </c>
      <c r="P3431" s="23" t="n"/>
      <c r="Q3431" s="23" t="n"/>
      <c r="R3431" s="25" t="inlineStr">
        <is>
          <t>К началу XVI века запорожские казаки сложились в значительную военную силу, доставлявшую беспокойство соседям. Однако и соседи вели себя беспокойно. Польское правительство создало на Украине так называемое реестровое  казачество, которое стало важной силой в войнах против Турции и Московского государства. Они должны были защищать Речь Посполитую от татарских и запорожских набегов. В то же время на Украине насчитывались тысячи нереестровых казаков, которые населяли южноукраинские степи и жили войной, разбоем, охотой и рыбной ловлей. Жили казаки прежде всего за счет военной добычи в войнах с Крымским ханством и Турцией, а также жалованья, которые им выплачивали, соответственно, Варшава и Москва.</t>
        </is>
      </c>
      <c r="S3431" s="26">
        <f>HYPERLINK("http://www.cnpol.ru/covers/17446.jpg","фото на сайте")</f>
        <v/>
      </c>
    </row>
    <row r="3432" ht="50.1" customHeight="1" s="3">
      <c r="A3432" s="23" t="n"/>
      <c r="B3432" s="24" t="inlineStr">
        <is>
          <t>17445</t>
        </is>
      </c>
      <c r="C3432" s="23" t="inlineStr">
        <is>
          <t>ОИ ВИ</t>
        </is>
      </c>
      <c r="D3432" s="23" t="inlineStr">
        <is>
          <t>Яворницкий Д.И.</t>
        </is>
      </c>
      <c r="E3432" s="23" t="inlineStr">
        <is>
          <t>История запорожских казаков. Быт запорожской общины. Т 1</t>
        </is>
      </c>
      <c r="F3432" s="23" t="n">
        <v>1</v>
      </c>
      <c r="G3432" s="23" t="n">
        <v>910</v>
      </c>
      <c r="H3432" s="23" t="n">
        <v>10</v>
      </c>
      <c r="I3432" s="23" t="n">
        <v>10</v>
      </c>
      <c r="J3432" s="23" t="inlineStr">
        <is>
          <t>978-5-227-06620-6</t>
        </is>
      </c>
      <c r="K3432" s="23" t="inlineStr">
        <is>
          <t>60x90 1/16</t>
        </is>
      </c>
      <c r="L3432" s="23" t="inlineStr">
        <is>
          <t>тв</t>
        </is>
      </c>
      <c r="M3432" s="23" t="n">
        <v>496</v>
      </c>
      <c r="N3432" s="23" t="n">
        <v>2017</v>
      </c>
      <c r="O3432" s="23" t="n">
        <v>542</v>
      </c>
      <c r="P3432" s="23" t="n"/>
      <c r="Q3432" s="23" t="n"/>
      <c r="R3432" s="25" t="inlineStr">
        <is>
          <t>Трехтомная «История запорожских казаков» выдающегося украинского историка, этнографа, фольклориста, археолога, писателя, лексикографа, академика Д.И. Яворницкого — ценнейший памятник отечественной дореволюционной историографии, важный источник по изучению истории украинского казачества.</t>
        </is>
      </c>
      <c r="S3432" s="26">
        <f>HYPERLINK("http://www.cnpol.ru/covers/17445.jpg","фото на сайте")</f>
        <v/>
      </c>
    </row>
    <row r="3433" ht="50.1" customHeight="1" s="3">
      <c r="A3433" s="23" t="n"/>
      <c r="B3433" s="24" t="inlineStr">
        <is>
          <t>17447</t>
        </is>
      </c>
      <c r="C3433" s="23" t="inlineStr">
        <is>
          <t>ОИ ВИ</t>
        </is>
      </c>
      <c r="D3433" s="23" t="inlineStr">
        <is>
          <t>Яворницкий Д.И.</t>
        </is>
      </c>
      <c r="E3433" s="23" t="inlineStr">
        <is>
          <t>История запорожских казаков. Военные походы запорожцев. 1686-1734. Т.3</t>
        </is>
      </c>
      <c r="F3433" s="23" t="n">
        <v>3</v>
      </c>
      <c r="G3433" s="23" t="n">
        <v>910</v>
      </c>
      <c r="H3433" s="23" t="n">
        <v>10</v>
      </c>
      <c r="I3433" s="23" t="n">
        <v>10</v>
      </c>
      <c r="J3433" s="23" t="inlineStr">
        <is>
          <t>978-5-227-06628-2</t>
        </is>
      </c>
      <c r="K3433" s="23" t="inlineStr">
        <is>
          <t>60x90 1/16</t>
        </is>
      </c>
      <c r="L3433" s="23" t="inlineStr">
        <is>
          <t>тв</t>
        </is>
      </c>
      <c r="M3433" s="23" t="n">
        <v>560</v>
      </c>
      <c r="N3433" s="23" t="n">
        <v>2017</v>
      </c>
      <c r="O3433" s="23" t="n">
        <v>600</v>
      </c>
      <c r="P3433" s="23" t="n"/>
      <c r="Q3433" s="23" t="n"/>
      <c r="R3433" s="25" t="inlineStr">
        <is>
          <t>XVII век ознаменовался непрерывной чередой измен, предательств и перебежек ­казачьих гетманов и шляхты вместе с войсками к разным участникам конфликта. Все большее значение стал приобретать казачий полковник Мазепа, который в 1685 году был избран гетманом. Казалось, ему удалось поставить казаков на службу новой империи. Однако закончилось все это чудовищной и вероломной изменой накануне Полтавской битвы. Мазепа сделал ставку на победу шведского короля. Эта роковая ошибка имела драматические последствия для всего днепровского казачества.</t>
        </is>
      </c>
      <c r="S3433" s="26">
        <f>HYPERLINK("http://www.cnpol.ru/covers/17447.jpg","фото на сайте")</f>
        <v/>
      </c>
    </row>
    <row r="3434" ht="50.1" customHeight="1" s="3">
      <c r="A3434" s="23" t="inlineStr">
        <is>
          <t>Д</t>
        </is>
      </c>
      <c r="B3434" s="24" t="inlineStr">
        <is>
          <t>21526</t>
        </is>
      </c>
      <c r="C3434" s="23" t="inlineStr">
        <is>
          <t>ОИ ВИ</t>
        </is>
      </c>
      <c r="D3434" s="23" t="inlineStr">
        <is>
          <t>Харгрейв К.П.</t>
        </is>
      </c>
      <c r="E3434" s="23" t="inlineStr">
        <is>
          <t>История игральных карт. Вековые традиции создания карточных колод для игры, пасьянсов, фокусов и гаданий в разных странах и у разных народов</t>
        </is>
      </c>
      <c r="F3434" s="23" t="inlineStr">
        <is>
          <t>        </t>
        </is>
      </c>
      <c r="G3434" s="27" t="n">
        <v>1144</v>
      </c>
      <c r="H3434" s="23" t="n">
        <v>10</v>
      </c>
      <c r="I3434" s="23" t="n">
        <v>6</v>
      </c>
      <c r="J3434" s="23" t="inlineStr">
        <is>
          <t>978-5-9524-6349-3</t>
        </is>
      </c>
      <c r="K3434" s="23" t="inlineStr">
        <is>
          <t>84x108 1/32</t>
        </is>
      </c>
      <c r="L3434" s="23" t="inlineStr">
        <is>
          <t>тв</t>
        </is>
      </c>
      <c r="M3434" s="23" t="n">
        <v>447</v>
      </c>
      <c r="N3434" s="23" t="n">
        <v>2025</v>
      </c>
      <c r="O3434" s="23" t="n">
        <v>340</v>
      </c>
      <c r="P3434" s="23" t="n"/>
      <c r="Q3434" s="23" t="n"/>
      <c r="R3434" s="25" t="inlineStr">
        <is>
          <t>Страсть человечества к карточным играм и гаданиям не ослабевает на протяжении многих веков, возможно, именно это и заставляет исследователей вновь и вновь обращаться к изучению истории столь таинственного и увлекательного предмета. Известно, что для определения явлений, не поддающихся пониманию, люди прибегали к колдовству. Современные азартные игры представляют собой реликты именно таких колдовских ритуалов. Кэтрин Перри Харгрейв рассказала о происхождении, распространении и невероятном многообразии карт и карточных игр разных стран мира. Она представила гадальные, игральные, а также серии карт, призванные прививать интерес к истории, географии, геральдике, военному делу, музыке, и многие другие. Особое внимание автор уделила художникам, ремесленникам и предприятиям, занимающимся изготовлением и продажей карт. В книге воспроизведены экземпляры редких карточных серий.</t>
        </is>
      </c>
      <c r="S3434" s="26">
        <f>HYPERLINK("http://www.cnpol.ru/covers/21526.jpg","фото на сайте")</f>
        <v/>
      </c>
    </row>
    <row r="3435" ht="50.1" customHeight="1" s="3">
      <c r="A3435" s="23" t="n"/>
      <c r="B3435" s="24" t="inlineStr">
        <is>
          <t>20922</t>
        </is>
      </c>
      <c r="C3435" s="23" t="inlineStr">
        <is>
          <t>ОИ ВИ</t>
        </is>
      </c>
      <c r="D3435" s="23" t="inlineStr">
        <is>
          <t>Мюллер А.</t>
        </is>
      </c>
      <c r="E3435" s="23" t="inlineStr">
        <is>
          <t>История ислама. От доисламской истории арабов до падения династии Аббасидов в XVI веке</t>
        </is>
      </c>
      <c r="F3435" s="23" t="inlineStr">
        <is>
          <t>        </t>
        </is>
      </c>
      <c r="G3435" s="27" t="n">
        <v>1762</v>
      </c>
      <c r="H3435" s="23" t="n">
        <v>10</v>
      </c>
      <c r="I3435" s="23" t="n">
        <v>6</v>
      </c>
      <c r="J3435" s="23" t="inlineStr">
        <is>
          <t>978-5-227-10545-5</t>
        </is>
      </c>
      <c r="K3435" s="23" t="inlineStr">
        <is>
          <t>60x90 1/16</t>
        </is>
      </c>
      <c r="L3435" s="23" t="inlineStr">
        <is>
          <t>тв</t>
        </is>
      </c>
      <c r="M3435" s="23" t="n">
        <v>704</v>
      </c>
      <c r="N3435" s="23" t="n">
        <v>2023</v>
      </c>
      <c r="O3435" s="23" t="n">
        <v>784</v>
      </c>
      <c r="P3435" s="23" t="n"/>
      <c r="Q3435" s="23" t="n"/>
      <c r="R3435" s="25" t="inlineStr">
        <is>
          <t>В классическом фундаментальном труде немецкого ученого Августа Мюллера, посвященном истории ислама, проанализированы доисламская история арабов и история арабов от пророка Мухаммеда до падения арабской династии Аббасидов. По богатству материала и широте охвата стран и событий, а также благодаря титаническим усилиям автора по обработке арабских письменных источников «История ислама» и сегодня остается одним из важнейших исследований. Многие термины, понятия и названия в тексте оставлены именно так, как их написал автор. Для вдумчивого читателя не составит большого труда соотнести авторскую интерпретацию слов с их современным написанием._x000D__x000D_
Академик барон В.Р. Розен сказал об этой книге: «...я не знаю ни одного другого сочинения, которое давало бы столь ясный, связный и осмысленный общий обзор преимущественно внешней истории мусульманского мира, не говоря уже о том, что и во многих частных вопросах оно дает веские и ценные указания и разъяснения, свидетельствующие как о добросовестности, с которой автор всюду проверял своих предшественников по доступным ему источникам, так и о самостоятельности его взглядов»._x000D__x000D_
Данное издание включает 1­й и 2­й тома «Истории ислама».</t>
        </is>
      </c>
      <c r="S3435" s="26">
        <f>HYPERLINK("http://www.cnpol.ru/covers/20922.jpg","фото на сайте")</f>
        <v/>
      </c>
    </row>
    <row r="3436" ht="50.1" customHeight="1" s="3">
      <c r="A3436" s="23" t="n"/>
      <c r="B3436" s="24" t="inlineStr">
        <is>
          <t>20921</t>
        </is>
      </c>
      <c r="C3436" s="23" t="inlineStr">
        <is>
          <t>ОИ ВИ</t>
        </is>
      </c>
      <c r="D3436" s="23" t="inlineStr">
        <is>
          <t>Мюллер А.</t>
        </is>
      </c>
      <c r="E3436" s="23" t="inlineStr">
        <is>
          <t>История ислама. С основания до новейших времен</t>
        </is>
      </c>
      <c r="F3436" s="23" t="inlineStr">
        <is>
          <t>        </t>
        </is>
      </c>
      <c r="G3436" s="27" t="n">
        <v>1762</v>
      </c>
      <c r="H3436" s="23" t="n">
        <v>10</v>
      </c>
      <c r="I3436" s="23" t="n">
        <v>6</v>
      </c>
      <c r="J3436" s="23" t="inlineStr">
        <is>
          <t>978-5-227-10544-8</t>
        </is>
      </c>
      <c r="K3436" s="23" t="inlineStr">
        <is>
          <t>60x90 1/16</t>
        </is>
      </c>
      <c r="L3436" s="23" t="inlineStr">
        <is>
          <t>тв</t>
        </is>
      </c>
      <c r="M3436" s="23" t="n">
        <v>624</v>
      </c>
      <c r="N3436" s="23" t="n">
        <v>2023</v>
      </c>
      <c r="O3436" s="23" t="n">
        <v>713</v>
      </c>
      <c r="P3436" s="23" t="n"/>
      <c r="Q3436" s="23" t="n"/>
      <c r="R3436" s="25" t="inlineStr">
        <is>
          <t>Труд выдающегося немецкого ученого XIX века Августа Мюллера «История ислама» охватывает период истории арабов с древности до XIX века. В данную книгу вошли 3­й и 4­й тома, изданные в русском переводе в 1895 году и анализирующие события от мусульманской Персии до падения мусульманской Испании.</t>
        </is>
      </c>
      <c r="S3436" s="26">
        <f>HYPERLINK("http://www.cnpol.ru/covers/20921.jpg","фото на сайте")</f>
        <v/>
      </c>
    </row>
    <row r="3437" ht="50.1" customHeight="1" s="3">
      <c r="A3437" s="23" t="inlineStr">
        <is>
          <t>Н</t>
        </is>
      </c>
      <c r="B3437" s="24" t="inlineStr">
        <is>
          <t>22275</t>
        </is>
      </c>
      <c r="C3437" s="23" t="inlineStr">
        <is>
          <t>ОИ ВИ</t>
        </is>
      </c>
      <c r="D3437" s="23" t="inlineStr">
        <is>
          <t>Денисон Д.Т.</t>
        </is>
      </c>
      <c r="E3437" s="23" t="inlineStr">
        <is>
          <t>История кавалерии. Вооружение, тактика, крупнейшие сражения</t>
        </is>
      </c>
      <c r="F3437" s="23" t="inlineStr">
        <is>
          <t>        </t>
        </is>
      </c>
      <c r="G3437" s="27" t="n">
        <v>1359</v>
      </c>
      <c r="H3437" s="23" t="n">
        <v>10</v>
      </c>
      <c r="I3437" s="23" t="n">
        <v>6</v>
      </c>
      <c r="J3437" s="23" t="inlineStr">
        <is>
          <t>978-5-9524-6238-0</t>
        </is>
      </c>
      <c r="K3437" s="23" t="inlineStr">
        <is>
          <t>60x90 1/16</t>
        </is>
      </c>
      <c r="L3437" s="23" t="inlineStr">
        <is>
          <t>тв</t>
        </is>
      </c>
      <c r="M3437" s="23" t="n">
        <v>511</v>
      </c>
      <c r="N3437" s="23" t="n">
        <v>2026</v>
      </c>
      <c r="O3437" s="23" t="n">
        <v>603</v>
      </c>
      <c r="P3437" s="23" t="n"/>
      <c r="Q3437" s="23" t="n"/>
      <c r="R3437" s="25" t="inlineStr">
        <is>
          <t>"Джордж Тейлор Денисон, профессиональный военный, автор многих работ по военному делу, создал уникальный труд по всеобщей истории конницы с древнейших времен до второй половины XIX века. На примере величайших сражений автор проследил, как менялась роль и значение конницы в военных действиях разных народов на протяжении истории человечества, рассмотрел организацию конницы и тактику ведения боя в разные эпохи под знаменами великих полководцев, а также особенности вооружения и снаряжения воинов-кавалеристов.
Книга снабжена картами и схемами."</t>
        </is>
      </c>
      <c r="S3437" s="26">
        <f>HYPERLINK("http://www.cnpol.ru/covers/22275.jpg","фото на сайте")</f>
        <v/>
      </c>
    </row>
    <row r="3438" ht="50.1" customHeight="1" s="3">
      <c r="A3438" s="23" t="inlineStr">
        <is>
          <t>Д</t>
        </is>
      </c>
      <c r="B3438" s="24" t="inlineStr">
        <is>
          <t>21374</t>
        </is>
      </c>
      <c r="C3438" s="23" t="inlineStr">
        <is>
          <t>ОИ ВИ</t>
        </is>
      </c>
      <c r="D3438" s="23" t="inlineStr">
        <is>
          <t>Фицджералд Ч.П.</t>
        </is>
      </c>
      <c r="E3438" s="23" t="inlineStr">
        <is>
          <t>История Китая. Императорские династии, общественное устройство, войны и культурные традиции с древних времен до XIX века</t>
        </is>
      </c>
      <c r="F3438" s="23" t="inlineStr">
        <is>
          <t>        </t>
        </is>
      </c>
      <c r="G3438" s="27" t="n">
        <v>1513</v>
      </c>
      <c r="H3438" s="23" t="n">
        <v>10</v>
      </c>
      <c r="I3438" s="23" t="n">
        <v>8</v>
      </c>
      <c r="J3438" s="23" t="inlineStr">
        <is>
          <t>978-5-9524-6271-7</t>
        </is>
      </c>
      <c r="K3438" s="23" t="inlineStr">
        <is>
          <t>60x90 1/16</t>
        </is>
      </c>
      <c r="L3438" s="23" t="inlineStr">
        <is>
          <t>тв</t>
        </is>
      </c>
      <c r="M3438" s="23" t="n">
        <v>460</v>
      </c>
      <c r="N3438" s="23" t="n">
        <v>2024</v>
      </c>
      <c r="O3438" s="23" t="n">
        <v>583</v>
      </c>
      <c r="P3438" s="23" t="n"/>
      <c r="Q3438" s="23" t="n"/>
      <c r="R3438" s="25" t="inlineStr">
        <is>
          <t>В этой книге последовательно излагается история Китая с древних времен до XIX века. Автор рассказывает о правлении императорских династий, войнах, составлении летописей, возникновении иероглифов, общественном устройстве этой великой и загадочной страны. Книга предназначена для широкого круга читателей.</t>
        </is>
      </c>
      <c r="S3438" s="26">
        <f>HYPERLINK("http://www.cnpol.ru/covers/21374.jpg","фото на сайте")</f>
        <v/>
      </c>
    </row>
    <row r="3439" ht="50.1" customHeight="1" s="3">
      <c r="A3439" s="23" t="n"/>
      <c r="B3439" s="24" t="inlineStr">
        <is>
          <t>19394</t>
        </is>
      </c>
      <c r="C3439" s="23" t="inlineStr">
        <is>
          <t>ОИ ВИ</t>
        </is>
      </c>
      <c r="D3439" s="23" t="inlineStr">
        <is>
          <t>Штейнберг З.</t>
        </is>
      </c>
      <c r="E3439" s="23" t="inlineStr">
        <is>
          <t>История книгоиздания в Европе. Пять веков от первого печатного станка до современных технологий</t>
        </is>
      </c>
      <c r="F3439" s="23" t="inlineStr">
        <is>
          <t>        </t>
        </is>
      </c>
      <c r="G3439" s="23" t="n">
        <v>516</v>
      </c>
      <c r="H3439" s="23" t="n">
        <v>10</v>
      </c>
      <c r="I3439" s="23" t="n">
        <v>12</v>
      </c>
      <c r="J3439" s="23" t="inlineStr">
        <is>
          <t>978-5-9524-5466-8</t>
        </is>
      </c>
      <c r="K3439" s="23" t="inlineStr">
        <is>
          <t>84x108 1/32</t>
        </is>
      </c>
      <c r="L3439" s="23" t="inlineStr">
        <is>
          <t>тв</t>
        </is>
      </c>
      <c r="M3439" s="23" t="n">
        <v>288</v>
      </c>
      <c r="N3439" s="23" t="n">
        <v>2020</v>
      </c>
      <c r="O3439" s="23" t="n">
        <v>306</v>
      </c>
      <c r="P3439" s="23" t="n"/>
      <c r="Q3439" s="23" t="n"/>
      <c r="R3439" s="25" t="inlineStr">
        <is>
          <t>Исследование З. Г. Штейнберга прослеживает историю наборной печати от ее возникновения в XV веке в мастерской Гутенберга до радикальных инноваций, технических новшеств XX века, от зарождения и формирования всех характерных качеств книгопечатания до новых методов производства, распространения книг и постоянно меняющихся привычек читателей. Автор в своих наблюдениях ведет речь об эре механизации, начавшейся с изобретения литографии, исследует дизайн шрифтов, цензуру, взаимосвязь печати и образования с языком и литературой.</t>
        </is>
      </c>
      <c r="S3439" s="26">
        <f>HYPERLINK("http://www.cnpol.ru/covers/19394.jpg","фото на сайте")</f>
        <v/>
      </c>
    </row>
    <row r="3440" ht="50.1" customHeight="1" s="3">
      <c r="A3440" s="23" t="inlineStr">
        <is>
          <t>Д</t>
        </is>
      </c>
      <c r="B3440" s="24" t="inlineStr">
        <is>
          <t>21936</t>
        </is>
      </c>
      <c r="C3440" s="23" t="inlineStr">
        <is>
          <t>ОИ ВИ</t>
        </is>
      </c>
      <c r="D3440" s="23" t="inlineStr">
        <is>
          <t>Паркер Г.М.</t>
        </is>
      </c>
      <c r="E3440" s="23" t="inlineStr">
        <is>
          <t>История легионов Рима. От военной реформы Гая Мария до восхождения на престол Септимия Севера</t>
        </is>
      </c>
      <c r="F3440" s="23" t="inlineStr">
        <is>
          <t>        </t>
        </is>
      </c>
      <c r="G3440" s="23" t="n">
        <v>835</v>
      </c>
      <c r="H3440" s="23" t="n">
        <v>10</v>
      </c>
      <c r="I3440" s="23" t="n">
        <v>10</v>
      </c>
      <c r="J3440" s="23" t="inlineStr">
        <is>
          <t>978-5-9524-6574-9</t>
        </is>
      </c>
      <c r="K3440" s="23" t="inlineStr">
        <is>
          <t>84x108 1/32</t>
        </is>
      </c>
      <c r="L3440" s="23" t="inlineStr">
        <is>
          <t>тв</t>
        </is>
      </c>
      <c r="M3440" s="23" t="n">
        <v>223</v>
      </c>
      <c r="N3440" s="23" t="n">
        <v>2026</v>
      </c>
      <c r="O3440" s="23" t="n">
        <v>287</v>
      </c>
      <c r="P3440" s="23" t="n"/>
      <c r="Q3440" s="23" t="n"/>
      <c r="R3440" s="25" t="inlineStr">
        <is>
          <t>Авторитетный английский историк Г.М.Д. Паркер, преподаватель колледжа Магдалины в Оксфорде, в своей книге рассматривает все аспекты внутренней организации римской армии со времен военной реформы Гая Мария до начала III века н. э. Ученый описывает символику и атрибутику частей, вооружение и экипировку офицеров и солдат, особенности несения службы в мирное время и в период военных кампаний. Особый интерес представляют главы, посвященные повседневной жизни легионера, деталям его службы — оплате, питанию, наградам и наказаниям. Ученый также рассказывает о системе денежных накоплений, семейном положении легионеров и особенностях жизни в каструме — военном лагере.</t>
        </is>
      </c>
      <c r="S3440" s="26">
        <f>HYPERLINK("http://www.cnpol.ru/covers/21936.jpg","фото на сайте")</f>
        <v/>
      </c>
    </row>
    <row r="3441" ht="50.1" customHeight="1" s="3">
      <c r="A3441" s="23" t="inlineStr">
        <is>
          <t>Н</t>
        </is>
      </c>
      <c r="B3441" s="24" t="inlineStr">
        <is>
          <t>22276</t>
        </is>
      </c>
      <c r="C3441" s="23" t="inlineStr">
        <is>
          <t>ОИ ВИ</t>
        </is>
      </c>
      <c r="D3441" s="23" t="inlineStr">
        <is>
          <t>Чёрчвард А.</t>
        </is>
      </c>
      <c r="E3441" s="23" t="inlineStr">
        <is>
          <t>История масонской символики. Основные понятия, атрибуты и ритуалы</t>
        </is>
      </c>
      <c r="F3441" s="23" t="inlineStr">
        <is>
          <t>        </t>
        </is>
      </c>
      <c r="G3441" s="23" t="n">
        <v>915</v>
      </c>
      <c r="H3441" s="23" t="n">
        <v>10</v>
      </c>
      <c r="I3441" s="23" t="n">
        <v>10</v>
      </c>
      <c r="J3441" s="23" t="inlineStr">
        <is>
          <t>978-5-9524-6301-1</t>
        </is>
      </c>
      <c r="K3441" s="23" t="inlineStr">
        <is>
          <t>84x108 1/32</t>
        </is>
      </c>
      <c r="L3441" s="23" t="inlineStr">
        <is>
          <t>тв</t>
        </is>
      </c>
      <c r="M3441" s="23" t="n">
        <v>252</v>
      </c>
      <c r="N3441" s="23" t="n">
        <v>2026</v>
      </c>
      <c r="O3441" s="23" t="n">
        <v>313</v>
      </c>
      <c r="P3441" s="23" t="n"/>
      <c r="Q3441" s="23" t="n"/>
      <c r="R3441" s="25" t="inlineStr">
        <is>
          <t>Система ценностей и суть тайного Братства скрыта в аллегориях и отображена в символах, зачастую непонятных непосвященному. Известный историк, писатель-масон Альберт Чёрчвард, объясняет основные понятия и атрибуты масонства, устанавливает их происхождение от древнего ритуала Звездного культа, раскрывает значение основных символов — всевидящего ока, треугольника и креста, — приоткрывает тайну происхождения Божественного имени.</t>
        </is>
      </c>
      <c r="S3441" s="26">
        <f>HYPERLINK("http://www.cnpol.ru/covers/22276.jpg","фото на сайте")</f>
        <v/>
      </c>
    </row>
    <row r="3442" ht="50.1" customHeight="1" s="3">
      <c r="A3442" s="23" t="n"/>
      <c r="B3442" s="24" t="inlineStr">
        <is>
          <t>20142</t>
        </is>
      </c>
      <c r="C3442" s="23" t="inlineStr">
        <is>
          <t>ОИ ВИ</t>
        </is>
      </c>
      <c r="D3442" s="23" t="inlineStr">
        <is>
          <t>Даллес А</t>
        </is>
      </c>
      <c r="E3442" s="23" t="inlineStr">
        <is>
          <t>История мирового шпионажа. Легендарный шеф ЦРУ о суперагентах всех времен и народов</t>
        </is>
      </c>
      <c r="F3442" s="23" t="inlineStr">
        <is>
          <t>        </t>
        </is>
      </c>
      <c r="G3442" s="23" t="n">
        <v>633</v>
      </c>
      <c r="H3442" s="23" t="n">
        <v>10</v>
      </c>
      <c r="I3442" s="23" t="n">
        <v>10</v>
      </c>
      <c r="J3442" s="23" t="inlineStr">
        <is>
          <t>978-5-9524-5694-5</t>
        </is>
      </c>
      <c r="K3442" s="23" t="inlineStr">
        <is>
          <t>84x108 1/32</t>
        </is>
      </c>
      <c r="L3442" s="23" t="inlineStr">
        <is>
          <t>тв</t>
        </is>
      </c>
      <c r="M3442" s="23" t="n">
        <v>448</v>
      </c>
      <c r="N3442" s="23" t="n">
        <v>2022</v>
      </c>
      <c r="O3442" s="23" t="n">
        <v>348</v>
      </c>
      <c r="P3442" s="23" t="n"/>
      <c r="Q3442" s="23" t="n"/>
      <c r="R3442" s="25" t="inlineStr">
        <is>
          <t>Книга составлена Алленом Даллесом — супершпионом, легендарным шефом ЦРУ, автором многих бестселлеров, в том числе «ЦРУ против КГБ. Искусство шпионажа». В книге повествуется о 39 ярчайших эпизодах из богатой истории мирового шпионажа. Каждый эпизод снабжен личными комментариями Аллена Даллеса. Среди героев книги — специалисты по тайным убийствам, создатели крупнейших агентурных сетей, знатоки методов технического шпионажа, «нелегалы», шпионы­«оборотни», агенты­«двойники» и другие представители этой необычной профессии, чья жизнь проходит под грифом «Совершенно секретно!».</t>
        </is>
      </c>
      <c r="S3442" s="26">
        <f>HYPERLINK("http://www.cnpol.ru/covers/20142.jpg","фото на сайте")</f>
        <v/>
      </c>
    </row>
    <row r="3443" ht="50.1" customHeight="1" s="3">
      <c r="A3443" s="23" t="n"/>
      <c r="B3443" s="24" t="inlineStr">
        <is>
          <t>19471</t>
        </is>
      </c>
      <c r="C3443" s="23" t="inlineStr">
        <is>
          <t>ОИ ВИ</t>
        </is>
      </c>
      <c r="D3443" s="23" t="inlineStr">
        <is>
          <t>Тосканская Л.</t>
        </is>
      </c>
      <c r="E3443" s="23" t="inlineStr">
        <is>
          <t>История моей жизни. Наследная принцесса Саксонии о скандале в королевской семье</t>
        </is>
      </c>
      <c r="F3443" s="23" t="inlineStr">
        <is>
          <t>        </t>
        </is>
      </c>
      <c r="G3443" s="23" t="n">
        <v>516</v>
      </c>
      <c r="H3443" s="23" t="n">
        <v>10</v>
      </c>
      <c r="I3443" s="23" t="n">
        <v>14</v>
      </c>
      <c r="J3443" s="23" t="inlineStr">
        <is>
          <t>978-5-9524-5483-5</t>
        </is>
      </c>
      <c r="K3443" s="23" t="inlineStr">
        <is>
          <t>84x108 1/32</t>
        </is>
      </c>
      <c r="L3443" s="23" t="inlineStr">
        <is>
          <t>тв</t>
        </is>
      </c>
      <c r="M3443" s="23" t="n">
        <v>288</v>
      </c>
      <c r="N3443" s="23" t="n">
        <v>2021</v>
      </c>
      <c r="O3443" s="23" t="n">
        <v>268</v>
      </c>
      <c r="P3443" s="23" t="n"/>
      <c r="Q3443" s="23" t="n"/>
      <c r="R3443" s="25" t="inlineStr">
        <is>
          <t>Кронпринцесса Луиза Тосканская была умна, хороша собой и отличалась живым, открытым нравом. Ей было тесно в рамках чопорного этикета саксонского королевского двора, она часто нарушала его, приводя в ярость своего свекра — короля Георга. И однажды она отважилась на безумный шаг… Почти десять лет муссировались обществом скандальные слухи о бегстве кронпринцессы с любовником и о ее бесконечных романах. Наконец, лишенная всех титулов принцесса решилась предать огласке истинную историю своей жизни.</t>
        </is>
      </c>
      <c r="S3443" s="26">
        <f>HYPERLINK("http://www.cnpol.ru/covers/19471.jpg","фото на сайте")</f>
        <v/>
      </c>
    </row>
    <row r="3444" ht="50.1" customHeight="1" s="3">
      <c r="A3444" s="23" t="inlineStr">
        <is>
          <t>Н</t>
        </is>
      </c>
      <c r="B3444" s="24" t="inlineStr">
        <is>
          <t>21918</t>
        </is>
      </c>
      <c r="C3444" s="23" t="inlineStr">
        <is>
          <t>ОИ ВИ</t>
        </is>
      </c>
      <c r="D3444" s="23" t="inlineStr">
        <is>
          <t>Шпулер Б.</t>
        </is>
      </c>
      <c r="E3444" s="23" t="inlineStr">
        <is>
          <t>История монголов. По восточным и европейским свидетельствам XIII—XIV веков</t>
        </is>
      </c>
      <c r="F3444" s="23" t="inlineStr">
        <is>
          <t>        </t>
        </is>
      </c>
      <c r="G3444" s="23" t="n">
        <v>513</v>
      </c>
      <c r="H3444" s="23" t="n">
        <v>10</v>
      </c>
      <c r="I3444" s="23" t="n">
        <v>12</v>
      </c>
      <c r="J3444" s="23" t="inlineStr">
        <is>
          <t>978-5-9524-6382-0</t>
        </is>
      </c>
      <c r="K3444" s="23" t="inlineStr">
        <is>
          <t>84x108 1/32</t>
        </is>
      </c>
      <c r="L3444" s="23" t="inlineStr">
        <is>
          <t>тв</t>
        </is>
      </c>
      <c r="M3444" s="23" t="n">
        <v>287</v>
      </c>
      <c r="N3444" s="23" t="n">
        <v>2026</v>
      </c>
      <c r="O3444" s="23" t="n">
        <v>421</v>
      </c>
      <c r="P3444" s="23" t="n"/>
      <c r="Q3444" s="23" t="n"/>
      <c r="R3444" s="25" t="inlineStr">
        <is>
          <t>Бертольд Шпулер, блестящий немецкий ученый, востоковед, признанный специалист по истории Восточной Европы, создал интереснейший труд, посвященный истории монголов. Используя обширный спектр оригинальных источников, автор освещает и анализирует практически все стороны жизни монгольского народа: государственный строй, политику, право, военное дело, религию, экономику, искусство, семейные отношения, способы ведения хозяйства, обряды. Особую окраску повествованию придают цитируемые автором фрагменты из литературных источников и свидетельств современников XIII—XIV вв.</t>
        </is>
      </c>
      <c r="S3444" s="26">
        <f>HYPERLINK("http://www.cnpol.ru/covers/21918.jpg","фото на сайте")</f>
        <v/>
      </c>
    </row>
    <row r="3445" ht="50.1" customHeight="1" s="3">
      <c r="A3445" s="23" t="inlineStr">
        <is>
          <t>Д</t>
        </is>
      </c>
      <c r="B3445" s="24" t="inlineStr">
        <is>
          <t>22060</t>
        </is>
      </c>
      <c r="C3445" s="23" t="inlineStr">
        <is>
          <t>ОИ ВИ</t>
        </is>
      </c>
      <c r="D3445" s="23" t="inlineStr">
        <is>
          <t>Сондерс Д.</t>
        </is>
      </c>
      <c r="E3445" s="23" t="inlineStr">
        <is>
          <t>История монгольских завоеваний. Великая империя кочевников от основания до упадка</t>
        </is>
      </c>
      <c r="F3445" s="23" t="inlineStr">
        <is>
          <t>        </t>
        </is>
      </c>
      <c r="G3445" s="23" t="n">
        <v>976</v>
      </c>
      <c r="H3445" s="23" t="n">
        <v>10</v>
      </c>
      <c r="I3445" s="23" t="n">
        <v>10</v>
      </c>
      <c r="J3445" s="23" t="inlineStr">
        <is>
          <t>978-5-9524-6653-1</t>
        </is>
      </c>
      <c r="K3445" s="23" t="inlineStr">
        <is>
          <t>84x108 1/32</t>
        </is>
      </c>
      <c r="L3445" s="23" t="inlineStr">
        <is>
          <t>тв</t>
        </is>
      </c>
      <c r="M3445" s="23" t="n">
        <v>288</v>
      </c>
      <c r="N3445" s="23" t="n">
        <v>2026</v>
      </c>
      <c r="O3445" s="23" t="n">
        <v>350</v>
      </c>
      <c r="P3445" s="23" t="n"/>
      <c r="Q3445" s="23" t="n"/>
      <c r="R3445" s="25" t="inlineStr">
        <is>
          <t>Книга посвящена непревзойденным по размаху монгольским завоеваниям XIII века, когда кочевники Центральной Азии в течение короткого времени завладели территорией, которая простиралась через всю Азию до границ с Германией и берегов Адриатического моря. Автор  излагает документально подтвержденную историю взлета и падения великой монгольской империи. Рассказывает о евразийском кочевничестве, нашествии монголов на Европу и христианском ответе на  него. Приводит подробности правления монголов в Китае и Персии. Рисует портреты их правителей: великих ханов, и прежде всего легендарного Чингисхана, монгольских властителей Китая и ханов Золотой и Белой Орды.  Повествование завершается тем, как монголы были остановлены на краю Европы и вытеснены с Ближнего Востока.</t>
        </is>
      </c>
      <c r="S3445" s="26">
        <f>HYPERLINK("http://www.cnpol.ru/covers/22060.jpg","фото на сайте")</f>
        <v/>
      </c>
    </row>
    <row r="3446" ht="50.1" customHeight="1" s="3">
      <c r="A3446" s="23" t="inlineStr">
        <is>
          <t>Д</t>
        </is>
      </c>
      <c r="B3446" s="24" t="inlineStr">
        <is>
          <t>21739</t>
        </is>
      </c>
      <c r="C3446" s="23" t="inlineStr">
        <is>
          <t>ОИ ВИ</t>
        </is>
      </c>
      <c r="D3446" s="23" t="inlineStr">
        <is>
          <t>Шпулер Б.</t>
        </is>
      </c>
      <c r="E3446" s="23" t="inlineStr">
        <is>
          <t>История мусульманского мира: Век халифов. Монгольский период</t>
        </is>
      </c>
      <c r="F3446" s="23" t="inlineStr">
        <is>
          <t>        </t>
        </is>
      </c>
      <c r="G3446" s="23" t="n">
        <v>936</v>
      </c>
      <c r="H3446" s="23" t="n">
        <v>10</v>
      </c>
      <c r="I3446" s="23" t="n">
        <v>7</v>
      </c>
      <c r="J3446" s="23" t="inlineStr">
        <is>
          <t>978-5-9524-6468-1</t>
        </is>
      </c>
      <c r="K3446" s="23" t="inlineStr">
        <is>
          <t>84x108 1/32</t>
        </is>
      </c>
      <c r="L3446" s="23" t="inlineStr">
        <is>
          <t>тв</t>
        </is>
      </c>
      <c r="M3446" s="23" t="n">
        <v>287</v>
      </c>
      <c r="N3446" s="23" t="n">
        <v>2025</v>
      </c>
      <c r="O3446" s="23" t="n">
        <v>256</v>
      </c>
      <c r="P3446" s="23" t="n"/>
      <c r="Q3446" s="23" t="n"/>
      <c r="R3446" s="25" t="inlineStr">
        <is>
          <t>Бертольд Шпулер – немецкий историк, востоковед, тюрколог, один из ведущих экспертов по истории ислама, представляет историю исламской цивилизации — «Век халифов», как глобальное явление, выходящее за пределы доктрин мусульманской религии, включающее культурное наследие, в которое внесли больший или меньший вклад все мусульманские круги. Шпулер повествует о взлете и падении как великих династий Омейядов, Аббасидов, так и мало известных династий Насридов, Хафсидов и других. Он также обращает внимание на испанский ислам, особенно подчеркивая его самобытность. «Монгольский период» – это история монголов и стран, с которыми они устанавливали контакты и вступали в конфликты: Великая Монгольская империя (Чингисхан и его преемники), государство ильханов Персии, монголы в Центральной Азии, Египет мамлюков, Тимур, Индия до и после Тимура. Автор пишет о мусульманах в Восточной Европе и на русских территориях. Его труд упорядочен, интересен и понятен.</t>
        </is>
      </c>
      <c r="S3446" s="26">
        <f>HYPERLINK("http://www.cnpol.ru/covers/21739.jpg","фото на сайте")</f>
        <v/>
      </c>
    </row>
    <row r="3447" ht="50.1" customHeight="1" s="3">
      <c r="A3447" s="23" t="inlineStr">
        <is>
          <t>Д</t>
        </is>
      </c>
      <c r="B3447" s="24" t="inlineStr">
        <is>
          <t>22170</t>
        </is>
      </c>
      <c r="C3447" s="23" t="inlineStr">
        <is>
          <t>ОИ ВИ</t>
        </is>
      </c>
      <c r="D3447" s="23" t="inlineStr">
        <is>
          <t>Бобжиньский М.</t>
        </is>
      </c>
      <c r="E3447" s="23" t="inlineStr">
        <is>
          <t>История Польши. В 2 т. Т. I. От зарождения государства до разделов Речи Посполитой. X—XVIII вв.</t>
        </is>
      </c>
      <c r="F3447" s="23" t="n">
        <v>1</v>
      </c>
      <c r="G3447" s="27" t="n">
        <v>1903</v>
      </c>
      <c r="H3447" s="23" t="n">
        <v>10</v>
      </c>
      <c r="I3447" s="23" t="n">
        <v>6</v>
      </c>
      <c r="J3447" s="23" t="inlineStr">
        <is>
          <t>978-5-227-11348-1</t>
        </is>
      </c>
      <c r="K3447" s="23" t="inlineStr">
        <is>
          <t>60x90 1/16</t>
        </is>
      </c>
      <c r="L3447" s="23" t="inlineStr">
        <is>
          <t>тв</t>
        </is>
      </c>
      <c r="M3447" s="23" t="n">
        <v>687</v>
      </c>
      <c r="N3447" s="23" t="n">
        <v>2026</v>
      </c>
      <c r="O3447" s="23" t="n">
        <v>778</v>
      </c>
      <c r="P3447" s="23" t="n"/>
      <c r="Q3447" s="23" t="n"/>
      <c r="R3447" s="25" t="inlineStr">
        <is>
          <t>Первый том труда известного польского историка, а также наместника королевства Галиции и Лодомерии в составе Австро-Венгрии, посвящен изложению событий с момента зарождения польского государства до разделов Речи Посполитой в конце XVIII века. Анализируя архивные документы, критически осмысливая многочисленные работы других ученых, автор беспристрастно излагает исторические факты, давая возможность понять глубинные процессы, протекавшие в то время не только в Польше, но и во всей Европе, а также осознать причины многих событий сегодняшнего дня.</t>
        </is>
      </c>
      <c r="S3447" s="26">
        <f>HYPERLINK("http://www.cnpol.ru/covers/22170.jpg","фото на сайте")</f>
        <v/>
      </c>
    </row>
    <row r="3448" ht="50.1" customHeight="1" s="3">
      <c r="A3448" s="23" t="n"/>
      <c r="B3448" s="24" t="inlineStr">
        <is>
          <t>20980</t>
        </is>
      </c>
      <c r="C3448" s="23" t="inlineStr">
        <is>
          <t>ОИ ВИ</t>
        </is>
      </c>
      <c r="D3448" s="23" t="inlineStr">
        <is>
          <t>Бобжиньский М.</t>
        </is>
      </c>
      <c r="E3448" s="23" t="inlineStr">
        <is>
          <t>История Польши. В 2 т. Т. II. Восстановление польского государства. XVIII—XX вв.</t>
        </is>
      </c>
      <c r="F3448" s="23" t="n">
        <v>2</v>
      </c>
      <c r="G3448" s="23" t="n">
        <v>806</v>
      </c>
      <c r="H3448" s="23" t="n">
        <v>10</v>
      </c>
      <c r="I3448" s="23" t="n">
        <v>10</v>
      </c>
      <c r="J3448" s="23" t="inlineStr">
        <is>
          <t>978-5-227-10533-2</t>
        </is>
      </c>
      <c r="K3448" s="23" t="inlineStr">
        <is>
          <t>60x90 1/16</t>
        </is>
      </c>
      <c r="L3448" s="23" t="inlineStr">
        <is>
          <t>тв</t>
        </is>
      </c>
      <c r="M3448" s="23" t="n">
        <v>479</v>
      </c>
      <c r="N3448" s="23" t="n">
        <v>2024</v>
      </c>
      <c r="O3448" s="23" t="n">
        <v>523</v>
      </c>
      <c r="P3448" s="23" t="n"/>
      <c r="Q3448" s="23" t="n"/>
      <c r="R3448" s="25" t="inlineStr">
        <is>
          <t>Второй том труда известного польского историка, а также наместника королевства Галиции и Лодомерии в составе Австро-Венгрии, посвящен изложению событий после третьего раздела Речи Посполитой до восстановления польского государства в 1918 году и установления границ в 1923 году. Анализируя архивные документы, критически осмысливая многочисленные работы других ученых и, кроме того, основываясь на собственном опыте политической деятельности, автор беспристрастно излагает исторические факты, давая возможность понять глубинные процессы, протекавшие в то время не только в Польше, но и во всей Европе, а также осознать причины многих событий сегодняшнего дня.</t>
        </is>
      </c>
      <c r="S3448" s="26">
        <f>HYPERLINK("http://www.cnpol.ru/covers/20980.jpg","фото на сайте")</f>
        <v/>
      </c>
    </row>
    <row r="3449" ht="50.1" customHeight="1" s="3">
      <c r="A3449" s="23" t="inlineStr">
        <is>
          <t>Н</t>
        </is>
      </c>
      <c r="B3449" s="24" t="inlineStr">
        <is>
          <t>21995</t>
        </is>
      </c>
      <c r="C3449" s="23" t="inlineStr">
        <is>
          <t>ОИ ВИ</t>
        </is>
      </c>
      <c r="D3449" s="23" t="inlineStr">
        <is>
          <t>Раух Г.ф.</t>
        </is>
      </c>
      <c r="E3449" s="23" t="inlineStr">
        <is>
          <t>История Прибалтийских государств между двумя мировыми войнами. Движение по пути к независимости</t>
        </is>
      </c>
      <c r="F3449" s="23" t="inlineStr">
        <is>
          <t>        </t>
        </is>
      </c>
      <c r="G3449" s="23" t="n">
        <v>555</v>
      </c>
      <c r="H3449" s="23" t="n">
        <v>10</v>
      </c>
      <c r="I3449" s="23" t="n">
        <v>10</v>
      </c>
      <c r="J3449" s="23" t="inlineStr">
        <is>
          <t>978-5-9524-6565-7</t>
        </is>
      </c>
      <c r="K3449" s="23" t="inlineStr">
        <is>
          <t>84x108 1/32</t>
        </is>
      </c>
      <c r="L3449" s="23" t="inlineStr">
        <is>
          <t>тв</t>
        </is>
      </c>
      <c r="M3449" s="23" t="n">
        <v>319</v>
      </c>
      <c r="N3449" s="23" t="n">
        <v>2026</v>
      </c>
      <c r="O3449" s="23" t="n">
        <v>276</v>
      </c>
      <c r="P3449" s="23" t="n"/>
      <c r="Q3449" s="23" t="n"/>
      <c r="R3449" s="25" t="inlineStr">
        <is>
          <t>"Известный немецкий ученый Георг фон Раух, специалист по истории России и стран Балтии, на основании обширного фактического материала рассматривает период существования независимых Прибалтийских государств между двумя мировыми войнами. Наряду с историей народов Балтии, ученый уделил особое внимание живущим на этих территориях прибалтийским немцам. Автор исследует все стороны экономической, политической и культурной жизни Эстонии, Латвии и Литвы и позволяет взглянуть на происходившие события глазами их жителей. 
В конце книги представлен список президентов и премьер-министров Прибалтийских государств."</t>
        </is>
      </c>
      <c r="S3449" s="26">
        <f>HYPERLINK("http://www.cnpol.ru/covers/21995.jpg","фото на сайте")</f>
        <v/>
      </c>
    </row>
    <row r="3450" ht="50.1" customHeight="1" s="3">
      <c r="A3450" s="23" t="inlineStr">
        <is>
          <t>Д</t>
        </is>
      </c>
      <c r="B3450" s="24" t="inlineStr">
        <is>
          <t>21968</t>
        </is>
      </c>
      <c r="C3450" s="23" t="inlineStr">
        <is>
          <t>ОИ ВИ</t>
        </is>
      </c>
      <c r="D3450" s="23" t="inlineStr">
        <is>
          <t>Виттрам Р.</t>
        </is>
      </c>
      <c r="E3450" s="23" t="inlineStr">
        <is>
          <t>История прибалтийских народов. От подданных Ливонского ордена до независимых государств</t>
        </is>
      </c>
      <c r="F3450" s="23" t="inlineStr">
        <is>
          <t>        </t>
        </is>
      </c>
      <c r="G3450" s="27" t="n">
        <v>1143</v>
      </c>
      <c r="H3450" s="23" t="n">
        <v>10</v>
      </c>
      <c r="I3450" s="23" t="n">
        <v>6</v>
      </c>
      <c r="J3450" s="23" t="inlineStr">
        <is>
          <t>978-5-9524-6601-2</t>
        </is>
      </c>
      <c r="K3450" s="23" t="inlineStr">
        <is>
          <t>84x108 1/32</t>
        </is>
      </c>
      <c r="L3450" s="23" t="inlineStr">
        <is>
          <t>тв</t>
        </is>
      </c>
      <c r="M3450" s="23" t="n">
        <v>413</v>
      </c>
      <c r="N3450" s="23" t="n">
        <v>2026</v>
      </c>
      <c r="O3450" s="23" t="n">
        <v>460</v>
      </c>
      <c r="P3450" s="23" t="n"/>
      <c r="Q3450" s="23" t="n"/>
      <c r="R3450" s="25" t="inlineStr">
        <is>
          <t>Автор, основываясь на малоизвестных исторических документах и исследованиях ряда ученых, рассматривает развитие прибалтийских земель, ныне Латвии и Эстонии, с конца XII и до начала XX столетия. Особое внимание уделяется роли германских рыцарей и немецких дворян, а также церкви, в создании государственности в этих регионах. Показано, как проявлялось влияние различных держав, в разные периоды господствовавших в Прибалтике. В этой связи особый интерес представляет раскрытие автором позиции прибалтийских немцев в отношении Российской империи, особенно после ее победы над шведами в Северной войне и начала реформ Петра I.</t>
        </is>
      </c>
      <c r="S3450" s="26">
        <f>HYPERLINK("http://www.cnpol.ru/covers/21968.jpg","фото на сайте")</f>
        <v/>
      </c>
    </row>
    <row r="3451" ht="50.1" customHeight="1" s="3">
      <c r="A3451" s="23" t="inlineStr">
        <is>
          <t>Н</t>
        </is>
      </c>
      <c r="B3451" s="24" t="inlineStr">
        <is>
          <t>21303</t>
        </is>
      </c>
      <c r="C3451" s="23" t="inlineStr">
        <is>
          <t>ОИ ВИ</t>
        </is>
      </c>
      <c r="D3451" s="23" t="inlineStr">
        <is>
          <t>Доу Джордж Ф.</t>
        </is>
      </c>
      <c r="E3451" s="23" t="inlineStr">
        <is>
          <t>История работорговли. Экспедиции за невольниками в Атлантике. Свидетельства участников</t>
        </is>
      </c>
      <c r="F3451" s="23" t="inlineStr">
        <is>
          <t>        </t>
        </is>
      </c>
      <c r="G3451" s="27" t="n">
        <v>1184</v>
      </c>
      <c r="H3451" s="23" t="n">
        <v>10</v>
      </c>
      <c r="I3451" s="23" t="n">
        <v>10</v>
      </c>
      <c r="J3451" s="23" t="inlineStr">
        <is>
          <t>978-5-9524-6201-4</t>
        </is>
      </c>
      <c r="K3451" s="23" t="inlineStr">
        <is>
          <t>84x108 1/32</t>
        </is>
      </c>
      <c r="L3451" s="23" t="inlineStr">
        <is>
          <t>тв</t>
        </is>
      </c>
      <c r="M3451" s="23" t="n">
        <v>383</v>
      </c>
      <c r="N3451" s="23" t="n">
        <v>2024</v>
      </c>
      <c r="O3451" s="23" t="n">
        <v>350</v>
      </c>
      <c r="P3451" s="23" t="n"/>
      <c r="Q3451" s="23" t="n"/>
      <c r="R3451" s="25" t="inlineStr">
        <is>
          <t>Джордж Фрэнсис Доу, историк и собиратель древностей, автор многих книг о прошлом Америки, уверен, что в морской летописи не было более черных страниц, чем те, которые рассказывают о странствиях невольничьих кораблей. Все морские суда с трюмами, набитыми чернокожими рабами, захваченными во время племенных войн или похищенными в мирное время, направлялись от побережья Гвинейского залива в Вест-Индию, в американские колонии, ставшие Соединенными Штатами, где несчастных продавали или обменивали на самые разные товары. В книге собраны воспоминания судовых врачей, капитанов и пассажиров, а также письменные отчеты для парламентских комиссий по расследованию работорговли, дано описание ее коммерческой структуры._x000D_
Повествование сопровождает более 50 гравюр и других иллюстраций.</t>
        </is>
      </c>
      <c r="S3451" s="26">
        <f>HYPERLINK("http://www.cnpol.ru/covers/21303.jpg","фото на сайте")</f>
        <v/>
      </c>
    </row>
    <row r="3452" ht="50.1" customHeight="1" s="3">
      <c r="A3452" s="23" t="n"/>
      <c r="B3452" s="24" t="inlineStr">
        <is>
          <t>18948</t>
        </is>
      </c>
      <c r="C3452" s="23" t="inlineStr">
        <is>
          <t>ОИ ВИ</t>
        </is>
      </c>
      <c r="D3452" s="23" t="inlineStr">
        <is>
          <t>Брэдфорд Э.</t>
        </is>
      </c>
      <c r="E3452" s="23" t="inlineStr">
        <is>
          <t>История рыцарей Мальты. Тысяча лет завоеваний и потерь старейшего в мире религиозного ордена</t>
        </is>
      </c>
      <c r="F3452" s="23" t="inlineStr">
        <is>
          <t>        </t>
        </is>
      </c>
      <c r="G3452" s="23" t="n">
        <v>508</v>
      </c>
      <c r="H3452" s="23" t="n">
        <v>10</v>
      </c>
      <c r="I3452" s="23" t="n">
        <v>16</v>
      </c>
      <c r="J3452" s="23" t="inlineStr">
        <is>
          <t>978-5-9524-5398-2</t>
        </is>
      </c>
      <c r="K3452" s="23" t="inlineStr">
        <is>
          <t>84x108 1/32</t>
        </is>
      </c>
      <c r="L3452" s="23" t="inlineStr">
        <is>
          <t>тв</t>
        </is>
      </c>
      <c r="M3452" s="23" t="n">
        <v>256</v>
      </c>
      <c r="N3452" s="23" t="n">
        <v>2019</v>
      </c>
      <c r="O3452" s="23" t="n">
        <v>236</v>
      </c>
      <c r="P3452" s="23" t="n"/>
      <c r="Q3452" s="23" t="n"/>
      <c r="R3452" s="25" t="inlineStr">
        <is>
          <t>Видный британский историк Эрнл Брэдфорд, специалист по Средиземноморью, живо и наглядно описал в своей книге историю рыцарей Суверенного военного ордена святого Иоанна Иерусалимского, Родосского и Мальтийского. Начав с основания ордена братом Жераром во время Крестовых походов, автор прослеживает его взлеты и поражения на протяжении многих веков существования, рассказывает, как орден скитался по миру после изгнания из Иерусалима, потом с Родоса и Мальты. Военная доблесть ордена достигла высшей точки, когда рыцари добились потрясающей победы над турками, оправдав свое название щита Европы. Наполеон изгнал рыцарей из их последнего островного дома — с Мальты. Казалось бы, с орденом было покончено. Но нет. Орден святого Иоанна, словно птица Феникс, возродился из пепла и продолжает существовать до сих пор.</t>
        </is>
      </c>
      <c r="S3452" s="26">
        <f>HYPERLINK("http://www.cnpol.ru/covers/18948.jpg","фото на сайте")</f>
        <v/>
      </c>
    </row>
    <row r="3453" ht="50.1" customHeight="1" s="3">
      <c r="A3453" s="23" t="inlineStr">
        <is>
          <t>Н</t>
        </is>
      </c>
      <c r="B3453" s="24" t="inlineStr">
        <is>
          <t>21443</t>
        </is>
      </c>
      <c r="C3453" s="23" t="inlineStr">
        <is>
          <t>ОИ ВИ</t>
        </is>
      </c>
      <c r="D3453" s="23" t="inlineStr">
        <is>
          <t>Хильгер Г.</t>
        </is>
      </c>
      <c r="E3453" s="23" t="inlineStr">
        <is>
          <t>История советско-германских  отношений. Воспоминания советника посольства Германии в Москве. 1918—1941 гг.</t>
        </is>
      </c>
      <c r="F3453" s="23" t="inlineStr">
        <is>
          <t>        </t>
        </is>
      </c>
      <c r="G3453" s="27" t="n">
        <v>1183</v>
      </c>
      <c r="H3453" s="23" t="n">
        <v>10</v>
      </c>
      <c r="I3453" s="23" t="n">
        <v>5</v>
      </c>
      <c r="J3453" s="23" t="inlineStr">
        <is>
          <t>978-5-9524-5960-1</t>
        </is>
      </c>
      <c r="K3453" s="23" t="inlineStr">
        <is>
          <t>60x90 1/16</t>
        </is>
      </c>
      <c r="L3453" s="23" t="inlineStr">
        <is>
          <t>тв</t>
        </is>
      </c>
      <c r="M3453" s="23" t="n">
        <v>415</v>
      </c>
      <c r="N3453" s="23" t="n">
        <v>2023</v>
      </c>
      <c r="O3453" s="23" t="n">
        <v>425</v>
      </c>
      <c r="P3453" s="23" t="n"/>
      <c r="Q3453" s="23" t="n"/>
      <c r="R3453" s="25" t="inlineStr">
        <is>
          <t>Отношения, связавшие Германию и Советский Союз перед началом Великой Отечественной войны, определили один из самых роковых этапов мировой истории. Это «затишье перед бурей» подверглось анализу огромного количества исследователей. Тем не менее Густаву Хильгеру, занимавшему в предвоенные годы пост советника немецкого посольства в Москве, в соавторстве с историком А. Мейером удалось по-новому взглянуть на давно известные факты. Он не только детально проанализировал особенности нацистско-советского сотрудничества, но и смог пролить свет на идеи, мотивы поступков и общее мировоззрение человека из числа тех, кто серьезно повлиял на внешнеполитический курс Германии в 20-х и 30-х годах XX века. В книге представлены оригинальные и яркие концепции различных направлений, редкие архивные документы, ценные свидетельства очевидцев.</t>
        </is>
      </c>
      <c r="S3453" s="26">
        <f>HYPERLINK("http://www.cnpol.ru/covers/21443.jpg","фото на сайте")</f>
        <v/>
      </c>
    </row>
    <row r="3454" ht="50.1" customHeight="1" s="3">
      <c r="A3454" s="23" t="inlineStr">
        <is>
          <t>Н</t>
        </is>
      </c>
      <c r="B3454" s="24" t="inlineStr">
        <is>
          <t>21645</t>
        </is>
      </c>
      <c r="C3454" s="23" t="inlineStr">
        <is>
          <t>ОИ ВИ</t>
        </is>
      </c>
      <c r="D3454" s="23" t="inlineStr">
        <is>
          <t>Невинс А.,Коммаджер Г.С.</t>
        </is>
      </c>
      <c r="E3454" s="23" t="inlineStr">
        <is>
          <t>История Соединенных Штатов Америки. Судьбоносные события страны, прошедшей путь от разрозненных колоний до сильнейшей мировой державы</t>
        </is>
      </c>
      <c r="F3454" s="23" t="inlineStr">
        <is>
          <t>        </t>
        </is>
      </c>
      <c r="G3454" s="27" t="n">
        <v>1460</v>
      </c>
      <c r="H3454" s="23" t="n">
        <v>10</v>
      </c>
      <c r="I3454" s="23" t="n">
        <v>5</v>
      </c>
      <c r="J3454" s="23" t="inlineStr">
        <is>
          <t>978-5-9524-6400-1</t>
        </is>
      </c>
      <c r="K3454" s="23" t="inlineStr">
        <is>
          <t>84x108 1/32</t>
        </is>
      </c>
      <c r="L3454" s="23" t="inlineStr">
        <is>
          <t>тв</t>
        </is>
      </c>
      <c r="M3454" s="23" t="n">
        <v>575</v>
      </c>
      <c r="N3454" s="23" t="n">
        <v>2025</v>
      </c>
      <c r="O3454" s="23" t="n">
        <v>520</v>
      </c>
      <c r="P3454" s="23" t="n"/>
      <c r="Q3454" s="23" t="n"/>
      <c r="R3454" s="25" t="inlineStr">
        <is>
          <t>Авторы книги, авторитетные американские ученые — профессор истории, дважды лауреат Пулитцеровской премии А. Невинс и профессор американистики Г. Коммаджер, — посвятили свой труд самому смелому мировому опыту, когда-либо предпринятому в области слияния народов, социального равенства, экономических возможностей и политической демократии. Возникновение колоний в Новом Свете, революция и конфедерация, рост национального единства, борьба внутри общества и братоубийственная Гражданская война, рождение и рост крупного предпринимательства, превращение США в мировую державу, участие в двух мировых войнах и преодоление послевоенных проблем… Анализируя эти и многие другие события истории страны, рисуя подробные портреты национальных героев и крупных политических деятелей, авторы дают возможность лучше понять пути становления великой державы.</t>
        </is>
      </c>
      <c r="S3454" s="26">
        <f>HYPERLINK("http://www.cnpol.ru/covers/21645.jpg","фото на сайте")</f>
        <v/>
      </c>
    </row>
    <row r="3455" ht="50.1" customHeight="1" s="3">
      <c r="A3455" s="23" t="inlineStr">
        <is>
          <t>Д</t>
        </is>
      </c>
      <c r="B3455" s="24" t="inlineStr">
        <is>
          <t>21291</t>
        </is>
      </c>
      <c r="C3455" s="23" t="inlineStr">
        <is>
          <t>ОИ ВИ</t>
        </is>
      </c>
      <c r="D3455" s="23" t="inlineStr">
        <is>
          <t>Шустер Г.</t>
        </is>
      </c>
      <c r="E3455" s="23" t="inlineStr">
        <is>
          <t>История тайных обществ, союзов и орденов</t>
        </is>
      </c>
      <c r="F3455" s="23" t="inlineStr">
        <is>
          <t>        </t>
        </is>
      </c>
      <c r="G3455" s="23" t="n">
        <v>871</v>
      </c>
      <c r="H3455" s="23" t="n">
        <v>10</v>
      </c>
      <c r="I3455" s="23" t="n">
        <v>6</v>
      </c>
      <c r="J3455" s="23" t="inlineStr">
        <is>
          <t>978-5-227-10790-9</t>
        </is>
      </c>
      <c r="K3455" s="23" t="inlineStr">
        <is>
          <t>84x108 1/32</t>
        </is>
      </c>
      <c r="L3455" s="23" t="inlineStr">
        <is>
          <t>тв</t>
        </is>
      </c>
      <c r="M3455" s="23" t="n">
        <v>671</v>
      </c>
      <c r="N3455" s="23" t="n">
        <v>2024</v>
      </c>
      <c r="O3455" s="23" t="n">
        <v>475</v>
      </c>
      <c r="P3455" s="23" t="n"/>
      <c r="Q3455" s="23" t="n"/>
      <c r="R3455" s="25" t="inlineStr">
        <is>
          <t>Интерес к таинственному, стремление познать непознанное было присуще человеку на всем протяжении его истории. Оно обернулось появлением множества тайных союзов религиозного, этического, политического характера. Их истории, начиная с древнейших времен, и посвящена эта книга.</t>
        </is>
      </c>
      <c r="S3455" s="26">
        <f>HYPERLINK("http://www.cnpol.ru/covers/21291.jpg","фото на сайте")</f>
        <v/>
      </c>
    </row>
    <row r="3456" ht="50.1" customHeight="1" s="3">
      <c r="A3456" s="23" t="inlineStr">
        <is>
          <t>Д</t>
        </is>
      </c>
      <c r="B3456" s="24" t="inlineStr">
        <is>
          <t>21891</t>
        </is>
      </c>
      <c r="C3456" s="23" t="inlineStr">
        <is>
          <t>ОИ ВИ</t>
        </is>
      </c>
      <c r="D3456" s="23" t="inlineStr">
        <is>
          <t>Хамбли У.Д.</t>
        </is>
      </c>
      <c r="E3456" s="23" t="inlineStr">
        <is>
          <t>История татуировки. Ритуалы, верования, табу</t>
        </is>
      </c>
      <c r="F3456" s="23" t="inlineStr">
        <is>
          <t>        </t>
        </is>
      </c>
      <c r="G3456" s="23" t="n">
        <v>915</v>
      </c>
      <c r="H3456" s="23" t="n">
        <v>10</v>
      </c>
      <c r="I3456" s="23" t="n">
        <v>10</v>
      </c>
      <c r="J3456" s="23" t="inlineStr">
        <is>
          <t>978-5-9524-6559-6</t>
        </is>
      </c>
      <c r="K3456" s="23" t="inlineStr">
        <is>
          <t>84x108 1/32</t>
        </is>
      </c>
      <c r="L3456" s="23" t="inlineStr">
        <is>
          <t>тв</t>
        </is>
      </c>
      <c r="M3456" s="23" t="n">
        <v>255</v>
      </c>
      <c r="N3456" s="23" t="n">
        <v>2026</v>
      </c>
      <c r="O3456" s="23" t="n">
        <v>322</v>
      </c>
      <c r="P3456" s="23" t="n"/>
      <c r="Q3456" s="23" t="n"/>
      <c r="R3456" s="25" t="inlineStr">
        <is>
          <t>Книга Уилфрида Дайсона Хамбли представляет собой самую полную историю мировых практик татуировки. Внимательно и подробно автор исследует древние традиции нанесения знаков на тело в таких мировых культурных центрах, как Вавилон, Египет, Перу, Мексика, Япония и Китай, выявляет много интереснейших фактов, показывает последовательность миграции татуировок. Прослеживает связь знаков на теле с религиозными верованиями и магическими практиками, рассматривает социальные и антисоциальные цели татуировки. Особые главы Хамбли посвятил техникам нанесения знаков на тело, а также историческому и географическому распространению татуировки._x000D_
Текст сопровождается иллюстрациями и фотографиями.</t>
        </is>
      </c>
      <c r="S3456" s="26">
        <f>HYPERLINK("http://www.cnpol.ru/covers/21891.jpg","фото на сайте")</f>
        <v/>
      </c>
    </row>
    <row r="3457" ht="50.1" customHeight="1" s="3">
      <c r="A3457" s="23" t="inlineStr">
        <is>
          <t>Д</t>
        </is>
      </c>
      <c r="B3457" s="24" t="inlineStr">
        <is>
          <t>22114</t>
        </is>
      </c>
      <c r="C3457" s="23" t="inlineStr">
        <is>
          <t>ОИ ВИ</t>
        </is>
      </c>
      <c r="D3457" s="23" t="inlineStr">
        <is>
          <t>Вейгалл А.</t>
        </is>
      </c>
      <c r="E3457" s="23" t="inlineStr">
        <is>
          <t>История фараонов. Правящие династии раннего, Древнего и Среднего царств Египта. 3000-1800 гг. до нашей эры</t>
        </is>
      </c>
      <c r="F3457" s="23" t="inlineStr">
        <is>
          <t>        </t>
        </is>
      </c>
      <c r="G3457" s="27" t="n">
        <v>1084</v>
      </c>
      <c r="H3457" s="23" t="n">
        <v>10</v>
      </c>
      <c r="I3457" s="23" t="n">
        <v>10</v>
      </c>
      <c r="J3457" s="23" t="inlineStr">
        <is>
          <t>978-5-9524-6672-2</t>
        </is>
      </c>
      <c r="K3457" s="23" t="inlineStr">
        <is>
          <t>84x108 1/32</t>
        </is>
      </c>
      <c r="L3457" s="23" t="inlineStr">
        <is>
          <t>тв</t>
        </is>
      </c>
      <c r="M3457" s="23" t="n">
        <v>351</v>
      </c>
      <c r="N3457" s="23" t="n">
        <v>2026</v>
      </c>
      <c r="O3457" s="23" t="n">
        <v>416</v>
      </c>
      <c r="P3457" s="23" t="n"/>
      <c r="Q3457" s="23" t="n"/>
      <c r="R3457" s="25" t="inlineStr">
        <is>
          <t>Артур Вейгалл, известный английский египтолог, автор целого ряда исследований, посвященных Древнему Египту, поставил перед собой цель – написать последовательную и наиболее полную историю царствования фараонов. И с блеском выполнил задачу. Этот труд Вейгалл посвятил царствованиям первых одиннадцати династий. Для работы он использовал весь имеющийся в распоряжении египтологов материал: списки царей из «Истории Египта» Манефона и Абидосский список из храма царя Сети I, Саккарский список, обнаруженный в гробнице Тунери, и материалы раскопок некрополя в Абидосе и Тинисе, Туринский папирус и Палермский камень. Автор уточняет продолжительность каждого царствования и написание имен фараонов. На основе предметов материальной культуры и сохранившихся текстов он дает представление об образе жизни, культуре и традициях египтян. Книга будет, безусловно, интересна как специалисту, так и читателю, не обладающему особыми познаниями в египтологии.</t>
        </is>
      </c>
      <c r="S3457" s="26">
        <f>HYPERLINK("http://www.cnpol.ru/covers/22114.jpg","фото на сайте")</f>
        <v/>
      </c>
    </row>
    <row r="3458" ht="50.1" customHeight="1" s="3">
      <c r="A3458" s="23" t="n"/>
      <c r="B3458" s="24" t="inlineStr">
        <is>
          <t>17402</t>
        </is>
      </c>
      <c r="C3458" s="23" t="inlineStr">
        <is>
          <t>ОИ ВИ</t>
        </is>
      </c>
      <c r="D3458" s="23" t="inlineStr">
        <is>
          <t>Данлоп Б.</t>
        </is>
      </c>
      <c r="E3458" s="23" t="inlineStr">
        <is>
          <t>История хазар-иудеев</t>
        </is>
      </c>
      <c r="F3458" s="23" t="inlineStr">
        <is>
          <t>        </t>
        </is>
      </c>
      <c r="G3458" s="23" t="n">
        <v>508</v>
      </c>
      <c r="H3458" s="23" t="n">
        <v>10</v>
      </c>
      <c r="I3458" s="23" t="n">
        <v>14</v>
      </c>
      <c r="J3458" s="23" t="inlineStr">
        <is>
          <t>978-5-9524-5250-3</t>
        </is>
      </c>
      <c r="K3458" s="23" t="inlineStr">
        <is>
          <t>84x108 1/32</t>
        </is>
      </c>
      <c r="L3458" s="23" t="inlineStr">
        <is>
          <t>тв</t>
        </is>
      </c>
      <c r="M3458" s="23" t="n">
        <v>256</v>
      </c>
      <c r="N3458" s="23" t="n">
        <v>2017</v>
      </c>
      <c r="O3458" s="23" t="n">
        <v>214</v>
      </c>
      <c r="P3458" s="23" t="n"/>
      <c r="Q3458" s="23" t="n"/>
      <c r="R3458" s="25" t="inlineStr">
        <is>
          <t>Книга посвящена истории хазар — таинственного кочевого народа, чье могущество было огромным, территория располагалась между нижним течением Волги и северными склонами Кавказа, простираясь до Азовского моря, а в IX веке даже еще дальше на запад – до Киева и среднего течения Днепра, и который позже исчез без следа. Рассмотрены истоки хазар, их возможные связи с персами до ислама, контакты в разное время между хазарами и греками, войны с арабами, обращение хазар в иудаизм, связи хазар и русов и, наконец, крах и исчезновение хазар­ского государства. Рассказано о поисках следов хазар далеко на западе — в Дании и на востоке — в Китае, а также о том, что помимо иудаизма — это установленный факт — хазары также, вероятно, в разные времена принимали буддизм и христианство.</t>
        </is>
      </c>
      <c r="S3458" s="26">
        <f>HYPERLINK("http://www.cnpol.ru/covers/17402.jpg","фото на сайте")</f>
        <v/>
      </c>
    </row>
    <row r="3459" ht="50.1" customHeight="1" s="3">
      <c r="A3459" s="23" t="n"/>
      <c r="B3459" s="24" t="inlineStr">
        <is>
          <t>19765</t>
        </is>
      </c>
      <c r="C3459" s="23" t="inlineStr">
        <is>
          <t>ОИ ВИ</t>
        </is>
      </c>
      <c r="D3459" s="23" t="inlineStr">
        <is>
          <t>Халецки О.</t>
        </is>
      </c>
      <c r="E3459" s="23" t="inlineStr">
        <is>
          <t>История Центральной Европы с древних времен до ХХ века. Кипящий котел народов и религий на территории между Германией и Россией</t>
        </is>
      </c>
      <c r="F3459" s="23" t="inlineStr">
        <is>
          <t>        </t>
        </is>
      </c>
      <c r="G3459" s="27" t="n">
        <v>1412</v>
      </c>
      <c r="H3459" s="23" t="n">
        <v>10</v>
      </c>
      <c r="I3459" s="23" t="n">
        <v>8</v>
      </c>
      <c r="J3459" s="23" t="inlineStr">
        <is>
          <t>978-5-9524-5581-8</t>
        </is>
      </c>
      <c r="K3459" s="23" t="inlineStr">
        <is>
          <t>84x108 1/32</t>
        </is>
      </c>
      <c r="L3459" s="23" t="inlineStr">
        <is>
          <t>тв</t>
        </is>
      </c>
      <c r="M3459" s="23" t="n">
        <v>544</v>
      </c>
      <c r="N3459" s="23" t="n">
        <v>2021</v>
      </c>
      <c r="O3459" s="23" t="n">
        <v>400</v>
      </c>
      <c r="P3459" s="23" t="n"/>
      <c r="Q3459" s="23" t="n"/>
      <c r="R3459" s="25" t="inlineStr">
        <is>
          <t>Профессор Фордхэмского университета Оскар Халецки на страницах своей книги прослеживает историю народов Центральной и Восточной Европы с древних времен до середины ХХ века. Автор освещает процессы формирования национальной идентичности и становления государств славян, народов Балтии, Подунавья и Балкан. Размышляя об истоках геополитических конфликтов и культурной общности народов, населяющих ключевой регион в самом сердце Европы, историк делает вывод, что свобода и независимость каждого народа необходима для стабильного баланса сил на континенте и развития цивилизации в целом.</t>
        </is>
      </c>
      <c r="S3459" s="26">
        <f>HYPERLINK("http://www.cnpol.ru/covers/19765.jpg","фото на сайте")</f>
        <v/>
      </c>
    </row>
    <row r="3460" ht="50.1" customHeight="1" s="3">
      <c r="A3460" s="23" t="inlineStr">
        <is>
          <t>Д</t>
        </is>
      </c>
      <c r="B3460" s="24" t="inlineStr">
        <is>
          <t>22216</t>
        </is>
      </c>
      <c r="C3460" s="23" t="inlineStr">
        <is>
          <t>ОИ ВИ</t>
        </is>
      </c>
      <c r="D3460" s="23" t="inlineStr">
        <is>
          <t>Меннингер К.</t>
        </is>
      </c>
      <c r="E3460" s="23" t="inlineStr">
        <is>
          <t>История цифр. Числа, символы, слова</t>
        </is>
      </c>
      <c r="F3460" s="23" t="inlineStr">
        <is>
          <t>        </t>
        </is>
      </c>
      <c r="G3460" s="27" t="n">
        <v>1612</v>
      </c>
      <c r="H3460" s="23" t="n">
        <v>10</v>
      </c>
      <c r="I3460" s="23" t="n">
        <v>6</v>
      </c>
      <c r="J3460" s="23" t="inlineStr">
        <is>
          <t>978-5-9524-6722-4</t>
        </is>
      </c>
      <c r="K3460" s="23" t="inlineStr">
        <is>
          <t>60x90 1/16</t>
        </is>
      </c>
      <c r="L3460" s="23" t="inlineStr">
        <is>
          <t>тв</t>
        </is>
      </c>
      <c r="M3460" s="23" t="n">
        <v>543</v>
      </c>
      <c r="N3460" s="23" t="n">
        <v>2026</v>
      </c>
      <c r="O3460" s="23" t="n">
        <v>699</v>
      </c>
      <c r="P3460" s="23" t="n"/>
      <c r="Q3460" s="23" t="n"/>
      <c r="R3460" s="25" t="inlineStr">
        <is>
          <t>Настоящее издание представляет собой фундаментальный свод знаний о происхождении чисел и числительных, о развитии числовой последовательности и числового языка — основной труд немецкого ученого-математика Карла Меннингера. Автор в доступной форме, большей частью в виде занимательных историй, подводит читателя к понятию числа, дает многосторонний анализ возникновения чисел и их развития в разных культурах. Особый интерес вызывает рассказ о старинных приспособлениях для счета: примитивных счетных палочках, шнурах с узлами древнего Перу, сложных пальцевых жестах, которые когда-то использовались в качестве цифр, счетных досках с жетонами, абаке... Множество иллюстраций и таблиц, в которых сравниваются цифры и их написание в разных языках, помогают восприятию текста.</t>
        </is>
      </c>
      <c r="S3460" s="26">
        <f>HYPERLINK("http://www.cnpol.ru/covers/22216.jpg","фото на сайте")</f>
        <v/>
      </c>
    </row>
    <row r="3461" ht="50.1" customHeight="1" s="3">
      <c r="A3461" s="23" t="inlineStr">
        <is>
          <t>Н</t>
        </is>
      </c>
      <c r="B3461" s="24" t="inlineStr">
        <is>
          <t>22192</t>
        </is>
      </c>
      <c r="C3461" s="23" t="inlineStr">
        <is>
          <t>ОИ ВИ</t>
        </is>
      </c>
      <c r="D3461" s="23" t="inlineStr">
        <is>
          <t>Андерссон И.</t>
        </is>
      </c>
      <c r="E3461" s="23" t="inlineStr">
        <is>
          <t>История Швеции с древнейших времен до Первой мировой войны</t>
        </is>
      </c>
      <c r="F3461" s="23" t="inlineStr">
        <is>
          <t>        </t>
        </is>
      </c>
      <c r="G3461" s="27" t="n">
        <v>1197</v>
      </c>
      <c r="H3461" s="23" t="n">
        <v>10</v>
      </c>
      <c r="I3461" s="23" t="n">
        <v>10</v>
      </c>
      <c r="J3461" s="23" t="inlineStr">
        <is>
          <t>978-5-9524-6681-4</t>
        </is>
      </c>
      <c r="K3461" s="23" t="inlineStr">
        <is>
          <t>84x108 1/32</t>
        </is>
      </c>
      <c r="L3461" s="23" t="inlineStr">
        <is>
          <t>тв</t>
        </is>
      </c>
      <c r="M3461" s="23" t="n">
        <v>415</v>
      </c>
      <c r="N3461" s="23" t="n">
        <v>2026</v>
      </c>
      <c r="O3461" s="23" t="n">
        <v>453</v>
      </c>
      <c r="P3461" s="23" t="n"/>
      <c r="Q3461" s="23" t="n"/>
      <c r="R3461" s="25" t="inlineStr">
        <is>
          <t>Известный историк, главный хранитель Национального архива Швеции, член Шведской академии Ингвар Андерссон представил исследование истории Швеции с древнейших времен до Первой мировой войны. На основе обширного фактического материала автор анализирует основные события в истории Швеции: появление первых поселений на полуострове и первые упоминания о них античными историками, образование государства, распространение христианства, развитие науки и культуры. Рассматривает особенности взаимодействия церкви с королевской властью и классом феодалов, причины народных волнений; освещает вопросы экономики, развитие торговли и промышленности. Говоря об экономическом развитии страны, ученый останавливается на вопросах социальной истории, приводит немало интересных и важных фактов. Большое внимание Андерссон уделяет тесной связи внешней политики с внутренней, освещает положение в стране в период Первой мировой войны и в послевоенное время</t>
        </is>
      </c>
      <c r="S3461" s="26">
        <f>HYPERLINK("http://www.cnpol.ru/covers/22192.jpg","фото на сайте")</f>
        <v/>
      </c>
    </row>
    <row r="3462" ht="50.1" customHeight="1" s="3">
      <c r="A3462" s="23" t="n"/>
      <c r="B3462" s="24" t="inlineStr">
        <is>
          <t>18477</t>
        </is>
      </c>
      <c r="C3462" s="23" t="inlineStr">
        <is>
          <t>ОИ ВИ</t>
        </is>
      </c>
      <c r="D3462" s="23" t="inlineStr">
        <is>
          <t>Фараго Л.</t>
        </is>
      </c>
      <c r="E3462" s="23" t="inlineStr">
        <is>
          <t>История шпионажа времен второй Мировой войны</t>
        </is>
      </c>
      <c r="F3462" s="23" t="inlineStr">
        <is>
          <t>        </t>
        </is>
      </c>
      <c r="G3462" s="23" t="n">
        <v>593</v>
      </c>
      <c r="H3462" s="23" t="n">
        <v>10</v>
      </c>
      <c r="I3462" s="23" t="n">
        <v>10</v>
      </c>
      <c r="J3462" s="23" t="inlineStr">
        <is>
          <t>978-5-9524-5340-1</t>
        </is>
      </c>
      <c r="K3462" s="23" t="inlineStr">
        <is>
          <t>84x108 1/32</t>
        </is>
      </c>
      <c r="L3462" s="23" t="inlineStr">
        <is>
          <t>тв</t>
        </is>
      </c>
      <c r="M3462" s="23" t="n">
        <v>352</v>
      </c>
      <c r="N3462" s="23" t="n">
        <v>2019</v>
      </c>
      <c r="O3462" s="23" t="n">
        <v>288</v>
      </c>
      <c r="P3462" s="23" t="n"/>
      <c r="Q3462" s="23" t="n"/>
      <c r="R3462" s="25" t="inlineStr">
        <is>
          <t>Ладислас Фараго, бывший начальник отдела исследований и планирования в специальном военном подразделении ВМС США, автор нескольких книг по шпионажу, предлагает захватывающую картину всего спектра тайной деятельности, различных форм разведки секретных служб стран — участниц Второй мировой войны. Результатом действий агентов  спецслужб, проводивших разведывательные операции, были победы или поражения, которые часто играли не менее важную роль, чем достигнутые на поле боя. В своем исследовании Фараго анализирует не только фактические события, но и мотивы и поступки людей, которые принимали в них участие. Здесь представлена галерея портретов фигурантов разного уровня и значения, среди них первые лица государств, знаменитые разведчики и никому не известные герои.</t>
        </is>
      </c>
      <c r="S3462" s="26">
        <f>HYPERLINK("http://www.cnpol.ru/covers/18477.jpg","фото на сайте")</f>
        <v/>
      </c>
    </row>
    <row r="3463" ht="50.1" customHeight="1" s="3">
      <c r="A3463" s="23" t="n"/>
      <c r="B3463" s="24" t="inlineStr">
        <is>
          <t>19264</t>
        </is>
      </c>
      <c r="C3463" s="23" t="inlineStr">
        <is>
          <t>ОИ ВИ</t>
        </is>
      </c>
      <c r="D3463" s="23" t="inlineStr">
        <is>
          <t>Бодров А</t>
        </is>
      </c>
      <c r="E3463" s="23" t="inlineStr">
        <is>
          <t>История эпидемий. От чёрной чумы до COVID­19</t>
        </is>
      </c>
      <c r="F3463" s="23" t="inlineStr">
        <is>
          <t>        </t>
        </is>
      </c>
      <c r="G3463" s="23" t="n">
        <v>593</v>
      </c>
      <c r="H3463" s="23" t="n">
        <v>10</v>
      </c>
      <c r="I3463" s="23" t="n">
        <v>10</v>
      </c>
      <c r="J3463" s="23" t="inlineStr">
        <is>
          <t>978-5-227-09187-1</t>
        </is>
      </c>
      <c r="K3463" s="23" t="inlineStr">
        <is>
          <t>84x108 1/32</t>
        </is>
      </c>
      <c r="L3463" s="23" t="inlineStr">
        <is>
          <t>тв</t>
        </is>
      </c>
      <c r="M3463" s="23" t="n">
        <v>320</v>
      </c>
      <c r="N3463" s="23" t="n">
        <v>2020</v>
      </c>
      <c r="O3463" s="23" t="n">
        <v>262</v>
      </c>
      <c r="P3463" s="23" t="n"/>
      <c r="Q3463" s="23" t="n"/>
      <c r="R3463" s="25" t="inlineStr">
        <is>
          <t>Весь срок существования человечество преследуют страшные эпидемии… Первые упоминания о массовых болезнях людей и животных встречаются еще в письменных источниках древних народов! Например, современные исследователи узнали о вспышке полиомиелита в Древнем Египте в III—II тысячелетиях до нашей эры. Давнюю историю имеет также желтая лихорадка, на протяжении столетий косившая белых первопроходцев в тропической Африке. Чумные эпидемии или эпидемии черной оспы до сих пор остаются в коллективной памяти многих народов так же, как и «холерные бараки» или «испанка»… Раньше такие массовые заболевания называли «мор» или «великий мор». Сейчас они имеют научное название «эпидемия» или «пандемия». Под пандемией подразумевают болезнь, принявшую массовый характер, поражающую значительную часть всего населения. Согласно критериям Всемирной организации здравоохранения, пандемия — распространение нового заболевания в мировых масштабах. Сегодня, когда Землю накрыла волна коронавируса, мы хотим рассказать читателям о роли эпидемий в истории человечества.</t>
        </is>
      </c>
      <c r="S3463" s="26">
        <f>HYPERLINK("http://www.cnpol.ru/covers/19264.jpg","фото на сайте")</f>
        <v/>
      </c>
    </row>
    <row r="3464" ht="50.1" customHeight="1" s="3">
      <c r="A3464" s="23" t="inlineStr">
        <is>
          <t>Н</t>
        </is>
      </c>
      <c r="B3464" s="24" t="inlineStr">
        <is>
          <t>22071</t>
        </is>
      </c>
      <c r="C3464" s="23" t="inlineStr">
        <is>
          <t>ОИ ВИ</t>
        </is>
      </c>
      <c r="D3464" s="23" t="inlineStr">
        <is>
          <t>Дэвис Н.</t>
        </is>
      </c>
      <c r="E3464" s="23" t="inlineStr">
        <is>
          <t>Исчезнувшие царства. История полузабытой Европы</t>
        </is>
      </c>
      <c r="F3464" s="23" t="inlineStr">
        <is>
          <t>        </t>
        </is>
      </c>
      <c r="G3464" s="27" t="n">
        <v>1702</v>
      </c>
      <c r="H3464" s="23" t="n">
        <v>10</v>
      </c>
      <c r="I3464" s="23" t="n">
        <v>5</v>
      </c>
      <c r="J3464" s="23" t="inlineStr">
        <is>
          <t>978-5-9524-6658-6</t>
        </is>
      </c>
      <c r="K3464" s="23" t="inlineStr">
        <is>
          <t>84x108 1/32</t>
        </is>
      </c>
      <c r="L3464" s="23" t="inlineStr">
        <is>
          <t>тв</t>
        </is>
      </c>
      <c r="M3464" s="23" t="n">
        <v>703</v>
      </c>
      <c r="N3464" s="23" t="n">
        <v>2026</v>
      </c>
      <c r="O3464" s="23" t="n">
        <v>702</v>
      </c>
      <c r="P3464" s="23" t="n"/>
      <c r="Q3464" s="23" t="n"/>
      <c r="R3464" s="25" t="inlineStr">
        <is>
          <t>Настоящая книга заглядывает в лакуны прошлого Европы, чтобы приоткрыть историю утраченных государств — королевств, герцогств, империй и республик, которые когда-то занимали видное место на карте своей эпохи. Британский историк Норман Дэвис постарался описать эти исчезнувшие царства, существовавшие в разные периоды и в разных регионах. Он рассказывает об их появлении, расцвете и гибели, а также рассматривает следы, которые они оставили после себя (в произведениях искусства, на камне или в названиях мест). Автор анализирует и различные причины краха или уничтожения держав, воскрешает земли и народы, которые были потеряны в жестоком потоке времени.</t>
        </is>
      </c>
      <c r="S3464" s="26">
        <f>HYPERLINK("http://www.cnpol.ru/covers/22071.jpg","фото на сайте")</f>
        <v/>
      </c>
    </row>
    <row r="3465" ht="50.1" customHeight="1" s="3">
      <c r="A3465" s="23" t="n"/>
      <c r="B3465" s="24" t="inlineStr">
        <is>
          <t>20512</t>
        </is>
      </c>
      <c r="C3465" s="23" t="inlineStr">
        <is>
          <t>ОИ ВИ</t>
        </is>
      </c>
      <c r="D3465" s="23" t="inlineStr">
        <is>
          <t>Наполеон</t>
        </is>
      </c>
      <c r="E3465" s="23" t="inlineStr">
        <is>
          <t>Итальянская кампания и экспедиция в Египет и Сирию 1796—1799 гг.: избранные произведения с картами</t>
        </is>
      </c>
      <c r="F3465" s="23" t="inlineStr">
        <is>
          <t>        </t>
        </is>
      </c>
      <c r="G3465" s="27" t="n">
        <v>1976</v>
      </c>
      <c r="H3465" s="23" t="n">
        <v>10</v>
      </c>
      <c r="I3465" s="23" t="n">
        <v>4</v>
      </c>
      <c r="J3465" s="23" t="inlineStr">
        <is>
          <t>978-5-9524-5857-4</t>
        </is>
      </c>
      <c r="K3465" s="23" t="inlineStr">
        <is>
          <t>60x90 1/16</t>
        </is>
      </c>
      <c r="L3465" s="23" t="inlineStr">
        <is>
          <t>тв</t>
        </is>
      </c>
      <c r="M3465" s="23" t="n">
        <v>722</v>
      </c>
      <c r="N3465" s="23" t="n">
        <v>2023</v>
      </c>
      <c r="O3465" s="23" t="n">
        <v>720</v>
      </c>
      <c r="P3465" s="23" t="n"/>
      <c r="Q3465" s="23" t="n"/>
      <c r="R3465" s="25" t="inlineStr">
        <is>
          <t>В книгу вошли избранные произведения полководца и государственного деятеля Наполеона Бонапарта, посвященные военной кампании на Апеннинском полуострове и походу в Египет. Наполеон, назначенный командующим Итальянской армией, дает подробный и обстоятельный отчет о продвижении войск, главных сражениях кампании, в том числе о боях при Арколе, где им был выказан личный героизм, и битве при Риволи, а также о дипломатических переговорах и заключении мира с Австрией. В данное издание также вошло описание экспедиции в Египет и Сирию в 1798—1799 гг., начавшейся с триумфального захвата Мальты и Александрии, Битвы у пирамид и разгрома войск мамлюков и завершившейся гибелью флота Французской республики в битве при Абукире. Кроме того, в книгу включены очерки военных событий за 1798 и 1799 гг., в которых автор не без восхищения пишет об успехах русской армии под командованием полководца А.В. Суворова, а также извлечения из других произведений Наполеона.</t>
        </is>
      </c>
      <c r="S3465" s="26">
        <f>HYPERLINK("http://www.cnpol.ru/covers/20512.jpg","фото на сайте")</f>
        <v/>
      </c>
    </row>
    <row r="3466" ht="50.1" customHeight="1" s="3">
      <c r="A3466" s="23" t="n"/>
      <c r="B3466" s="24" t="inlineStr">
        <is>
          <t>19455</t>
        </is>
      </c>
      <c r="C3466" s="23" t="inlineStr">
        <is>
          <t>ОИ ВИ</t>
        </is>
      </c>
      <c r="D3466" s="23" t="inlineStr">
        <is>
          <t>Рот С.</t>
        </is>
      </c>
      <c r="E3466" s="23" t="inlineStr">
        <is>
          <t>Иудеи в Венецианской республике. Жизнь в условиях изоляции</t>
        </is>
      </c>
      <c r="F3466" s="23" t="inlineStr">
        <is>
          <t>        </t>
        </is>
      </c>
      <c r="G3466" s="23" t="n">
        <v>574</v>
      </c>
      <c r="H3466" s="23" t="n">
        <v>10</v>
      </c>
      <c r="I3466" s="23" t="n">
        <v>14</v>
      </c>
      <c r="J3466" s="23" t="inlineStr">
        <is>
          <t>978-5-9524-5474-3</t>
        </is>
      </c>
      <c r="K3466" s="23" t="inlineStr">
        <is>
          <t>84x108 1/32</t>
        </is>
      </c>
      <c r="L3466" s="23" t="inlineStr">
        <is>
          <t>тв</t>
        </is>
      </c>
      <c r="M3466" s="23" t="n">
        <v>287</v>
      </c>
      <c r="N3466" s="23" t="n">
        <v>2021</v>
      </c>
      <c r="O3466" s="23" t="n">
        <v>252</v>
      </c>
      <c r="P3466" s="23" t="n"/>
      <c r="Q3466" s="23" t="n"/>
      <c r="R3466" s="25" t="inlineStr">
        <is>
          <t>Сесил Рот — известный британский исследователь и крупнейший специалист по истории евреев, автор многих трудов по названной теме,  представляет венецианскую жизнь еврейской общины  XV—XVII вв. Основываясь на исторических исследованиях и документальных материалах, Рот создал яркую, интересную и драматичную картину повседневной жизни евреев в Венецианской республике на отведенной им территории, получившей название — гетто. Автор рассказывает о роли, которую играли евреи в жизни Венеции, описывает структуру общества, рисует портреты многих выдающихся людей, сыгравших важную роль в развитии науки и культуры. Удивительно, но в венецианском гетто возникла невероятно интересная и теплая общественная жизнь, которую автору удалось воссоздать в необычных подробностях.</t>
        </is>
      </c>
      <c r="S3466" s="26">
        <f>HYPERLINK("http://www.cnpol.ru/covers/19455.jpg","фото на сайте")</f>
        <v/>
      </c>
    </row>
    <row r="3467" ht="50.1" customHeight="1" s="3">
      <c r="A3467" s="23" t="inlineStr">
        <is>
          <t>Д</t>
        </is>
      </c>
      <c r="B3467" s="24" t="inlineStr">
        <is>
          <t>21275</t>
        </is>
      </c>
      <c r="C3467" s="23" t="inlineStr">
        <is>
          <t>ОИ ВИ</t>
        </is>
      </c>
      <c r="D3467" s="23" t="inlineStr">
        <is>
          <t>Потто В.А</t>
        </is>
      </c>
      <c r="E3467" s="23" t="inlineStr">
        <is>
          <t>Кавказская война. В очерках, эпизодах, легендах и биографиях</t>
        </is>
      </c>
      <c r="F3467" s="23" t="inlineStr">
        <is>
          <t>        </t>
        </is>
      </c>
      <c r="G3467" s="27" t="n">
        <v>4986</v>
      </c>
      <c r="H3467" s="23" t="n">
        <v>10</v>
      </c>
      <c r="I3467" s="23" t="n">
        <v>2</v>
      </c>
      <c r="J3467" s="23" t="inlineStr">
        <is>
          <t>978-5-227-10616-2</t>
        </is>
      </c>
      <c r="K3467" s="23" t="inlineStr">
        <is>
          <t>84x108 1/16</t>
        </is>
      </c>
      <c r="L3467" s="23" t="inlineStr">
        <is>
          <t>тв</t>
        </is>
      </c>
      <c r="M3467" s="23" t="n">
        <v>1231</v>
      </c>
      <c r="N3467" s="23" t="n">
        <v>2024</v>
      </c>
      <c r="O3467" s="23" t="n">
        <v>2109</v>
      </c>
      <c r="P3467" s="23" t="n"/>
      <c r="Q3467" s="23" t="n"/>
      <c r="R3467" s="25" t="inlineStr">
        <is>
          <t>Фундаментальный труд выдающегося военного историка, генерала русской армии В.А. Потто охватывает период Кавказской войны с начала XVI века по 1831 год._x000D_
Многие годы автор разыскивал и собирал разрозненные документы и материалы с одной целью — извлечь из забвения и связать в одно стройное повествование драматические и героические события, которые, развиваясь и усиливаясь, определили совершенно особую роль Кавказской войны в нашей истории.</t>
        </is>
      </c>
      <c r="S3467" s="26">
        <f>HYPERLINK("http://www.cnpol.ru/covers/21275.jpg","фото на сайте")</f>
        <v/>
      </c>
    </row>
    <row r="3468" ht="50.1" customHeight="1" s="3">
      <c r="A3468" s="23" t="n"/>
      <c r="B3468" s="24" t="inlineStr">
        <is>
          <t>17384</t>
        </is>
      </c>
      <c r="C3468" s="23" t="inlineStr">
        <is>
          <t>ОИ ВИ</t>
        </is>
      </c>
      <c r="D3468" s="23" t="inlineStr">
        <is>
          <t>Иуда Черный, Василий Немирович­Данченко, Илья Анис</t>
        </is>
      </c>
      <c r="E3468" s="23" t="inlineStr">
        <is>
          <t>Кавказские евреи-горцы. Сборник</t>
        </is>
      </c>
      <c r="F3468" s="23" t="inlineStr">
        <is>
          <t>        </t>
        </is>
      </c>
      <c r="G3468" s="23" t="n">
        <v>593</v>
      </c>
      <c r="H3468" s="23" t="n">
        <v>10</v>
      </c>
      <c r="I3468" s="23" t="n">
        <v>18</v>
      </c>
      <c r="J3468" s="23" t="inlineStr">
        <is>
          <t>978-5-227-06630-5</t>
        </is>
      </c>
      <c r="K3468" s="23" t="inlineStr">
        <is>
          <t>84x108 1/32</t>
        </is>
      </c>
      <c r="L3468" s="23" t="inlineStr">
        <is>
          <t>тв</t>
        </is>
      </c>
      <c r="M3468" s="23" t="n">
        <v>320</v>
      </c>
      <c r="N3468" s="23" t="n">
        <v>2017</v>
      </c>
      <c r="O3468" s="23" t="n">
        <v>318</v>
      </c>
      <c r="P3468" s="23" t="n"/>
      <c r="Q3468" s="23" t="n"/>
      <c r="R3468" s="25" t="inlineStr">
        <is>
          <t>История евреев на Кавказе восходит к глубокой древности и теряется в тумане литературных и устных преданий. Современные евреи Кавказа сохранили весьма смутные воспоминания о своем происхождении. Но, как свидетельствуют путешественники XVIII и первой половины XIX века, среди евреев Кавказа была еще жива легенда, что они потомки десяти колен Израилевых, поселенных в Мидии ассирийскими царями. Российские этнографы­путешественники, очерки которых вошли в этот сборник, собрали интереснейшие исторические, этнографические и статистические сведения, интересные любо­знательному читателю и сегодня.</t>
        </is>
      </c>
      <c r="S3468" s="26">
        <f>HYPERLINK("http://www.cnpol.ru/covers/17384.jpg","фото на сайте")</f>
        <v/>
      </c>
    </row>
    <row r="3469" ht="50.1" customHeight="1" s="3">
      <c r="A3469" s="23" t="inlineStr">
        <is>
          <t>Д</t>
        </is>
      </c>
      <c r="B3469" s="24" t="inlineStr">
        <is>
          <t>22054</t>
        </is>
      </c>
      <c r="C3469" s="23" t="inlineStr">
        <is>
          <t>ОИ ВИ</t>
        </is>
      </c>
      <c r="D3469" s="23" t="inlineStr">
        <is>
          <t>Крессон У.</t>
        </is>
      </c>
      <c r="E3469" s="23" t="inlineStr">
        <is>
          <t>Казаки. История "вольных людей" от Запорожской Сечи до коммунистической России</t>
        </is>
      </c>
      <c r="F3469" s="23" t="inlineStr">
        <is>
          <t>        </t>
        </is>
      </c>
      <c r="G3469" s="23" t="n">
        <v>850</v>
      </c>
      <c r="H3469" s="23" t="n">
        <v>10</v>
      </c>
      <c r="I3469" s="23" t="n">
        <v>10</v>
      </c>
      <c r="J3469" s="23" t="inlineStr">
        <is>
          <t>978-5-9524-6641-8</t>
        </is>
      </c>
      <c r="K3469" s="23" t="inlineStr">
        <is>
          <t>84x108 1/32</t>
        </is>
      </c>
      <c r="L3469" s="23" t="inlineStr">
        <is>
          <t>тв</t>
        </is>
      </c>
      <c r="M3469" s="23" t="n">
        <v>223</v>
      </c>
      <c r="N3469" s="23" t="n">
        <v>2026</v>
      </c>
      <c r="O3469" s="23" t="n">
        <v>306</v>
      </c>
      <c r="P3469" s="23" t="n"/>
      <c r="Q3469" s="23" t="n"/>
      <c r="R3469" s="25" t="inlineStr">
        <is>
          <t>Уникальное исследование этнографа Уильяма Крессона посвящено истории казачества. Опираясь на труды историков, казачьи песни, сказания и легенды, автор рассматривает концепции возникновения этого русскоязычного субэтноса в донских и приднепровских степях, описывает быт, культуру, особенности несения службы в Донском и приграничных войсках. Отдельная глава посвяшена Запорожской Сечи и ее вольнолюбивому братству. Автор мастерски передает историю написания запорожцами письма турецкому султану, послужившую сюжетом для знаменитой картины И. Е. Репина, и приводит само письмо – яркий образчик самобытного казачьего творчества. Повествование дополняют исторические портреты казачьих лидеров: покорителя Сибири Ермака, гетманов Богдана Хмельницкого и Ивана Мазепы, бунтовшика Емельяна Пугачева и героического атамана М. И. Платова. Особый интерес представляют очерки, посвященные казакам приграничья: кубанцам, терцам, гребенцам, астраханцам, уральцам и оренбуржцам.</t>
        </is>
      </c>
      <c r="S3469" s="26">
        <f>HYPERLINK("http://www.cnpol.ru/covers/22054.jpg","фото на сайте")</f>
        <v/>
      </c>
    </row>
    <row r="3470" ht="50.1" customHeight="1" s="3">
      <c r="A3470" s="23" t="inlineStr">
        <is>
          <t>Н</t>
        </is>
      </c>
      <c r="B3470" s="24" t="inlineStr">
        <is>
          <t>21337</t>
        </is>
      </c>
      <c r="C3470" s="23" t="inlineStr">
        <is>
          <t>ОИ ВИ</t>
        </is>
      </c>
      <c r="D3470" s="23" t="inlineStr">
        <is>
          <t>Веджвуд С.В.</t>
        </is>
      </c>
      <c r="E3470" s="23" t="inlineStr">
        <is>
          <t>Казнь короля Карла I. Жертва Великого мятежа: суд над монархом и его смерть. 1647–1649</t>
        </is>
      </c>
      <c r="F3470" s="23" t="inlineStr">
        <is>
          <t>        </t>
        </is>
      </c>
      <c r="G3470" s="23" t="n">
        <v>508</v>
      </c>
      <c r="H3470" s="23" t="n">
        <v>10</v>
      </c>
      <c r="I3470" s="23" t="n">
        <v>16</v>
      </c>
      <c r="J3470" s="23" t="inlineStr">
        <is>
          <t>978-5-9524-6171-0</t>
        </is>
      </c>
      <c r="K3470" s="23" t="inlineStr">
        <is>
          <t>84x108 1/32</t>
        </is>
      </c>
      <c r="L3470" s="23" t="inlineStr">
        <is>
          <t>тв</t>
        </is>
      </c>
      <c r="M3470" s="23" t="n">
        <v>255</v>
      </c>
      <c r="N3470" s="23" t="n">
        <v>2024</v>
      </c>
      <c r="O3470" s="23" t="n">
        <v>241</v>
      </c>
      <c r="P3470" s="23" t="n"/>
      <c r="Q3470" s="23" t="n"/>
      <c r="R3470" s="25" t="inlineStr">
        <is>
          <t>Настоящая книга английского историка С.В. Веджвуд о завершении правления Карла I повествует о самых драматических событиях в истории Англии XVII века — о судебном процессе над королем и его казни, последовавшими в результате захвата власти пуританской армией под командованием Оливера Кромвеля. Автор показывает противостояние королевской и парламентской властей на суде, политическое столкновение монаршей фанатической убежденности в своей правоте и борьбы мятежников за английский народ, что для восстановления мира на Британских островах привело к единственному решению — отрубить Карлу голову.</t>
        </is>
      </c>
      <c r="S3470" s="26">
        <f>HYPERLINK("http://www.cnpol.ru/covers/21337.jpg","фото на сайте")</f>
        <v/>
      </c>
    </row>
    <row r="3471" ht="50.1" customHeight="1" s="3">
      <c r="A3471" s="23" t="inlineStr">
        <is>
          <t>Н</t>
        </is>
      </c>
      <c r="B3471" s="24" t="inlineStr">
        <is>
          <t>20994</t>
        </is>
      </c>
      <c r="C3471" s="23" t="inlineStr">
        <is>
          <t>ОИ ВИ</t>
        </is>
      </c>
      <c r="D3471" s="23" t="inlineStr">
        <is>
          <t>Бальфур Майкл</t>
        </is>
      </c>
      <c r="E3471" s="23" t="inlineStr">
        <is>
          <t>Кайзер Вильгельм и его время. Последний германский император — символ поражения в Первой мировой войне</t>
        </is>
      </c>
      <c r="F3471" s="23" t="inlineStr">
        <is>
          <t>        </t>
        </is>
      </c>
      <c r="G3471" s="23" t="n">
        <v>633</v>
      </c>
      <c r="H3471" s="23" t="n">
        <v>10</v>
      </c>
      <c r="I3471" s="23" t="n">
        <v>10</v>
      </c>
      <c r="J3471" s="23" t="inlineStr">
        <is>
          <t>978-5-9524-5731-7</t>
        </is>
      </c>
      <c r="K3471" s="23" t="inlineStr">
        <is>
          <t>84x108 1/32</t>
        </is>
      </c>
      <c r="L3471" s="23" t="inlineStr">
        <is>
          <t>тв</t>
        </is>
      </c>
      <c r="M3471" s="23" t="n">
        <v>479</v>
      </c>
      <c r="N3471" s="23" t="n">
        <v>2024</v>
      </c>
      <c r="O3471" s="23" t="n">
        <v>357</v>
      </c>
      <c r="P3471" s="23" t="n"/>
      <c r="Q3471" s="23" t="n"/>
      <c r="R3471" s="25" t="inlineStr">
        <is>
          <t>Известный английский историк Майкл Бальфур анализирует социальные, конституционные и экономические силы, действовавшие в имперской Германии. Автор рассматривает сложную, противоречивую фигуру кайзера, занимавшего центральное положение в течение трех десятилетий до 1918 г., в контексте его семейной истории и истории Германии. Демонстрируя блестящее знание жизни Германии эпохи Вильгельма II, Бальфур живо, ярко и стильно описывает события, происходящие в Европе в начале XX в. В книге цитируются различные документы, воспоминания, письма, дневники; приведены курьезные истории и случаи, позволяющие взглянуть на главных персонажей с неожиданного ракурса.</t>
        </is>
      </c>
      <c r="S3471" s="26">
        <f>HYPERLINK("http://www.cnpol.ru/covers/20994.jpg","фото на сайте")</f>
        <v/>
      </c>
    </row>
    <row r="3472" ht="50.1" customHeight="1" s="3">
      <c r="A3472" s="23" t="n"/>
      <c r="B3472" s="24" t="inlineStr">
        <is>
          <t>16022</t>
        </is>
      </c>
      <c r="C3472" s="23" t="inlineStr">
        <is>
          <t>ОИ ВИ</t>
        </is>
      </c>
      <c r="D3472" s="23" t="inlineStr">
        <is>
          <t>Млечин Л.М.</t>
        </is>
      </c>
      <c r="E3472" s="23" t="inlineStr">
        <is>
          <t>Как Брежнев сменил Хрущева. Тайная история дворцового переворота</t>
        </is>
      </c>
      <c r="F3472" s="23" t="inlineStr">
        <is>
          <t>        </t>
        </is>
      </c>
      <c r="G3472" s="23" t="n">
        <v>672</v>
      </c>
      <c r="H3472" s="23" t="n">
        <v>10</v>
      </c>
      <c r="I3472" s="23" t="n">
        <v>12</v>
      </c>
      <c r="J3472" s="23" t="inlineStr">
        <is>
          <t>978-5-227-05968-0</t>
        </is>
      </c>
      <c r="K3472" s="23" t="inlineStr">
        <is>
          <t>84x108 1/32</t>
        </is>
      </c>
      <c r="L3472" s="23" t="inlineStr">
        <is>
          <t>тв</t>
        </is>
      </c>
      <c r="M3472" s="23" t="n">
        <v>415</v>
      </c>
      <c r="N3472" s="23" t="n">
        <v>2015</v>
      </c>
      <c r="O3472" s="23" t="n">
        <v>350</v>
      </c>
      <c r="P3472" s="23" t="n"/>
      <c r="Q3472" s="23" t="n"/>
      <c r="R3472" s="25" t="inlineStr">
        <is>
          <t>Что означали для нашей страны десять лет правления Никиты Сергеевича Хрущева? Что он сумел и что ему не удалось? Почему полвека спустя общество не в состоянии оценить его роль в истории? Герои новой работы Л. Млечина — люди, которые многие годы управляли страной, правящий класс, каста, попасть в которую было так же сложно, как и удержаться в ней. Главная тема книги — бесконечная борьба за власть, потому что правящая элита жила в мире интриг, коварства, вражды, подсиживания. Л. Млечин, опираясь на свидетельства участников событий и рассекреченные материалы, описывает обстоятельства драматической истории смещения Хрущева в октябре 1964 года. Автор отвечает на вопрос, почему Хрущева сменил именно Леонид Ильич Брежнев. В книге впервые представлены удивительные документы из личного архива Брежнева. Этот человек восемнадцать лет руководил государством, но выходит, мы его мало знаем,  плохо понимаем, отчего так неудачно сложилась жизнь семьи Леонида Ильича…</t>
        </is>
      </c>
      <c r="S3472" s="26">
        <f>HYPERLINK("http://www.cnpol.ru/covers/16022.jpg","фото на сайте")</f>
        <v/>
      </c>
    </row>
    <row r="3473" ht="50.1" customHeight="1" s="3">
      <c r="A3473" s="23" t="n"/>
      <c r="B3473" s="24" t="inlineStr">
        <is>
          <t>16137</t>
        </is>
      </c>
      <c r="C3473" s="23" t="inlineStr">
        <is>
          <t>ОИ ВИ</t>
        </is>
      </c>
      <c r="D3473" s="23" t="inlineStr">
        <is>
          <t>Шапталов Б.Н</t>
        </is>
      </c>
      <c r="E3473" s="23" t="inlineStr">
        <is>
          <t>Как организовали "внезапное" нападение 22 июня 1941. Заговор Сталина. Причины и следствия</t>
        </is>
      </c>
      <c r="F3473" s="23" t="inlineStr">
        <is>
          <t>        </t>
        </is>
      </c>
      <c r="G3473" s="23" t="n">
        <v>633</v>
      </c>
      <c r="H3473" s="23" t="n">
        <v>10</v>
      </c>
      <c r="I3473" s="23" t="n">
        <v>12</v>
      </c>
      <c r="J3473" s="23" t="inlineStr">
        <is>
          <t>978-5-227-05751-8</t>
        </is>
      </c>
      <c r="K3473" s="23" t="inlineStr">
        <is>
          <t>84x108 1/32</t>
        </is>
      </c>
      <c r="L3473" s="23" t="inlineStr">
        <is>
          <t>тв</t>
        </is>
      </c>
      <c r="M3473" s="23" t="n">
        <v>351</v>
      </c>
      <c r="N3473" s="23" t="n">
        <v>2015</v>
      </c>
      <c r="O3473" s="23" t="n">
        <v>288</v>
      </c>
      <c r="P3473" s="23" t="n"/>
      <c r="Q3473" s="23" t="n"/>
      <c r="R3473" s="25" t="inlineStr">
        <is>
          <t>Если спросить людей, что они думают о возможной организации Сталиным внезапного нападения на СССР в 1941 году, то большинство скажут, что это форменная чушь, поклеп, погоня за дешевой сенсацией, заказ ЦРУ... И они будут правы. Вот только правы с позиции житейской логики. Разве может правитель подставить свое государство? А если сформулировать вопрос именно таким образом, то, вероятнее всего, число утверждающих, что «это невозможно потому, что невозможно», наверняка значительно уменьшится. На память придут имена... Горбачева, например. Или Ельцина. А кто всерьез интересуется историей, то могут вспомнить и Николая II. Увы, но правители России подставляли свое государство не раз и не два. Так что поначалу кажущаяся «ахинея» вдруг начинает представляться версией, которую есть смысл рассмотреть, а ­потом уже решать, белиберда это или столь рискованное утверждение об искусственном характере «внезапного» нападения имеет свои веские основания.</t>
        </is>
      </c>
      <c r="S3473" s="26">
        <f>HYPERLINK("http://www.cnpol.ru/covers/16137.jpg","фото на сайте")</f>
        <v/>
      </c>
    </row>
    <row r="3474" ht="50.1" customHeight="1" s="3">
      <c r="A3474" s="23" t="inlineStr">
        <is>
          <t>Д</t>
        </is>
      </c>
      <c r="B3474" s="24" t="inlineStr">
        <is>
          <t>21998</t>
        </is>
      </c>
      <c r="C3474" s="23" t="inlineStr">
        <is>
          <t>ОИ ВИ</t>
        </is>
      </c>
      <c r="D3474" s="23" t="inlineStr">
        <is>
          <t>Дежан Д.</t>
        </is>
      </c>
      <c r="E3474" s="23" t="inlineStr">
        <is>
          <t>Как Париж стал Парижем. История создания самого притягательного города в мире</t>
        </is>
      </c>
      <c r="F3474" s="23" t="inlineStr">
        <is>
          <t>        </t>
        </is>
      </c>
      <c r="G3474" s="27" t="n">
        <v>1009</v>
      </c>
      <c r="H3474" s="23" t="n">
        <v>10</v>
      </c>
      <c r="I3474" s="23" t="n">
        <v>15</v>
      </c>
      <c r="J3474" s="23" t="inlineStr">
        <is>
          <t>978-5-9524-6622-7</t>
        </is>
      </c>
      <c r="K3474" s="23" t="inlineStr">
        <is>
          <t>84x108 1/32</t>
        </is>
      </c>
      <c r="L3474" s="23" t="inlineStr">
        <is>
          <t>тв</t>
        </is>
      </c>
      <c r="M3474" s="23" t="n">
        <v>318</v>
      </c>
      <c r="N3474" s="23" t="n">
        <v>2026</v>
      </c>
      <c r="O3474" s="23" t="n">
        <v>374</v>
      </c>
      <c r="P3474" s="23" t="n"/>
      <c r="Q3474" s="23" t="n"/>
      <c r="R3474" s="25" t="inlineStr">
        <is>
          <t>В начале ХVII века Париж, как и другие европейские столицы, находился в оковах средневекового прошлого, но всего за сто лет он превратился в тот легендарный, прекрасный и волнующий город, который мы знаем сегодня. За прошедшие столетия Париж претерпел много изменений, избавился от крепостных стен, стал первым городом, который приглашал гостей, а не закрывался от них. Именно в Париже появились первые бульвары и публичные сады, тротуары и удобные для променада мосты. Парижане первыми оценили достоинства общественного транспорта и уличного освещения. Самый романтичный город на свете, столица моды и красоты, высокой кухни и развлечений на любой вкус — Париж, как и прежде, продолжает манить людей со всего света. В чем же загадка его притягательности?</t>
        </is>
      </c>
      <c r="S3474" s="26">
        <f>HYPERLINK("http://www.cnpol.ru/covers/21998.jpg","фото на сайте")</f>
        <v/>
      </c>
    </row>
    <row r="3475" ht="50.1" customHeight="1" s="3">
      <c r="A3475" s="23" t="inlineStr">
        <is>
          <t>Н</t>
        </is>
      </c>
      <c r="B3475" s="24" t="inlineStr">
        <is>
          <t>21760</t>
        </is>
      </c>
      <c r="C3475" s="23" t="inlineStr">
        <is>
          <t>ОИ ВИ</t>
        </is>
      </c>
      <c r="D3475" s="23" t="inlineStr">
        <is>
          <t>Клейтон Ю.</t>
        </is>
      </c>
      <c r="E3475" s="23" t="inlineStr">
        <is>
          <t>Каллиграфия и письменность. Зарождение и развитие от первых букв к цифровым технологиям</t>
        </is>
      </c>
      <c r="F3475" s="23" t="inlineStr">
        <is>
          <t>        </t>
        </is>
      </c>
      <c r="G3475" s="27" t="n">
        <v>1117</v>
      </c>
      <c r="H3475" s="23" t="n">
        <v>10</v>
      </c>
      <c r="I3475" s="23" t="n">
        <v>5</v>
      </c>
      <c r="J3475" s="23" t="inlineStr">
        <is>
          <t>978-5-9524-6424-7</t>
        </is>
      </c>
      <c r="K3475" s="23" t="inlineStr">
        <is>
          <t>84x108 1/32</t>
        </is>
      </c>
      <c r="L3475" s="23" t="inlineStr">
        <is>
          <t>тв</t>
        </is>
      </c>
      <c r="M3475" s="23" t="n">
        <v>383</v>
      </c>
      <c r="N3475" s="23" t="n">
        <v>2025</v>
      </c>
      <c r="O3475" s="23" t="n">
        <v>404</v>
      </c>
      <c r="P3475" s="23" t="n"/>
      <c r="Q3475" s="23" t="n"/>
      <c r="R3475" s="25" t="inlineStr">
        <is>
          <t>Профессор Юан Клейтон рассматривает историю письменности как историю человеческой цивилизации: приоткрывает историю появления алфавита, прослеживает переход от папирусных свитков к пергаментным книгам, знакомит с историей изобретения первого печатного станка, а также анализирует разнообразные стили начертания букв и делится методами совершенствования почерка. В качестве эксперта по каллиграфии автор участвовал в разработке графического интерфейса первых ЭВМ корпорации Xerox PARC. Гармоничные, выразительные, легкие для восприятия шрифты, созданные при участии Юана Клейтона, были использованы разработчиками персональных компьютеров Apple Inc. Будучи не только искусным каллиграфом, но и специалистом в области высоких технологий, Клейтон прослеживает эволюцию печатного слова от изобретения наборного шрифта Иоганном Гутенбергом до эпохи цифровых медиа, когда каллиграфия из сугубо прикладной дисциплины преобразовывается в вид искусства.</t>
        </is>
      </c>
      <c r="S3475" s="26">
        <f>HYPERLINK("http://www.cnpol.ru/covers/21760.jpg","фото на сайте")</f>
        <v/>
      </c>
    </row>
    <row r="3476" ht="50.1" customHeight="1" s="3">
      <c r="A3476" s="23" t="n"/>
      <c r="B3476" s="24" t="inlineStr">
        <is>
          <t>20355</t>
        </is>
      </c>
      <c r="C3476" s="23" t="inlineStr">
        <is>
          <t>ОИ ВИ</t>
        </is>
      </c>
      <c r="D3476" s="23" t="inlineStr">
        <is>
          <t>Абсхаген К. Х.</t>
        </is>
      </c>
      <c r="E3476" s="23" t="inlineStr">
        <is>
          <t>Канарис. Руководитель военной разведки вермахта. 1935—1945 гг.</t>
        </is>
      </c>
      <c r="F3476" s="23" t="inlineStr">
        <is>
          <t>        </t>
        </is>
      </c>
      <c r="G3476" s="27" t="n">
        <v>1004</v>
      </c>
      <c r="H3476" s="23" t="n">
        <v>10</v>
      </c>
      <c r="I3476" s="23" t="n">
        <v>14</v>
      </c>
      <c r="J3476" s="23" t="inlineStr">
        <is>
          <t>978-5-9524-5811-6</t>
        </is>
      </c>
      <c r="K3476" s="23" t="inlineStr">
        <is>
          <t>84x108 1/32</t>
        </is>
      </c>
      <c r="L3476" s="23" t="inlineStr">
        <is>
          <t>тв</t>
        </is>
      </c>
      <c r="M3476" s="23" t="n">
        <v>301</v>
      </c>
      <c r="N3476" s="23" t="n">
        <v>2022</v>
      </c>
      <c r="O3476" s="23" t="n">
        <v>285</v>
      </c>
      <c r="P3476" s="23" t="n"/>
      <c r="Q3476" s="23" t="n"/>
      <c r="R3476" s="25" t="inlineStr">
        <is>
          <t>Среди многочисленных публикаций, посвященных адмиралу Вильгельму Канарису, книга немецкого историка К.Х. Абсхагена выделяется попыткой понять и объективно воспроизвести личность и образ жизни руководителя военной разведки вермахта и одновременно видного участника немецкого Сопротивления._x000D_
Книга вводит в обширный круг общения руководителя абвера, приоткрывает малоизвестные страницы истории Европы 30—40­х годов двадцатого века.</t>
        </is>
      </c>
      <c r="S3476" s="26">
        <f>HYPERLINK("http://www.cnpol.ru/covers/20355.jpg","фото на сайте")</f>
        <v/>
      </c>
    </row>
    <row r="3477" ht="50.1" customHeight="1" s="3">
      <c r="A3477" s="23" t="inlineStr">
        <is>
          <t>Д</t>
        </is>
      </c>
      <c r="B3477" s="24" t="inlineStr">
        <is>
          <t>22120</t>
        </is>
      </c>
      <c r="C3477" s="23" t="inlineStr">
        <is>
          <t>ОИ ВИ</t>
        </is>
      </c>
      <c r="D3477" s="23" t="inlineStr">
        <is>
          <t>Абсхаген К. Х.</t>
        </is>
      </c>
      <c r="E3477" s="23" t="inlineStr">
        <is>
          <t>Канарис. Руководитель военной разведки вермахта. 1935—1945 гг.</t>
        </is>
      </c>
      <c r="F3477" s="23" t="inlineStr">
        <is>
          <t>        </t>
        </is>
      </c>
      <c r="G3477" s="27" t="n">
        <v>1004</v>
      </c>
      <c r="H3477" s="23" t="n">
        <v>10</v>
      </c>
      <c r="I3477" s="23" t="n">
        <v>10</v>
      </c>
      <c r="J3477" s="23" t="inlineStr">
        <is>
          <t>978-5-9524-6683-8</t>
        </is>
      </c>
      <c r="K3477" s="23" t="inlineStr">
        <is>
          <t>84x108 1/32</t>
        </is>
      </c>
      <c r="L3477" s="23" t="inlineStr">
        <is>
          <t>тв</t>
        </is>
      </c>
      <c r="M3477" s="23" t="n">
        <v>301</v>
      </c>
      <c r="N3477" s="23" t="n">
        <v>2026</v>
      </c>
      <c r="O3477" s="23" t="n">
        <v>363</v>
      </c>
      <c r="P3477" s="23" t="n"/>
      <c r="Q3477" s="23" t="n"/>
      <c r="R3477" s="25" t="inlineStr">
        <is>
          <t>Среди многочисленных публикаций, посвященных адмиралу Вильгельму Канарису, книга немецкого историка К.Х. Абсхагена выделяется попыткой понять и объективно воспроизвести личность и образ жизни руководителя военной разведки вермахта и одновременно видного участника немецкого Сопротивления._x000D_
Книга вводит в обширный круг общения руководителя абвера, приоткрывает малоизвестные страницы истории Европы 30—40­х годов двадцатого века.</t>
        </is>
      </c>
      <c r="S3477" s="26">
        <f>HYPERLINK("http://www.cnpol.ru/covers/22120.jpg","фото на сайте")</f>
        <v/>
      </c>
    </row>
    <row r="3478" ht="50.1" customHeight="1" s="3">
      <c r="A3478" s="23" t="n"/>
      <c r="B3478" s="24" t="inlineStr">
        <is>
          <t>20771</t>
        </is>
      </c>
      <c r="C3478" s="23" t="inlineStr">
        <is>
          <t>ОИ ВИ</t>
        </is>
      </c>
      <c r="D3478" s="23" t="inlineStr">
        <is>
          <t>Брукс Л.</t>
        </is>
      </c>
      <c r="E3478" s="23" t="inlineStr">
        <is>
          <t>Капитуляция Японии во Второй мировой войне. За кулисами тайного заговора</t>
        </is>
      </c>
      <c r="F3478" s="23" t="inlineStr">
        <is>
          <t>        </t>
        </is>
      </c>
      <c r="G3478" s="23" t="n">
        <v>633</v>
      </c>
      <c r="H3478" s="23" t="n">
        <v>10</v>
      </c>
      <c r="I3478" s="23" t="n">
        <v>10</v>
      </c>
      <c r="J3478" s="23" t="inlineStr">
        <is>
          <t>978-5-9524-5921-2</t>
        </is>
      </c>
      <c r="K3478" s="23" t="inlineStr">
        <is>
          <t>84x108 1/32</t>
        </is>
      </c>
      <c r="L3478" s="23" t="inlineStr">
        <is>
          <t>тв</t>
        </is>
      </c>
      <c r="M3478" s="23" t="n">
        <v>479</v>
      </c>
      <c r="N3478" s="23" t="n">
        <v>2023</v>
      </c>
      <c r="O3478" s="23" t="n">
        <v>382</v>
      </c>
      <c r="P3478" s="23" t="n"/>
      <c r="Q3478" s="23" t="n"/>
      <c r="R3478" s="25" t="inlineStr">
        <is>
          <t>Книга историка и дипломата Лестера Брукса посвящена драматическим событиям августа 1945 года, предшествовавшим капитуляции Японии. Опираясь на перехваченные донесения разведки, протоколы допросов военных преступников, материалы Токийского процесса и воспоминания участников событий, автор всесторонне анализирует и документирует внутриполитический конфликт, обострившийся после уничтожения Хиросимы. В своем исследовании Брукс указывает на то, что самурайский менталитет военных элит, нежелание отступать и стремление сражаться до последнего солдата привели к сокрушительному поражению Японии во Второй мировой войне и краху империи.</t>
        </is>
      </c>
      <c r="S3478" s="26">
        <f>HYPERLINK("http://www.cnpol.ru/covers/20771.jpg","фото на сайте")</f>
        <v/>
      </c>
    </row>
    <row r="3479" ht="50.1" customHeight="1" s="3">
      <c r="A3479" s="23" t="inlineStr">
        <is>
          <t>Н</t>
        </is>
      </c>
      <c r="B3479" s="24" t="inlineStr">
        <is>
          <t>21996</t>
        </is>
      </c>
      <c r="C3479" s="23" t="inlineStr">
        <is>
          <t>ОИ ВИ</t>
        </is>
      </c>
      <c r="D3479" s="23" t="inlineStr">
        <is>
          <t>Веджвуд С.В.</t>
        </is>
      </c>
      <c r="E3479" s="23" t="inlineStr">
        <is>
          <t>Кардинал Ришелье. Самый дальновидный и удачливый политик у трона Людовика ХIII</t>
        </is>
      </c>
      <c r="F3479" s="23" t="inlineStr">
        <is>
          <t>        </t>
        </is>
      </c>
      <c r="G3479" s="23" t="n">
        <v>511</v>
      </c>
      <c r="H3479" s="23" t="n">
        <v>10</v>
      </c>
      <c r="I3479" s="23" t="n">
        <v>12</v>
      </c>
      <c r="J3479" s="23" t="inlineStr">
        <is>
          <t>978-5-9524-6581-7</t>
        </is>
      </c>
      <c r="K3479" s="23" t="inlineStr">
        <is>
          <t>84x108 1/32</t>
        </is>
      </c>
      <c r="L3479" s="23" t="inlineStr">
        <is>
          <t>тв</t>
        </is>
      </c>
      <c r="M3479" s="23" t="n">
        <v>286</v>
      </c>
      <c r="N3479" s="23" t="n">
        <v>2026</v>
      </c>
      <c r="O3479" s="23" t="n">
        <v>255</v>
      </c>
      <c r="P3479" s="23" t="n"/>
      <c r="Q3479" s="23" t="n"/>
      <c r="R3479" s="25" t="inlineStr">
        <is>
          <t>"Известный английский историк С.В. Веджвуд представляет исследование знаковой фигуры в истории Франции, знаменитого кардинала Ришелье. Это был искусный дипломат, проницательный политик, талантливый государственный деятель. За восемнадцать лет, в течение которых кардинал Ришелье занимал пост первого министра короля Людовика XIII, власть монархии во Франции упрочилась настолько, что оставалась непоколебимой даже во время долгого несовершеннолетия Людовика XIV. За годы присутствия кардинала у трона Франция стала ведущей державой в Европе и источником европейского искусства. Опираясь только на факты и первоисточники, Веджвуд изучает жизнь Ришелье, его деятельность, характер и мотивы поступков и отмечает: кардинал был настолько мощной и яркой личностью, производил столь сильное впечатление, что почти каждое событие в Европе объясняли его тайным или явным вмешательством.
Исторические очерки С.В. Веджвуд погружают в атмосферу наиболее важных событий Средневековья."</t>
        </is>
      </c>
      <c r="S3479" s="26">
        <f>HYPERLINK("http://www.cnpol.ru/covers/21996.jpg","фото на сайте")</f>
        <v/>
      </c>
    </row>
    <row r="3480" ht="50.1" customHeight="1" s="3">
      <c r="A3480" s="23" t="n"/>
      <c r="B3480" s="24" t="inlineStr">
        <is>
          <t>20398</t>
        </is>
      </c>
      <c r="C3480" s="23" t="inlineStr">
        <is>
          <t>ОИ ВИ</t>
        </is>
      </c>
      <c r="D3480" s="23" t="inlineStr">
        <is>
          <t>Меринг Ф.</t>
        </is>
      </c>
      <c r="E3480" s="23" t="inlineStr">
        <is>
          <t>Карл Маркс. История жизни</t>
        </is>
      </c>
      <c r="F3480" s="23" t="inlineStr">
        <is>
          <t>        </t>
        </is>
      </c>
      <c r="G3480" s="27" t="n">
        <v>1533</v>
      </c>
      <c r="H3480" s="23" t="n">
        <v>10</v>
      </c>
      <c r="I3480" s="23" t="n">
        <v>8</v>
      </c>
      <c r="J3480" s="23" t="inlineStr">
        <is>
          <t>978-5-227-10145-7</t>
        </is>
      </c>
      <c r="K3480" s="23" t="inlineStr">
        <is>
          <t>84x108 1/32</t>
        </is>
      </c>
      <c r="L3480" s="23" t="inlineStr">
        <is>
          <t>тв</t>
        </is>
      </c>
      <c r="M3480" s="23" t="n">
        <v>607</v>
      </c>
      <c r="N3480" s="23" t="n">
        <v>2022</v>
      </c>
      <c r="O3480" s="23" t="n">
        <v>643</v>
      </c>
      <c r="P3480" s="23" t="n"/>
      <c r="Q3480" s="23" t="n"/>
      <c r="R3480" s="25" t="inlineStr">
        <is>
          <t>В одном из крупных научных трудов Франца Меринга, первого научного биографа К. Маркса и видного деятеля германского и международного рабочего движения, дана биография основоположника коммунистического движения Карла Маркса и изложена история его разработки совместно с соратником и другом Ф. Энгельсом пролетарского мировоззрения. В книге нашла отражение и история создания и деятельности I Интернационала, вдохновителем и идейным руководителем которого был Маркс.</t>
        </is>
      </c>
      <c r="S3480" s="26">
        <f>HYPERLINK("http://www.cnpol.ru/covers/20398.jpg","фото на сайте")</f>
        <v/>
      </c>
    </row>
    <row r="3481" ht="50.1" customHeight="1" s="3">
      <c r="A3481" s="23" t="inlineStr">
        <is>
          <t>Д</t>
        </is>
      </c>
      <c r="B3481" s="24" t="inlineStr">
        <is>
          <t>21623</t>
        </is>
      </c>
      <c r="C3481" s="23" t="inlineStr">
        <is>
          <t>ОИ ВИ</t>
        </is>
      </c>
      <c r="D3481" s="23" t="inlineStr">
        <is>
          <t>Боткин П.С.</t>
        </is>
      </c>
      <c r="E3481" s="23" t="inlineStr">
        <is>
          <t>Картинки дипломатической жизни. Воспоминания сотрудника миссии Российской империи в Вашингтоне, Брюс</t>
        </is>
      </c>
      <c r="F3481" s="23" t="inlineStr">
        <is>
          <t>        </t>
        </is>
      </c>
      <c r="G3481" s="23" t="n">
        <v>745</v>
      </c>
      <c r="H3481" s="23" t="n">
        <v>10</v>
      </c>
      <c r="I3481" s="23" t="n">
        <v>18</v>
      </c>
      <c r="J3481" s="23" t="inlineStr">
        <is>
          <t>978-5-227-11040-4</t>
        </is>
      </c>
      <c r="K3481" s="23" t="inlineStr">
        <is>
          <t>84x108 1/32</t>
        </is>
      </c>
      <c r="L3481" s="23" t="inlineStr">
        <is>
          <t>тв</t>
        </is>
      </c>
      <c r="M3481" s="23" t="n">
        <v>191</v>
      </c>
      <c r="N3481" s="23" t="n">
        <v>2025</v>
      </c>
      <c r="O3481" s="23" t="n">
        <v>266</v>
      </c>
      <c r="P3481" s="23" t="n"/>
      <c r="Q3481" s="23" t="n"/>
      <c r="R3481" s="25" t="inlineStr">
        <is>
          <t>Петр Сергеевич Боткин начал свою карьеру в 1890 г. с должности младшего секретаря русской дипломатической миссии в Вашингтоне под руководством К.В. Струве. После пяти лет службы в США трудился в Софии, Лиссабоне, Брюсселе, Лондоне, Марокко, Португалии, в 1914 г. его кандидатура, тогда уже камергера, действительного статского советника рассматривалась на пост министра иностранных дел России. Воспоминания Боткина — это  рассказ о жизни автора: счастливом детстве в доме отца, знаменитого русского врача; о первых шагах на дипломатической службе в России и о работе в Америке. Он описывает события, очевидцем или участником которых явился, о прелестях и сложностях дипломатической службы, о людях, с которыми работал и встречался.</t>
        </is>
      </c>
      <c r="S3481" s="26">
        <f>HYPERLINK("http://www.cnpol.ru/covers/21623.jpg","фото на сайте")</f>
        <v/>
      </c>
    </row>
    <row r="3482" ht="50.1" customHeight="1" s="3">
      <c r="A3482" s="23" t="inlineStr">
        <is>
          <t>Д</t>
        </is>
      </c>
      <c r="B3482" s="24" t="inlineStr">
        <is>
          <t>21674</t>
        </is>
      </c>
      <c r="C3482" s="23" t="inlineStr">
        <is>
          <t>ОИ ВИ</t>
        </is>
      </c>
      <c r="D3482" s="23" t="inlineStr">
        <is>
          <t>Пикар Ж.Ш.</t>
        </is>
      </c>
      <c r="E3482" s="23" t="inlineStr">
        <is>
          <t>Карфаген. Летопись легендарного города-государства с основания до гибели</t>
        </is>
      </c>
      <c r="F3482" s="23" t="inlineStr">
        <is>
          <t>        </t>
        </is>
      </c>
      <c r="G3482" s="27" t="n">
        <v>1051</v>
      </c>
      <c r="H3482" s="23" t="n">
        <v>10</v>
      </c>
      <c r="I3482" s="23" t="n">
        <v>6</v>
      </c>
      <c r="J3482" s="23" t="inlineStr">
        <is>
          <t>978-5-9524-6431-5</t>
        </is>
      </c>
      <c r="K3482" s="23" t="inlineStr">
        <is>
          <t>84x108 1/32</t>
        </is>
      </c>
      <c r="L3482" s="23" t="inlineStr">
        <is>
          <t>тв</t>
        </is>
      </c>
      <c r="M3482" s="23" t="n">
        <v>320</v>
      </c>
      <c r="N3482" s="23" t="n">
        <v>2025</v>
      </c>
      <c r="O3482" s="23" t="n">
        <v>380</v>
      </c>
      <c r="P3482" s="23" t="n"/>
      <c r="Q3482" s="23" t="n"/>
      <c r="R3482" s="25" t="inlineStr">
        <is>
          <t>Карфаген – самое загадочное и малоизученное государство Древнего мира. Французские историки Ж.Ш. Пикар и К. Пикар на страницах своей книги воссоздают семивековую историю легендарного города-государства, основанного финикийцами на Африканской земле, опираясь на греческие и римские источники, а также на научные данные, полученные ими в археологических экспедициях. Авторы описывают культуру, религию, политический строй, торговые связи и взаимоотношения Карфагена с другими странами, рассказывают, как в течение веков небольшая финикийская колония богатела и расширялась, захватывая все новые и новые территории, пока не превратилась в грозную соперницу Рима. В последних главах историки освещают военные кампании Ганнибала, одного из величайших полководцев древности, и завершают свою книгу описанием разгрома и гибели Карфагена.</t>
        </is>
      </c>
      <c r="S3482" s="26">
        <f>HYPERLINK("http://www.cnpol.ru/covers/21674.jpg","фото на сайте")</f>
        <v/>
      </c>
    </row>
    <row r="3483" ht="50.1" customHeight="1" s="3">
      <c r="A3483" s="23" t="inlineStr">
        <is>
          <t>Д</t>
        </is>
      </c>
      <c r="B3483" s="24" t="inlineStr">
        <is>
          <t>22112</t>
        </is>
      </c>
      <c r="C3483" s="23" t="inlineStr">
        <is>
          <t>ОИ ВИ</t>
        </is>
      </c>
      <c r="D3483" s="23" t="inlineStr">
        <is>
          <t>Леки Р.</t>
        </is>
      </c>
      <c r="E3483" s="23" t="inlineStr">
        <is>
          <t>Каска вместо подушки. Воспоминания морского пехотинца США о войне на Тихом океане</t>
        </is>
      </c>
      <c r="F3483" s="23" t="inlineStr">
        <is>
          <t>        </t>
        </is>
      </c>
      <c r="G3483" s="27" t="n">
        <v>1112</v>
      </c>
      <c r="H3483" s="23" t="n">
        <v>10</v>
      </c>
      <c r="I3483" s="23" t="n">
        <v>10</v>
      </c>
      <c r="J3483" s="23" t="inlineStr">
        <is>
          <t>978-5-9524-6665-4</t>
        </is>
      </c>
      <c r="K3483" s="23" t="inlineStr">
        <is>
          <t>84x108 1/32</t>
        </is>
      </c>
      <c r="L3483" s="23" t="inlineStr">
        <is>
          <t>тв</t>
        </is>
      </c>
      <c r="M3483" s="23" t="n">
        <v>367</v>
      </c>
      <c r="N3483" s="23" t="n">
        <v>2026</v>
      </c>
      <c r="O3483" s="23" t="n">
        <v>415</v>
      </c>
      <c r="P3483" s="23" t="n"/>
      <c r="Q3483" s="23" t="n"/>
      <c r="R3483" s="25" t="inlineStr">
        <is>
          <t>Роберт Леки, один из самых известных американских военных историков, в январе 1942 года вступил в Корпус Морской пехоты добровольцем. Он вспоминает, как вместе с другими новобранцами они защищали интересы США в Тихом океане. И все же эта книга не только об ужасах войны. Уморительные байки морпехов, в промежутках между боями рассказы о любовных приключениях в Австралии делают повествование запоминающимся и ярким.</t>
        </is>
      </c>
      <c r="S3483" s="26">
        <f>HYPERLINK("http://www.cnpol.ru/covers/22112.jpg","фото на сайте")</f>
        <v/>
      </c>
    </row>
    <row r="3484" ht="50.1" customHeight="1" s="3">
      <c r="A3484" s="23" t="n"/>
      <c r="B3484" s="24" t="inlineStr">
        <is>
          <t>16241</t>
        </is>
      </c>
      <c r="C3484" s="23" t="inlineStr">
        <is>
          <t>ОИ ВИ</t>
        </is>
      </c>
      <c r="D3484" s="23" t="inlineStr">
        <is>
          <t>Лайба. А.А</t>
        </is>
      </c>
      <c r="E3484" s="23" t="inlineStr">
        <is>
          <t>Квадратура полярного круга Арктика и Антарктика глазами очевидцев 1937-2004гг</t>
        </is>
      </c>
      <c r="F3484" s="23" t="inlineStr">
        <is>
          <t>        </t>
        </is>
      </c>
      <c r="G3484" s="23" t="n">
        <v>672</v>
      </c>
      <c r="H3484" s="23" t="n">
        <v>10</v>
      </c>
      <c r="I3484" s="23" t="n">
        <v>10</v>
      </c>
      <c r="J3484" s="23" t="inlineStr">
        <is>
          <t>978-5-227-06036-5</t>
        </is>
      </c>
      <c r="K3484" s="23" t="inlineStr">
        <is>
          <t>84x108 1/32</t>
        </is>
      </c>
      <c r="L3484" s="23" t="inlineStr">
        <is>
          <t>тв</t>
        </is>
      </c>
      <c r="M3484" s="23" t="n">
        <v>448</v>
      </c>
      <c r="N3484" s="23" t="n">
        <v>2015</v>
      </c>
      <c r="O3484" s="23" t="n">
        <v>374</v>
      </c>
      <c r="P3484" s="23" t="n"/>
      <c r="Q3484" s="23" t="n"/>
      <c r="R3484" s="25" t="inlineStr">
        <is>
          <t>Книга Анатолия Лайбы — не только о полярниках, покорявших Северный и Южный полюса Земли. Она и о побывавших в экспедициях: геологах, метеорологах, взрывниках, бурильщиках, радистах, докторах, летчиках, о местных охотниках и аборигенах… В череде забавных, комических, а иной раз драматических эпизодов автор помогает нам увидеть и тяжелый труд, и способность преодолевать испытания, и увлеченность научным поиском. А также тягу к романтике, личное мужество, дух товарищества, пресловутую русскую смекалку и, конечно, рождающийся по ходу дела фольклор и ядреный северный юмор._x000D_
По прочтении книги читатель поймет, что и посмеялся, и подивился, и многое узнал об организации и функционировании экспедиций, зимовок, геологических партий, о явлениях погоды, рельефе, водоемах, ледниках, снегах Крайнего Севера/Юга и невероятной красоте живой природы. Помнить о трудной многолетней работе покорителей Арктики и Антарк­тики сегодня важно, как никогда. Приполярные области РФ, население которых численностью в 1%, производят до 20% валового национального продукта! Эти цифры говорят о многом, и значение Арктического бассейна в дальнейшем будет только возрастать.</t>
        </is>
      </c>
      <c r="S3484" s="26">
        <f>HYPERLINK("http://www.cnpol.ru/covers/16241.jpg","фото на сайте")</f>
        <v/>
      </c>
    </row>
    <row r="3485" ht="50.1" customHeight="1" s="3">
      <c r="A3485" s="23" t="n"/>
      <c r="B3485" s="24" t="inlineStr">
        <is>
          <t>20484</t>
        </is>
      </c>
      <c r="C3485" s="23" t="inlineStr">
        <is>
          <t>ОИ ВИ</t>
        </is>
      </c>
      <c r="D3485" s="23" t="inlineStr">
        <is>
          <t>Хасс П.Д. , Капоши Д.</t>
        </is>
      </c>
      <c r="E3485" s="23" t="inlineStr">
        <is>
          <t>КГБ в ООН</t>
        </is>
      </c>
      <c r="F3485" s="23" t="inlineStr">
        <is>
          <t>        </t>
        </is>
      </c>
      <c r="G3485" s="27" t="n">
        <v>1117</v>
      </c>
      <c r="H3485" s="23" t="n">
        <v>10</v>
      </c>
      <c r="I3485" s="23" t="n">
        <v>8</v>
      </c>
      <c r="J3485" s="23" t="inlineStr">
        <is>
          <t>978-5-9524-5877-2</t>
        </is>
      </c>
      <c r="K3485" s="23" t="inlineStr">
        <is>
          <t>84x108 1/32</t>
        </is>
      </c>
      <c r="L3485" s="23" t="inlineStr">
        <is>
          <t>тв</t>
        </is>
      </c>
      <c r="M3485" s="23" t="n">
        <v>363</v>
      </c>
      <c r="N3485" s="23" t="n">
        <v>2023</v>
      </c>
      <c r="O3485" s="23" t="n">
        <v>340</v>
      </c>
      <c r="P3485" s="23" t="n"/>
      <c r="Q3485" s="23" t="n"/>
      <c r="R3485" s="25" t="inlineStr">
        <is>
          <t>Американские журналисты П.Дж. Хасс и Дж. Капоши рассказывают о деятельности советских разведслужб в Организации Объединенных Наций. Их представители пользуются дипломатической неприкосновенностью, и это способствует широкой шпионской деятельности. История советских агентов, служивших в ООН на протяжении нескольких десятилетий ее существования, политические акции советского правительства на международной арене, разоблачение шпионов, работающих в комиссиях под личиной представителей своей страны, военные и дипломатические секреты, ставшие предметом шпионажа, расследование шпионских акций и даже преступлений в самой ООН — вот круг проблем, которые затрагивает книга.</t>
        </is>
      </c>
      <c r="S3485" s="26">
        <f>HYPERLINK("http://www.cnpol.ru/covers/20484.jpg","фото на сайте")</f>
        <v/>
      </c>
    </row>
    <row r="3486" ht="50.1" customHeight="1" s="3">
      <c r="A3486" s="23" t="n"/>
      <c r="B3486" s="24" t="inlineStr">
        <is>
          <t>15837</t>
        </is>
      </c>
      <c r="C3486" s="23" t="inlineStr">
        <is>
          <t>ОИ ВИ</t>
        </is>
      </c>
      <c r="D3486" s="23" t="inlineStr">
        <is>
          <t>Лимонов Э.В</t>
        </is>
      </c>
      <c r="E3486" s="23" t="inlineStr">
        <is>
          <t>Киев капут. Яростная книга</t>
        </is>
      </c>
      <c r="F3486" s="23" t="inlineStr">
        <is>
          <t>        </t>
        </is>
      </c>
      <c r="G3486" s="23" t="n">
        <v>724</v>
      </c>
      <c r="H3486" s="23" t="n">
        <v>10</v>
      </c>
      <c r="I3486" s="23" t="n">
        <v>14</v>
      </c>
      <c r="J3486" s="23" t="inlineStr">
        <is>
          <t>978-5-227-05727-3</t>
        </is>
      </c>
      <c r="K3486" s="23" t="inlineStr">
        <is>
          <t>84x108 1/32</t>
        </is>
      </c>
      <c r="L3486" s="23" t="inlineStr">
        <is>
          <t>тв</t>
        </is>
      </c>
      <c r="M3486" s="23" t="n">
        <v>448</v>
      </c>
      <c r="N3486" s="23" t="n">
        <v>2015</v>
      </c>
      <c r="O3486" s="23" t="n">
        <v>460</v>
      </c>
      <c r="P3486" s="23" t="n"/>
      <c r="Q3486" s="23" t="n"/>
      <c r="R3486" s="25" t="inlineStr">
        <is>
          <t>Эдуард Лимонов – поэт, писатель, журналист, революционер. Очень часто его высказывания оказываются пророческими. Под этой обложкой содержится дневник текущих событий на Украине. От национальной жовто-блакитной революции на Майдане, через воссоединение Крыма с Россией, восстание на Донбасе, перемирие, киевские выборы в Раду и, наконец, через ополченческие выборы 2 ноября в Донецкой и Луганской республиках. Дневник обрывается в будущее. От событий, которые последуют, не удастся укрыться никому.</t>
        </is>
      </c>
      <c r="S3486" s="26">
        <f>HYPERLINK("http://www.cnpol.ru/covers/15837.jpg","фото на сайте")</f>
        <v/>
      </c>
    </row>
    <row r="3487" ht="50.1" customHeight="1" s="3">
      <c r="A3487" s="23" t="inlineStr">
        <is>
          <t>Н</t>
        </is>
      </c>
      <c r="B3487" s="24" t="inlineStr">
        <is>
          <t>21159</t>
        </is>
      </c>
      <c r="C3487" s="23" t="inlineStr">
        <is>
          <t>ОИ ВИ</t>
        </is>
      </c>
      <c r="D3487" s="23" t="inlineStr">
        <is>
          <t>Эберхард В.</t>
        </is>
      </c>
      <c r="E3487" s="23" t="inlineStr">
        <is>
          <t>Китайские праздники. Древние традиции, памятные до наших дней</t>
        </is>
      </c>
      <c r="F3487" s="23" t="inlineStr">
        <is>
          <t>        </t>
        </is>
      </c>
      <c r="G3487" s="23" t="n">
        <v>432</v>
      </c>
      <c r="H3487" s="23" t="n">
        <v>10</v>
      </c>
      <c r="I3487" s="23" t="n">
        <v>18</v>
      </c>
      <c r="J3487" s="23" t="inlineStr">
        <is>
          <t>978-5-9524-6056-0</t>
        </is>
      </c>
      <c r="K3487" s="23" t="inlineStr">
        <is>
          <t>70x90 1/32</t>
        </is>
      </c>
      <c r="L3487" s="23" t="inlineStr">
        <is>
          <t>тв</t>
        </is>
      </c>
      <c r="M3487" s="23" t="n">
        <v>191</v>
      </c>
      <c r="N3487" s="23" t="n">
        <v>2024</v>
      </c>
      <c r="O3487" s="23" t="n">
        <v>172</v>
      </c>
      <c r="P3487" s="23" t="n"/>
      <c r="Q3487" s="23" t="n"/>
      <c r="R3487" s="25" t="inlineStr">
        <is>
          <t>Книга посвящена наиболее почитаемым китайским праздникам, уходящим корнями в древнюю историю и восточную мифологию. Описаны самобытные традиции и ритуалы новогодних, весенних и осенних торжеств, фестивалей лодок-драконов и голодных духов, рассказано, как они менялись с течением времени, не утрачивая ярких оригинальных черт и обретая новые.</t>
        </is>
      </c>
      <c r="S3487" s="26">
        <f>HYPERLINK("http://www.cnpol.ru/covers/21159.jpg","фото на сайте")</f>
        <v/>
      </c>
    </row>
    <row r="3488" ht="50.1" customHeight="1" s="3">
      <c r="A3488" s="23" t="n"/>
      <c r="B3488" s="24" t="inlineStr">
        <is>
          <t>20027</t>
        </is>
      </c>
      <c r="C3488" s="23" t="inlineStr">
        <is>
          <t>ОИ ВИ</t>
        </is>
      </c>
      <c r="D3488" s="23" t="inlineStr">
        <is>
          <t>Пуанкаре Р.</t>
        </is>
      </c>
      <c r="E3488" s="23" t="inlineStr">
        <is>
          <t>Кн.1 На службе Франции. Президент республики о Первой мировой войне: В 2 кн. Кн. 1</t>
        </is>
      </c>
      <c r="F3488" s="23" t="inlineStr">
        <is>
          <t>        </t>
        </is>
      </c>
      <c r="G3488" s="27" t="n">
        <v>1702</v>
      </c>
      <c r="H3488" s="23" t="n">
        <v>10</v>
      </c>
      <c r="I3488" s="23" t="n">
        <v>6</v>
      </c>
      <c r="J3488" s="23" t="inlineStr">
        <is>
          <t>978-5-227-09811-5</t>
        </is>
      </c>
      <c r="K3488" s="23" t="inlineStr">
        <is>
          <t>84x108 1/32</t>
        </is>
      </c>
      <c r="L3488" s="23" t="inlineStr">
        <is>
          <t>тв</t>
        </is>
      </c>
      <c r="M3488" s="23" t="n">
        <v>706</v>
      </c>
      <c r="N3488" s="23" t="n">
        <v>2022</v>
      </c>
      <c r="O3488" s="23" t="n">
        <v>672</v>
      </c>
      <c r="P3488" s="23" t="n"/>
      <c r="Q3488" s="23" t="n"/>
      <c r="R3488" s="25" t="inlineStr">
        <is>
          <t>Воспоминания видного государственного деятеля, трижды занимавшего пост премьер-министра и бывшего президентом республики в 1913—1920 годах, содержат исчерпывающую информацию из истории внутренней и внешней политики Франции в период Первой мировой войны. Особую ценность придает труду богатый фактический материал о стратегических планах накануне войны, основных ее этапах, взаимоотношениях партнеров по Антанте, ходе боевых действий._x000D_
Первая книга охватывает период 1914—1915 годов.</t>
        </is>
      </c>
      <c r="S3488" s="26">
        <f>HYPERLINK("http://www.cnpol.ru/covers/20027.jpg","фото на сайте")</f>
        <v/>
      </c>
    </row>
    <row r="3489" ht="50.1" customHeight="1" s="3">
      <c r="A3489" s="23" t="n"/>
      <c r="B3489" s="24" t="inlineStr">
        <is>
          <t>20028</t>
        </is>
      </c>
      <c r="C3489" s="23" t="inlineStr">
        <is>
          <t>ОИ ВИ</t>
        </is>
      </c>
      <c r="D3489" s="23" t="inlineStr">
        <is>
          <t>Пуанкаре Р.</t>
        </is>
      </c>
      <c r="E3489" s="23" t="inlineStr">
        <is>
          <t>Кн.2 На службе Франции. Президент республики о Первой мировой войне: В 2 кн. Кн. 2</t>
        </is>
      </c>
      <c r="F3489" s="23" t="inlineStr">
        <is>
          <t>        </t>
        </is>
      </c>
      <c r="G3489" s="27" t="n">
        <v>1466</v>
      </c>
      <c r="H3489" s="23" t="n">
        <v>10</v>
      </c>
      <c r="I3489" s="23" t="n">
        <v>8</v>
      </c>
      <c r="J3489" s="23" t="inlineStr">
        <is>
          <t>978-5-227-09812-2</t>
        </is>
      </c>
      <c r="K3489" s="23" t="inlineStr">
        <is>
          <t>84x108 1/32</t>
        </is>
      </c>
      <c r="L3489" s="23" t="inlineStr">
        <is>
          <t>тв</t>
        </is>
      </c>
      <c r="M3489" s="23" t="n">
        <v>571</v>
      </c>
      <c r="N3489" s="23" t="n">
        <v>2022</v>
      </c>
      <c r="O3489" s="23" t="n">
        <v>650</v>
      </c>
      <c r="P3489" s="23" t="n"/>
      <c r="Q3489" s="23" t="n"/>
      <c r="R3489" s="25" t="inlineStr">
        <is>
          <t>Воспоминания видного государственного деятеля, трижды занимавшего пост премьер-министра и бывшего президентом республики в 1913—1920 годах, содержат исчерпывающую информацию из истории внутренней и внешней политики Франции в период Первой мировой войны. Особую ценность придает труду богатый фактический материал о стратегических планах накануне войны, основных ее этапах, взаимоотношениях партнеров по Антанте, ходе боевых действий._x000D_
Вторая книга охватывает период 1915—1916 годов.</t>
        </is>
      </c>
      <c r="S3489" s="26">
        <f>HYPERLINK("http://www.cnpol.ru/covers/20028.jpg","фото на сайте")</f>
        <v/>
      </c>
    </row>
    <row r="3490" ht="50.1" customHeight="1" s="3">
      <c r="A3490" s="23" t="inlineStr">
        <is>
          <t>Н</t>
        </is>
      </c>
      <c r="B3490" s="24" t="inlineStr">
        <is>
          <t>21687</t>
        </is>
      </c>
      <c r="C3490" s="23" t="inlineStr">
        <is>
          <t>ОИ ВИ</t>
        </is>
      </c>
      <c r="D3490" s="23" t="inlineStr">
        <is>
          <t>Маккензи К.</t>
        </is>
      </c>
      <c r="E3490" s="23" t="inlineStr">
        <is>
          <t>Коминтерн и мировая революция. Роль Советского Союза во всемирном революционном процессе. 1919—1943</t>
        </is>
      </c>
      <c r="F3490" s="23" t="inlineStr">
        <is>
          <t>        </t>
        </is>
      </c>
      <c r="G3490" s="27" t="n">
        <v>1063</v>
      </c>
      <c r="H3490" s="23" t="n">
        <v>10</v>
      </c>
      <c r="I3490" s="23" t="n">
        <v>5</v>
      </c>
      <c r="J3490" s="23" t="inlineStr">
        <is>
          <t>978-5-9524-5957-1</t>
        </is>
      </c>
      <c r="K3490" s="23" t="inlineStr">
        <is>
          <t>84x108 1/32</t>
        </is>
      </c>
      <c r="L3490" s="23" t="inlineStr">
        <is>
          <t>тв</t>
        </is>
      </c>
      <c r="M3490" s="23" t="n">
        <v>351</v>
      </c>
      <c r="N3490" s="23" t="n">
        <v>2023</v>
      </c>
      <c r="O3490" s="23" t="n">
        <v>310</v>
      </c>
      <c r="P3490" s="23" t="n"/>
      <c r="Q3490" s="23" t="n"/>
      <c r="R3490" s="25" t="inlineStr">
        <is>
          <t>Книга К. Маккензи — одно из фундаментальных исследований, посвященных деятельности Коминтерна и особой роли Советского Союза в борьбе за мировую революцию. В ней рассказывается об этапах построения мирового интернационала коммунистов, о разработке стратегии и тактики захвата мирового господства и трансформации общества в соответствии с их идеологией. Важное место автор отводит взаимоотношениям «эталонного государства» — СССР с компартиями других стран и революционными движениями. В работе использованы исторические документы: стенограммы, резолюции, тезисы, программы, манифесты и работы крупных теоретиков коммунизма.</t>
        </is>
      </c>
      <c r="S3490" s="26">
        <f>HYPERLINK("http://www.cnpol.ru/covers/21687.jpg","фото на сайте")</f>
        <v/>
      </c>
    </row>
    <row r="3491" ht="50.1" customHeight="1" s="3">
      <c r="A3491" s="23" t="inlineStr">
        <is>
          <t>Н</t>
        </is>
      </c>
      <c r="B3491" s="24" t="inlineStr">
        <is>
          <t>21688</t>
        </is>
      </c>
      <c r="C3491" s="23" t="inlineStr">
        <is>
          <t>ОИ ВИ</t>
        </is>
      </c>
      <c r="D3491" s="23" t="inlineStr">
        <is>
          <t>Иннес Х.</t>
        </is>
      </c>
      <c r="E3491" s="23" t="inlineStr">
        <is>
          <t>Конкистадоры: История испанских завоеваний XV—XVI веков</t>
        </is>
      </c>
      <c r="F3491" s="23" t="inlineStr">
        <is>
          <t>        </t>
        </is>
      </c>
      <c r="G3491" s="27" t="n">
        <v>1160</v>
      </c>
      <c r="H3491" s="23" t="n">
        <v>10</v>
      </c>
      <c r="I3491" s="23" t="n">
        <v>5</v>
      </c>
      <c r="J3491" s="23" t="inlineStr">
        <is>
          <t>978-5-9524-5842-0</t>
        </is>
      </c>
      <c r="K3491" s="23" t="inlineStr">
        <is>
          <t>84x108 1/32</t>
        </is>
      </c>
      <c r="L3491" s="23" t="inlineStr">
        <is>
          <t>тв</t>
        </is>
      </c>
      <c r="M3491" s="23" t="n">
        <v>391</v>
      </c>
      <c r="N3491" s="23" t="n">
        <v>2022</v>
      </c>
      <c r="O3491" s="23" t="n">
        <v>320</v>
      </c>
      <c r="P3491" s="23" t="n"/>
      <c r="Q3491" s="23" t="n"/>
      <c r="R3491" s="25" t="inlineStr">
        <is>
          <t>Подробное и яркое историческое исследование, повествующее об истории испанских завоеваний в Центральной и Южной Америке, о жизни и деятельности предводителей испанских конкистадоров Эрнана Кортеса и Франсиско Писарро, о тайнах древней культуры инков и ацтеков — коренных жителей Центральной и Южной Америки.</t>
        </is>
      </c>
      <c r="S3491" s="26">
        <f>HYPERLINK("http://www.cnpol.ru/covers/21688.jpg","фото на сайте")</f>
        <v/>
      </c>
    </row>
    <row r="3492" ht="50.1" customHeight="1" s="3">
      <c r="A3492" s="23" t="inlineStr">
        <is>
          <t>Н</t>
        </is>
      </c>
      <c r="B3492" s="24" t="inlineStr">
        <is>
          <t>21191</t>
        </is>
      </c>
      <c r="C3492" s="23" t="inlineStr">
        <is>
          <t>ОИ ВИ</t>
        </is>
      </c>
      <c r="D3492" s="23" t="inlineStr">
        <is>
          <t>Адамов Е.А.</t>
        </is>
      </c>
      <c r="E3492" s="23" t="inlineStr">
        <is>
          <t>Константинополь и Проливы. Т.1. Борьба Российской империи за столицу Турции, владение Босфором и Дарданеллами в Первой мировой войне. В 2 т. Т. I</t>
        </is>
      </c>
      <c r="F3492" s="23" t="n">
        <v>1</v>
      </c>
      <c r="G3492" s="27" t="n">
        <v>1747</v>
      </c>
      <c r="H3492" s="23" t="n">
        <v>10</v>
      </c>
      <c r="I3492" s="23" t="n">
        <v>6</v>
      </c>
      <c r="J3492" s="23" t="inlineStr">
        <is>
          <t>978-5-227-10682-7</t>
        </is>
      </c>
      <c r="K3492" s="23" t="inlineStr">
        <is>
          <t>60x90 1/16</t>
        </is>
      </c>
      <c r="L3492" s="23" t="inlineStr">
        <is>
          <t>тв</t>
        </is>
      </c>
      <c r="M3492" s="23" t="n">
        <v>607</v>
      </c>
      <c r="N3492" s="23" t="n">
        <v>2024</v>
      </c>
      <c r="O3492" s="23" t="n">
        <v>697</v>
      </c>
      <c r="P3492" s="23" t="n"/>
      <c r="Q3492" s="23" t="n"/>
      <c r="R3492" s="25" t="inlineStr">
        <is>
          <t>Со времен Екатерины II, мечтавшей о возрождении Византии на ее исторических землях, наиболее характерной чертой внешней политики России являлось стремление к получению прохода через Проливы и полного господства на Черном море. В течение ХIХ века российские государи неоднократно предпринимали попытки возродить «греческий проект», однако наиболее остро вопрос о Проливах встал в 1908–1911 гг. в связи с турецкой революцией и итало-турецкой войной за Триполи, когда проход через Проливы стал невозможен как для военных, так и для торговых судов._x000D_
В двух томах настоящего издания представлены секретные документы архива Министерства иностранных дел о соглашении, заключенном в 1915 г. между Россией, Францией и Англией по вопросу о Константинополе и Проливах, а также секретные бумаги 1916—1917 гг., касающиеся «проекта босфорской экспедиции». Документальную часть первого тома профессор Е.А. Адамов, редактор и составитель данного издания, предваряет развернутой исторической справкой о политической ситуации в Европе в период обострения балканского кризиса и Первой мировой войны.</t>
        </is>
      </c>
      <c r="S3492" s="26">
        <f>HYPERLINK("http://www.cnpol.ru/covers/21191.jpg","фото на сайте")</f>
        <v/>
      </c>
    </row>
    <row r="3493" ht="50.1" customHeight="1" s="3">
      <c r="A3493" s="23" t="inlineStr">
        <is>
          <t>Н</t>
        </is>
      </c>
      <c r="B3493" s="24" t="inlineStr">
        <is>
          <t>21192</t>
        </is>
      </c>
      <c r="C3493" s="23" t="inlineStr">
        <is>
          <t>ОИ ВИ</t>
        </is>
      </c>
      <c r="D3493" s="23" t="inlineStr">
        <is>
          <t>Адамов Е.А.</t>
        </is>
      </c>
      <c r="E3493" s="23" t="inlineStr">
        <is>
          <t>Константинополь и Проливы. Т.2. Борьба Российской империи за столицу Турции, владение Босфором и Дарданеллами в Первой мировой войне. В 2 т. Т. II</t>
        </is>
      </c>
      <c r="F3493" s="23" t="n">
        <v>2</v>
      </c>
      <c r="G3493" s="27" t="n">
        <v>1460</v>
      </c>
      <c r="H3493" s="23" t="n">
        <v>10</v>
      </c>
      <c r="I3493" s="23" t="n">
        <v>8</v>
      </c>
      <c r="J3493" s="23" t="inlineStr">
        <is>
          <t>978-5-227-10684-1</t>
        </is>
      </c>
      <c r="K3493" s="23" t="inlineStr">
        <is>
          <t>60x90 1/16</t>
        </is>
      </c>
      <c r="L3493" s="23" t="inlineStr">
        <is>
          <t>тв</t>
        </is>
      </c>
      <c r="M3493" s="23" t="n">
        <v>479</v>
      </c>
      <c r="N3493" s="23" t="n">
        <v>2024</v>
      </c>
      <c r="O3493" s="23" t="n">
        <v>571</v>
      </c>
      <c r="P3493" s="23" t="n"/>
      <c r="Q3493" s="23" t="n"/>
      <c r="R3493" s="25" t="inlineStr">
        <is>
          <t>Со времен Екатерины II наиболее характерной чертой внешней политики России являлось стремление к получению прохода через Проливы и полного господства на Черном море. В течение ХIХ века российские государи неоднократно предпринимали попытки возродить «греческий проект», однако наиболее остро вопрос о Проливах встал в 1914-1915 гг., когда было принято решение о начале дарданелльской операции._x000D_
В двух томах настоящего издания представлены секретные документы архива Министерства иностранных дел, касающиеся соглашения между странами антигерманской коалиции относительно будущего управления Константинополем и переговоров о заключении перемирия с Германией и Турцией. Во второй том включена переписка с правительством Венизелоса о привлечении Греции на сторону держав Согласия и властями Болгарии по вопросу об использовании Бургаса в качестве базы русского флота. В предисловии профессор Э.Д. Гримм дает развернутую историческую справку о политической ситуации в Европе в годы Первой мировой войны и прослеживает ход военной операции за овладение Дарданеллами и выход в Средиземное море.</t>
        </is>
      </c>
      <c r="S3493" s="26">
        <f>HYPERLINK("http://www.cnpol.ru/covers/21192.jpg","фото на сайте")</f>
        <v/>
      </c>
    </row>
    <row r="3494" ht="50.1" customHeight="1" s="3">
      <c r="A3494" s="23" t="inlineStr">
        <is>
          <t>Д</t>
        </is>
      </c>
      <c r="B3494" s="24" t="inlineStr">
        <is>
          <t>21941</t>
        </is>
      </c>
      <c r="C3494" s="23" t="inlineStr">
        <is>
          <t>ОИ ВИ</t>
        </is>
      </c>
      <c r="D3494" s="23" t="inlineStr">
        <is>
          <t>Рансимен С.</t>
        </is>
      </c>
      <c r="E3494" s="23" t="inlineStr">
        <is>
          <t>Королевство Акры и поздние крестовые походы. Последние крестоносцы на Святой земле</t>
        </is>
      </c>
      <c r="F3494" s="23" t="inlineStr">
        <is>
          <t>        </t>
        </is>
      </c>
      <c r="G3494" s="27" t="n">
        <v>1238</v>
      </c>
      <c r="H3494" s="23" t="n">
        <v>10</v>
      </c>
      <c r="I3494" s="23" t="n">
        <v>6</v>
      </c>
      <c r="J3494" s="23" t="inlineStr">
        <is>
          <t>978-5-9524-6586-2</t>
        </is>
      </c>
      <c r="K3494" s="23" t="inlineStr">
        <is>
          <t>84x108 1/32</t>
        </is>
      </c>
      <c r="L3494" s="23" t="inlineStr">
        <is>
          <t>тв</t>
        </is>
      </c>
      <c r="M3494" s="23" t="n">
        <v>447</v>
      </c>
      <c r="N3494" s="23" t="n">
        <v>2026</v>
      </c>
      <c r="O3494" s="23" t="n">
        <v>490</v>
      </c>
      <c r="P3494" s="23" t="n"/>
      <c r="Q3494" s="23" t="n"/>
      <c r="R3494" s="25" t="inlineStr">
        <is>
          <t>Книга британского историка­медиевиста Стивена Рансимена охватывает период от Третьего крестового похода конца XII века до середины XV века, когда крестоносное движение окончательно сошло на нет. Рансимен повествует о горьком столетии, последовавшем за завоеванием Иерусалима Саладином, кратком периоде возрождения франкских государств Утремера и падении Акры, последнего оплота христиан на Востоке. Историк также рассказывает о последних крестовых походах, которым удалось или не удалось достичь стен Иерусалима, а также о приходе к власти мамлюков и появлении монголов на Святой земле. В последних главах автор подводит итоги эпохи крестовых походов и дает краткий обзор ремесел и искусств в Утремере.</t>
        </is>
      </c>
      <c r="S3494" s="26">
        <f>HYPERLINK("http://www.cnpol.ru/covers/21941.jpg","фото на сайте")</f>
        <v/>
      </c>
    </row>
    <row r="3495" ht="50.1" customHeight="1" s="3">
      <c r="A3495" s="23" t="inlineStr">
        <is>
          <t>Д</t>
        </is>
      </c>
      <c r="B3495" s="24" t="inlineStr">
        <is>
          <t>22217</t>
        </is>
      </c>
      <c r="C3495" s="23" t="inlineStr">
        <is>
          <t>ОИ ВИ</t>
        </is>
      </c>
      <c r="D3495" s="23" t="inlineStr">
        <is>
          <t>Правер Д.</t>
        </is>
      </c>
      <c r="E3495" s="23" t="inlineStr">
        <is>
          <t>Королевство крестоносцев. Два века правления европейских рыцарей на древних библейских землях: от взятия Иерусалима до падения Акры</t>
        </is>
      </c>
      <c r="F3495" s="23" t="inlineStr">
        <is>
          <t>        </t>
        </is>
      </c>
      <c r="G3495" s="27" t="n">
        <v>1359</v>
      </c>
      <c r="H3495" s="23" t="n">
        <v>10</v>
      </c>
      <c r="I3495" s="23" t="n">
        <v>10</v>
      </c>
      <c r="J3495" s="23" t="inlineStr">
        <is>
          <t>978-5-9524-6724-8</t>
        </is>
      </c>
      <c r="K3495" s="23" t="inlineStr">
        <is>
          <t>84x108 1/32</t>
        </is>
      </c>
      <c r="L3495" s="23" t="inlineStr">
        <is>
          <t>тв</t>
        </is>
      </c>
      <c r="M3495" s="23" t="n">
        <v>511</v>
      </c>
      <c r="N3495" s="23" t="n">
        <v>2026</v>
      </c>
      <c r="O3495" s="23" t="n">
        <v>553</v>
      </c>
      <c r="P3495" s="23" t="n"/>
      <c r="Q3495" s="23" t="n"/>
      <c r="R3495" s="25" t="inlineStr">
        <is>
          <t>Выдающийся израильский историк Джошуа Правер на страницах своей книги воссоздает жизнь и уклад средневекового общества на Ближнем Востоке в эпоху Крестовых походов. Профессор Правер описывает историю создания крестоносцами Иерусалимского королевства, рассматривает его устройство, систему управления, политические и общественные институты, привнесенные европейцами в Святую землю, а также рассказывает о взаимопроникновении восточной и западной культур и возникновении новых форм в искусстве.</t>
        </is>
      </c>
      <c r="S3495" s="26">
        <f>HYPERLINK("http://www.cnpol.ru/covers/22217.jpg","фото на сайте")</f>
        <v/>
      </c>
    </row>
    <row r="3496" ht="50.1" customHeight="1" s="3">
      <c r="A3496" s="23" t="inlineStr">
        <is>
          <t>Н</t>
        </is>
      </c>
      <c r="B3496" s="24" t="inlineStr">
        <is>
          <t>21790</t>
        </is>
      </c>
      <c r="C3496" s="23" t="inlineStr">
        <is>
          <t>ОИ ВИ</t>
        </is>
      </c>
      <c r="D3496" s="23" t="inlineStr">
        <is>
          <t>Уилер-Беннет Дж.</t>
        </is>
      </c>
      <c r="E3496" s="23" t="inlineStr">
        <is>
          <t>Король Георг VI. Жизнь и царствование наследника Виндзорской династии, главы Британской империи в годы Второй мировой войны</t>
        </is>
      </c>
      <c r="F3496" s="23" t="inlineStr">
        <is>
          <t>        </t>
        </is>
      </c>
      <c r="G3496" s="27" t="n">
        <v>1771</v>
      </c>
      <c r="H3496" s="23" t="n">
        <v>10</v>
      </c>
      <c r="I3496" s="23" t="n">
        <v>6</v>
      </c>
      <c r="J3496" s="23" t="inlineStr">
        <is>
          <t>978-5-9524-6339-4</t>
        </is>
      </c>
      <c r="K3496" s="23" t="inlineStr">
        <is>
          <t>60x90 1/16</t>
        </is>
      </c>
      <c r="L3496" s="23" t="inlineStr">
        <is>
          <t>тв</t>
        </is>
      </c>
      <c r="M3496" s="23" t="n">
        <v>687</v>
      </c>
      <c r="N3496" s="23" t="n">
        <v>2025</v>
      </c>
      <c r="O3496" s="23" t="n">
        <v>579</v>
      </c>
      <c r="P3496" s="23" t="n"/>
      <c r="Q3496" s="23" t="n"/>
      <c r="R3496" s="25" t="inlineStr">
        <is>
          <t>Известный английский историк Джон Уилер-Беннет создал портрет Георга VI Английского, возможно, более других монархов уважаемого и любимого в своей стране. Имея неограниченный доступ к королевским архивам, автор представил подробное жизнеописание этой незаурядной личности. Окончив Королевский военно-морской колледж в Осборне, принц Альберт в деятельности морского офицера, герцога Йоркского и короля Великобритании всегда проявлял спокойное мужество и упорство. Он научился летать, путешествовал по миру, сражался в Ютландии во время Первой мировой войны. В связи с отречением Эдуарда от престола в сорок один год принц вынужден был стать королем. Ему удалось продемонстрировать способность решительно действовать в чрезвычайных ситуациях, и таким образом он поступал на протяжении всей своей жизни. Георг VI стал первым правящим британским монархом, посетившим Америку. В годы войны король и королева укрепляли моральный дух Британии, — лондонцы помнят, что оба монарха отказались покинуть город во время сокрушительных бомбардировок. _x000D_
В книге помещены редкие фотоматериалы.</t>
        </is>
      </c>
      <c r="S3496" s="26">
        <f>HYPERLINK("http://www.cnpol.ru/covers/21790.jpg","фото на сайте")</f>
        <v/>
      </c>
    </row>
    <row r="3497" ht="50.1" customHeight="1" s="3">
      <c r="A3497" s="23" t="inlineStr">
        <is>
          <t>Д</t>
        </is>
      </c>
      <c r="B3497" s="24" t="inlineStr">
        <is>
          <t>22196</t>
        </is>
      </c>
      <c r="C3497" s="23" t="inlineStr">
        <is>
          <t>ОИ ВИ</t>
        </is>
      </c>
      <c r="D3497" s="23" t="inlineStr">
        <is>
          <t>Васильев А.М.</t>
        </is>
      </c>
      <c r="E3497" s="23" t="inlineStr">
        <is>
          <t>Король Фейсал: личность, эпоха, вера</t>
        </is>
      </c>
      <c r="F3497" s="23" t="inlineStr">
        <is>
          <t>        </t>
        </is>
      </c>
      <c r="G3497" s="27" t="n">
        <v>1641</v>
      </c>
      <c r="H3497" s="23" t="n">
        <v>10</v>
      </c>
      <c r="I3497" s="23" t="n">
        <v>6</v>
      </c>
      <c r="J3497" s="23" t="inlineStr">
        <is>
          <t>978-5-227-07937-4</t>
        </is>
      </c>
      <c r="K3497" s="23" t="inlineStr">
        <is>
          <t>60x90 1/16</t>
        </is>
      </c>
      <c r="L3497" s="23" t="inlineStr">
        <is>
          <t>тв</t>
        </is>
      </c>
      <c r="M3497" s="23" t="n">
        <v>543</v>
      </c>
      <c r="N3497" s="23" t="n">
        <v>2026</v>
      </c>
      <c r="O3497" s="23" t="n">
        <v>661</v>
      </c>
      <c r="P3497" s="23" t="n"/>
      <c r="Q3497" s="23" t="n"/>
      <c r="R3497" s="25" t="inlineStr">
        <is>
          <t>Книга посвящена одному из самых выдающихся арабских лидеров XX в., роли личности и духовного начала в политике. Богатый фактический материал позволяет читателю составить собственное представление о герое книги, о его самобытной стране, о переломных моментах ее истории, познакомиться «изнутри» с «исламским фактором», который играет столь важную роль в политической жизни мирового сообщества. Труд А.М. Васильева — и академическое, и литературное произведение, рассчитанное как на специалистов-востоковедов, так и на широкий круг читателей.</t>
        </is>
      </c>
      <c r="S3497" s="26">
        <f>HYPERLINK("http://www.cnpol.ru/covers/22196.jpg","фото на сайте")</f>
        <v/>
      </c>
    </row>
    <row r="3498" ht="50.1" customHeight="1" s="3">
      <c r="A3498" s="23" t="inlineStr">
        <is>
          <t>Н</t>
        </is>
      </c>
      <c r="B3498" s="24" t="inlineStr">
        <is>
          <t>21877</t>
        </is>
      </c>
      <c r="C3498" s="23" t="inlineStr">
        <is>
          <t>ОИ ВИ</t>
        </is>
      </c>
      <c r="D3498" s="23" t="inlineStr">
        <is>
          <t>Хитти Ф.</t>
        </is>
      </c>
      <c r="E3498" s="23" t="inlineStr">
        <is>
          <t>Краткая история Ближнего Востока. Формирование самого нестабильного региона мира на перекрестке трех</t>
        </is>
      </c>
      <c r="F3498" s="23" t="inlineStr">
        <is>
          <t>        </t>
        </is>
      </c>
      <c r="G3498" s="23" t="n">
        <v>976</v>
      </c>
      <c r="H3498" s="23" t="n">
        <v>10</v>
      </c>
      <c r="I3498" s="23" t="n">
        <v>10</v>
      </c>
      <c r="J3498" s="23" t="inlineStr">
        <is>
          <t>978-5-9524-6378-3</t>
        </is>
      </c>
      <c r="K3498" s="23" t="inlineStr">
        <is>
          <t>84x108 1/32</t>
        </is>
      </c>
      <c r="L3498" s="23" t="inlineStr">
        <is>
          <t>тв</t>
        </is>
      </c>
      <c r="M3498" s="23" t="n">
        <v>286</v>
      </c>
      <c r="N3498" s="23" t="n">
        <v>2026</v>
      </c>
      <c r="O3498" s="23" t="n">
        <v>190</v>
      </c>
      <c r="P3498" s="23" t="n"/>
      <c r="Q3498" s="23" t="n"/>
      <c r="R3498" s="25" t="inlineStr">
        <is>
          <t>Филип Хитти, известный американский ученый, профессор Принстонского университета, посвятил свою книгу истории Ближнего Востока. На протяжении многих веков на этой обширнейшей части планеты жили самые разные народы: египтяне, вавилоняне, ассирийцы, финикийцы, евреи, турки, персы, арабы. В течение пяти тысячелетий эта территория динамично развивалась и являла собой источник материальной и духовной культуры, из которого черпали знания и умения жители Европы. Искусство одомашнивания животных, выплавки металлов, изготовления изделий из керамики, солнечный календарь, алфавит — все это и многое другое подарил Европе Ближний Восток. Исследуя жизнь Ближнего Востока, автор затронул важнейшие вопросы, связанные с территориальными завоеваниями, развитием науки, культуры, экономики, возникновения и распространения трех великих мировых религий: иудаизма, христианства, ислама.</t>
        </is>
      </c>
      <c r="S3498" s="26">
        <f>HYPERLINK("http://www.cnpol.ru/covers/21877.jpg","фото на сайте")</f>
        <v/>
      </c>
    </row>
    <row r="3499" ht="50.1" customHeight="1" s="3">
      <c r="A3499" s="23" t="n"/>
      <c r="B3499" s="24" t="inlineStr">
        <is>
          <t>20129</t>
        </is>
      </c>
      <c r="C3499" s="23" t="inlineStr">
        <is>
          <t>ОИ ВИ</t>
        </is>
      </c>
      <c r="D3499" s="23" t="inlineStr">
        <is>
          <t>Монтгомери Б.Л.</t>
        </is>
      </c>
      <c r="E3499" s="23" t="inlineStr">
        <is>
          <t>Краткая история военных сражений</t>
        </is>
      </c>
      <c r="F3499" s="23" t="inlineStr">
        <is>
          <t>        </t>
        </is>
      </c>
      <c r="G3499" s="27" t="n">
        <v>1265</v>
      </c>
      <c r="H3499" s="23" t="n">
        <v>10</v>
      </c>
      <c r="I3499" s="23" t="n">
        <v>10</v>
      </c>
      <c r="J3499" s="23" t="inlineStr">
        <is>
          <t>978-5-9524-5647-1</t>
        </is>
      </c>
      <c r="K3499" s="23" t="inlineStr">
        <is>
          <t>84x108 1/32</t>
        </is>
      </c>
      <c r="L3499" s="23" t="inlineStr">
        <is>
          <t>тв</t>
        </is>
      </c>
      <c r="M3499" s="23" t="n">
        <v>464</v>
      </c>
      <c r="N3499" s="23" t="n">
        <v>2022</v>
      </c>
      <c r="O3499" s="23" t="n">
        <v>376</v>
      </c>
      <c r="P3499" s="23" t="n"/>
      <c r="Q3499" s="23" t="n"/>
      <c r="R3499" s="25" t="inlineStr">
        <is>
          <t>Эта книга - увлекательный экскурс в мир величайших исторических сражений и хитроумных военных методик. Автор дает ответы на самые разные войны. Почему происходят войны? Является ли война следствием присущей человеку жестокости, или же она вечный арбитр? В книге описаны важнейшие военные события человечества, начиная с греко-персидских войн Античности, походов Цезаря, падениям Рима, завоевания крестоносцев и заканчивая Второй мировой войной.</t>
        </is>
      </c>
      <c r="S3499" s="26">
        <f>HYPERLINK("http://www.cnpol.ru/covers/20129.jpg","фото на сайте")</f>
        <v/>
      </c>
    </row>
    <row r="3500" ht="50.1" customHeight="1" s="3">
      <c r="A3500" s="23" t="n"/>
      <c r="B3500" s="24" t="inlineStr">
        <is>
          <t>20252</t>
        </is>
      </c>
      <c r="C3500" s="23" t="inlineStr">
        <is>
          <t>ОИ ВИ</t>
        </is>
      </c>
      <c r="D3500" s="23" t="inlineStr">
        <is>
          <t>Гулд Р.</t>
        </is>
      </c>
      <c r="E3500" s="23" t="inlineStr">
        <is>
          <t>Краткая история масонства</t>
        </is>
      </c>
      <c r="F3500" s="23" t="inlineStr">
        <is>
          <t>        </t>
        </is>
      </c>
      <c r="G3500" s="27" t="n">
        <v>1152</v>
      </c>
      <c r="H3500" s="23" t="n">
        <v>10</v>
      </c>
      <c r="I3500" s="23" t="n">
        <v>10</v>
      </c>
      <c r="J3500" s="23" t="inlineStr">
        <is>
          <t>978-5-227-09851-1</t>
        </is>
      </c>
      <c r="K3500" s="23" t="inlineStr">
        <is>
          <t>84x108 1/32</t>
        </is>
      </c>
      <c r="L3500" s="23" t="inlineStr">
        <is>
          <t>тв</t>
        </is>
      </c>
      <c r="M3500" s="23" t="n">
        <v>382</v>
      </c>
      <c r="N3500" s="23" t="n">
        <v>2022</v>
      </c>
      <c r="O3500" s="23" t="n">
        <v>370</v>
      </c>
      <c r="P3500" s="23" t="n"/>
      <c r="Q3500" s="23" t="n"/>
      <c r="R3500" s="25" t="inlineStr">
        <is>
          <t>"Известный историк, чьи труды считаются самыми авторитетными в этой области, Роберт Гулд представляет книгу, которая раскрывает множество различных аспектов истории масонства. Исследование охватывает огромный период времени, начиная с образования первых обществ Вольных Каменщиков, возникших в Средние века, вплоть до деятельности Великой английской Ложи и дальнейшего развития движения в начале ХХ века.
Ученый рассматривает основные теории происхождения масонства, их эстетику, нашедшую выражение в искусстве и архитектуре, подробно касается значения символики, применяемой членами Братства с древнейших времен. В книге также приводится весьма сложная иерархия членов тайных обществ, структура распространения масонства по всему миру, приводятся описания тайных обрядов, ритуалов посвящения, образцы клятв и различных документов, имеющих отношение к деятельности масонов.
"</t>
        </is>
      </c>
      <c r="S3500" s="26">
        <f>HYPERLINK("http://www.cnpol.ru/covers/20252.jpg","фото на сайте")</f>
        <v/>
      </c>
    </row>
    <row r="3501" ht="50.1" customHeight="1" s="3">
      <c r="A3501" s="23" t="inlineStr">
        <is>
          <t>Н</t>
        </is>
      </c>
      <c r="B3501" s="24" t="inlineStr">
        <is>
          <t>21498</t>
        </is>
      </c>
      <c r="C3501" s="23" t="inlineStr">
        <is>
          <t>ОИ ВИ</t>
        </is>
      </c>
      <c r="D3501" s="23" t="inlineStr">
        <is>
          <t>Терни А.</t>
        </is>
      </c>
      <c r="E3501" s="23" t="inlineStr">
        <is>
          <t>Крах под Москвой. Зимняя кампания генерал-фельдмаршала фон Бока и группы армий «Центр». 1941—1942</t>
        </is>
      </c>
      <c r="F3501" s="23" t="inlineStr">
        <is>
          <t>        </t>
        </is>
      </c>
      <c r="G3501" s="23" t="n">
        <v>843</v>
      </c>
      <c r="H3501" s="23" t="n">
        <v>10</v>
      </c>
      <c r="I3501" s="23" t="n">
        <v>16</v>
      </c>
      <c r="J3501" s="23" t="inlineStr">
        <is>
          <t>978-5-9524-6331-8</t>
        </is>
      </c>
      <c r="K3501" s="23" t="inlineStr">
        <is>
          <t>84x108 1/32</t>
        </is>
      </c>
      <c r="L3501" s="23" t="inlineStr">
        <is>
          <t>тв</t>
        </is>
      </c>
      <c r="M3501" s="23" t="n">
        <v>220</v>
      </c>
      <c r="N3501" s="23" t="n">
        <v>2025</v>
      </c>
      <c r="O3501" s="23" t="n">
        <v>310</v>
      </c>
      <c r="P3501" s="23" t="n"/>
      <c r="Q3501" s="23" t="n"/>
      <c r="R3501" s="25" t="inlineStr">
        <is>
          <t>Полковник американской армии и военный историк, профессор Альфред Тёрни проводит исследование комплекса проблем кампании 1941—1942 гг. на территории СССР, используя в качестве основного источника информации военный дневник генерал-фельдмаршала фон Бока. Командованию группы армий «Центр» во главе с фон Боком, одним из самых прославленных военачальников Германии, была поручена миссия вторжения в Центральную Россию и взятие Москвы. В течение шести месяцев, несмотря на плохие дороги и недостаточные поставки, конфликты с Гитлером и Верховным командованием армии, жестокие погодные условия и упорное сопротивление советских войск, фон Бок удерживал свои армии на подступах к Москве. Именно здесь, под Москвой, Германия потерпела первое за всю войну и наиболее серьезное поражение, прозвучавшее похоронным звоном для германской военной машины.</t>
        </is>
      </c>
      <c r="S3501" s="26">
        <f>HYPERLINK("http://www.cnpol.ru/covers/21498.jpg","фото на сайте")</f>
        <v/>
      </c>
    </row>
    <row r="3502" ht="50.1" customHeight="1" s="3">
      <c r="A3502" s="23" t="inlineStr">
        <is>
          <t>Д</t>
        </is>
      </c>
      <c r="B3502" s="24" t="inlineStr">
        <is>
          <t>21862</t>
        </is>
      </c>
      <c r="C3502" s="23" t="inlineStr">
        <is>
          <t>ОИ ВИ</t>
        </is>
      </c>
      <c r="D3502" s="23" t="inlineStr">
        <is>
          <t>Эсбридж Т.</t>
        </is>
      </c>
      <c r="E3502" s="23" t="inlineStr">
        <is>
          <t>Крестовые походы. Войны Средневековья за Святую землю</t>
        </is>
      </c>
      <c r="F3502" s="23" t="inlineStr">
        <is>
          <t>        </t>
        </is>
      </c>
      <c r="G3502" s="27" t="n">
        <v>1702</v>
      </c>
      <c r="H3502" s="23" t="n">
        <v>10</v>
      </c>
      <c r="I3502" s="23" t="n">
        <v>3</v>
      </c>
      <c r="J3502" s="23" t="inlineStr">
        <is>
          <t>978-5-227-11186-9</t>
        </is>
      </c>
      <c r="K3502" s="23" t="inlineStr">
        <is>
          <t>84x108 1/32</t>
        </is>
      </c>
      <c r="L3502" s="23" t="inlineStr">
        <is>
          <t>тв</t>
        </is>
      </c>
      <c r="M3502" s="23" t="n">
        <v>733</v>
      </c>
      <c r="N3502" s="23" t="n">
        <v>2025</v>
      </c>
      <c r="O3502" s="23" t="n">
        <v>300</v>
      </c>
      <c r="P3502" s="23" t="n"/>
      <c r="Q3502" s="23" t="n"/>
      <c r="R3502" s="25" t="inlineStr">
        <is>
          <t>Британский историк Томас Эсбридж в своей книге ведет рассказ о Крестовых походах — войнах за господство над Святой землей, регионом, священным как для христиан, так и для приверженцев мусульманской веры, — которые велись на протяжении двух столетий. В них участвовали такие выдающиеся личности, как Ричард Львиное Сердце, Людовик IX, Филипп­Август, Занги, Бейбарс и многие другие. Рассматривая историю кровавой борьбы с точки зрения и христиан, и мусульман, автор тем самым избегает в повествовании предвзятости. Большое внимание он уделяет и урокам этих походов, предостерегая об опасности исторического параллелизма.</t>
        </is>
      </c>
      <c r="S3502" s="26">
        <f>HYPERLINK("http://www.cnpol.ru/covers/21862.jpg","фото на сайте")</f>
        <v/>
      </c>
    </row>
    <row r="3503" ht="50.1" customHeight="1" s="3">
      <c r="A3503" s="23" t="inlineStr">
        <is>
          <t>Н</t>
        </is>
      </c>
      <c r="B3503" s="24" t="inlineStr">
        <is>
          <t>21070</t>
        </is>
      </c>
      <c r="C3503" s="23" t="inlineStr">
        <is>
          <t>ОИ ВИ</t>
        </is>
      </c>
      <c r="D3503" s="23" t="inlineStr">
        <is>
          <t>Гостони П.</t>
        </is>
      </c>
      <c r="E3503" s="23" t="inlineStr">
        <is>
          <t>Кровавый Дунай. Решающие бои за крепость Будапешт, падение Румынии и Болгарии, борьба за Вену. 1944—1945</t>
        </is>
      </c>
      <c r="F3503" s="23" t="inlineStr">
        <is>
          <t>        </t>
        </is>
      </c>
      <c r="G3503" s="27" t="n">
        <v>1143</v>
      </c>
      <c r="H3503" s="23" t="n">
        <v>10</v>
      </c>
      <c r="I3503" s="23" t="n">
        <v>10</v>
      </c>
      <c r="J3503" s="23" t="inlineStr">
        <is>
          <t>978-5-9524-6060-7</t>
        </is>
      </c>
      <c r="K3503" s="23" t="inlineStr">
        <is>
          <t>84x108 1/32</t>
        </is>
      </c>
      <c r="L3503" s="23" t="inlineStr">
        <is>
          <t>тв</t>
        </is>
      </c>
      <c r="M3503" s="23" t="n">
        <v>413</v>
      </c>
      <c r="N3503" s="23" t="n">
        <v>2024</v>
      </c>
      <c r="O3503" s="23" t="n">
        <v>465</v>
      </c>
      <c r="P3503" s="23" t="n"/>
      <c r="Q3503" s="23" t="n"/>
      <c r="R3503" s="25" t="inlineStr">
        <is>
          <t>С наступлением Красной армии летом 1944 года Дунайский регион стал театром военных действий между германскими и советскими войсками, в эти действия так или иначе оказались вовлечены и народы Юго-Восточной Европы._x000D_
Известный венгерский историк Петер Гостони осветил политические и военные события, произошедшие в странах Дунайского региона с августа 1944 года вплоть до конца войны. В результате многолетней исследовательской работы, анализа журналов боевых действий группы армий «Юг», целого ряда интервью бывших командиров и офицеров дивизий, корпусов и армий вермахта, политических и военных деятелей придунайских стран, изучения огромного количества мемуарной литературы и документальных источников автор смог представить реалистическую картину того, как  в Дунайском регионе решалась судьба не только Германского рейха, но и будущее Румынии, Болгарии, Венгрии, Югославии и Чехословакии.</t>
        </is>
      </c>
      <c r="S3503" s="26">
        <f>HYPERLINK("http://www.cnpol.ru/covers/21070.jpg","фото на сайте")</f>
        <v/>
      </c>
    </row>
    <row r="3504" ht="50.1" customHeight="1" s="3">
      <c r="A3504" s="23" t="inlineStr">
        <is>
          <t>Д</t>
        </is>
      </c>
      <c r="B3504" s="24" t="inlineStr">
        <is>
          <t>21198</t>
        </is>
      </c>
      <c r="C3504" s="23" t="inlineStr">
        <is>
          <t>ОИ ВИ</t>
        </is>
      </c>
      <c r="D3504" s="23" t="inlineStr">
        <is>
          <t>Шейдеман Ф.</t>
        </is>
      </c>
      <c r="E3504" s="23" t="inlineStr">
        <is>
          <t>Крушение Германской империи. Воспоминания первого канцлера Веймарской республики о распаде великой державы. 1914–1922 гг.</t>
        </is>
      </c>
      <c r="F3504" s="23" t="inlineStr">
        <is>
          <t>        </t>
        </is>
      </c>
      <c r="G3504" s="23" t="n">
        <v>888</v>
      </c>
      <c r="H3504" s="23" t="n">
        <v>10</v>
      </c>
      <c r="I3504" s="23" t="n">
        <v>14</v>
      </c>
      <c r="J3504" s="23" t="inlineStr">
        <is>
          <t>978-5-227-10697-1</t>
        </is>
      </c>
      <c r="K3504" s="23" t="inlineStr">
        <is>
          <t>84x108 1/32</t>
        </is>
      </c>
      <c r="L3504" s="23" t="inlineStr">
        <is>
          <t>тв</t>
        </is>
      </c>
      <c r="M3504" s="23" t="n">
        <v>255</v>
      </c>
      <c r="N3504" s="23" t="n">
        <v>2024</v>
      </c>
      <c r="O3504" s="23" t="n">
        <v>319</v>
      </c>
      <c r="P3504" s="23" t="n"/>
      <c r="Q3504" s="23" t="n"/>
      <c r="R3504" s="25" t="inlineStr">
        <is>
          <t>Филипп Шейдеман (1865–1939) – немецкий политик, один из лидеров Социал-демократической партии Германии – описал в своей книге самые сложные периоды Первой мировой войны, кризис кайзеровского режима, а также события революционных дней в ноябре 1918 г. Воспоминания Шейдемана содержат бесценные сведения о последних днях Германской империи, учреждении Веймарской республики и политической ситуации в Европе в целом.</t>
        </is>
      </c>
      <c r="S3504" s="26">
        <f>HYPERLINK("http://www.cnpol.ru/covers/21198.jpg","фото на сайте")</f>
        <v/>
      </c>
    </row>
    <row r="3505" ht="50.1" customHeight="1" s="3">
      <c r="A3505" s="23" t="inlineStr">
        <is>
          <t>Д</t>
        </is>
      </c>
      <c r="B3505" s="24" t="inlineStr">
        <is>
          <t>21813</t>
        </is>
      </c>
      <c r="C3505" s="23" t="inlineStr">
        <is>
          <t>ОИ ВИ</t>
        </is>
      </c>
      <c r="D3505" s="23" t="inlineStr">
        <is>
          <t>Милнер Т.</t>
        </is>
      </c>
      <c r="E3505" s="23" t="inlineStr">
        <is>
          <t>Крым. Ханы, султаны, цари. История полуострова под властью Древней Греции, Генуэзской респуб­лики, Крымского ханства, Османской и Российской империй</t>
        </is>
      </c>
      <c r="F3505" s="23" t="inlineStr">
        <is>
          <t>        </t>
        </is>
      </c>
      <c r="G3505" s="23" t="n">
        <v>888</v>
      </c>
      <c r="H3505" s="23" t="n">
        <v>10</v>
      </c>
      <c r="I3505" s="23" t="n">
        <v>5</v>
      </c>
      <c r="J3505" s="23" t="inlineStr">
        <is>
          <t>978-5-9524-6523-7</t>
        </is>
      </c>
      <c r="K3505" s="23" t="inlineStr">
        <is>
          <t>84x108 1/32</t>
        </is>
      </c>
      <c r="L3505" s="23" t="inlineStr">
        <is>
          <t>тв</t>
        </is>
      </c>
      <c r="M3505" s="23" t="n">
        <v>255</v>
      </c>
      <c r="N3505" s="23" t="n">
        <v>2025</v>
      </c>
      <c r="O3505" s="23" t="n">
        <v>318</v>
      </c>
      <c r="P3505" s="23" t="n"/>
      <c r="Q3505" s="23" t="n"/>
      <c r="R3505" s="25" t="inlineStr">
        <is>
          <t>Эту книгу историк и географ Томас Милнер написал в разгар Крымской войны, в дни первой обороны Севастополя. Не имея цели подробного описания сражений, автор представил обзор всей истории Крыма: Античность, когда полуостров был греческим, Средние века, когда Крымом владели генуэзцы, затем Османская империя и татарское ханство и, наконец, события, приведшие к Русско-турецкой войне, в результате которой полуостров вошел в состав Российской империи. Милнер обращает внимание на особенности географического положения и климат этой земли, рассказывает о ее древних памятниках, о народах, ее населяющих, правителях и героях разных эпох, о бесконечных военных действиях и политических интригах.</t>
        </is>
      </c>
      <c r="S3505" s="26">
        <f>HYPERLINK("http://www.cnpol.ru/covers/21813.jpg","фото на сайте")</f>
        <v/>
      </c>
    </row>
    <row r="3506" ht="50.1" customHeight="1" s="3">
      <c r="A3506" s="23" t="inlineStr">
        <is>
          <t>Н</t>
        </is>
      </c>
      <c r="B3506" s="24" t="inlineStr">
        <is>
          <t>21841</t>
        </is>
      </c>
      <c r="C3506" s="23" t="inlineStr">
        <is>
          <t>ОИ ВИ</t>
        </is>
      </c>
      <c r="D3506" s="23" t="inlineStr">
        <is>
          <t>Хибберт К.</t>
        </is>
      </c>
      <c r="E3506" s="23" t="inlineStr">
        <is>
          <t>Крымская кампания 1854—1855 гг. Британский экспедиционный корпус в Балаклавской битве, осаде Севастополя и штурме Малахова кургана</t>
        </is>
      </c>
      <c r="F3506" s="23" t="inlineStr">
        <is>
          <t>        </t>
        </is>
      </c>
      <c r="G3506" s="27" t="n">
        <v>1057</v>
      </c>
      <c r="H3506" s="23" t="n">
        <v>10</v>
      </c>
      <c r="I3506" s="23" t="n">
        <v>5</v>
      </c>
      <c r="J3506" s="23" t="inlineStr">
        <is>
          <t>978-5-9524-6531-2</t>
        </is>
      </c>
      <c r="K3506" s="23" t="inlineStr">
        <is>
          <t>84x108 1/32</t>
        </is>
      </c>
      <c r="L3506" s="23" t="inlineStr">
        <is>
          <t>тв</t>
        </is>
      </c>
      <c r="M3506" s="23" t="n">
        <v>348</v>
      </c>
      <c r="N3506" s="23" t="n">
        <v>2025</v>
      </c>
      <c r="O3506" s="23" t="n">
        <v>220</v>
      </c>
      <c r="P3506" s="23" t="n"/>
      <c r="Q3506" s="23" t="n"/>
      <c r="R3506" s="25" t="inlineStr">
        <is>
          <t>Эта книга посвящена Крымской кампании 1854—1855 годов. В ней достоверно и ярко описаны главные события: осада Севастополя, Балаклавская битва, штурм Малахова кургана. В центре повествования — трагическая фигура командующего британскими войсками лорда Раглана, человека, обладающего несомненными дипломатическими способностями, умного и храброго. Он не был великим полководцем, но был честным человеком и тяжело переживал последствия своих ошибок в ведении войны. Автор цитирует подлинные документы, письма и воспоминания очевидцев.</t>
        </is>
      </c>
      <c r="S3506" s="26">
        <f>HYPERLINK("http://www.cnpol.ru/covers/21841.jpg","фото на сайте")</f>
        <v/>
      </c>
    </row>
    <row r="3507" ht="50.1" customHeight="1" s="3">
      <c r="A3507" s="23" t="inlineStr">
        <is>
          <t>Д</t>
        </is>
      </c>
      <c r="B3507" s="24" t="inlineStr">
        <is>
          <t>21197</t>
        </is>
      </c>
      <c r="C3507" s="23" t="inlineStr">
        <is>
          <t>ОИ ВИ</t>
        </is>
      </c>
      <c r="D3507" s="23" t="inlineStr">
        <is>
          <t>Уилсон Д</t>
        </is>
      </c>
      <c r="E3507" s="23" t="inlineStr">
        <is>
          <t>Культура Древнего Египта. Материальное и духовное наследие народов долины Нила</t>
        </is>
      </c>
      <c r="F3507" s="23" t="inlineStr">
        <is>
          <t>        </t>
        </is>
      </c>
      <c r="G3507" s="27" t="n">
        <v>1238</v>
      </c>
      <c r="H3507" s="23" t="n">
        <v>10</v>
      </c>
      <c r="I3507" s="23" t="n">
        <v>10</v>
      </c>
      <c r="J3507" s="23" t="inlineStr">
        <is>
          <t>978-5-9524-6096-6</t>
        </is>
      </c>
      <c r="K3507" s="23" t="inlineStr">
        <is>
          <t>84x108 1/32</t>
        </is>
      </c>
      <c r="L3507" s="23" t="inlineStr">
        <is>
          <t>тв</t>
        </is>
      </c>
      <c r="M3507" s="23" t="n">
        <v>414</v>
      </c>
      <c r="N3507" s="23" t="n">
        <v>2024</v>
      </c>
      <c r="O3507" s="23" t="n">
        <v>487</v>
      </c>
      <c r="P3507" s="23" t="n"/>
      <c r="Q3507" s="23" t="n"/>
      <c r="R3507" s="25" t="inlineStr">
        <is>
          <t>Известный американский египтолог Джон А. Уилсон представил свою интерпретацию истории одного из величайших культурных периодов в человеческом опыте. Основываясь на письменных источниках, свидетельствах древних авторов, а также предметах материальной культуры, он собрал, проанализировал и представил исследование о религии, государственном устройстве, экономике, социальной структуре, ремесленных производствах, научных знаниях, искусстве, литературе и других предметах, включая изучение их особенностей в разные исторические периоды Древнего Египта. _x000D_
Повествование иллюстрируют карты и фотоматериалы.</t>
        </is>
      </c>
      <c r="S3507" s="26">
        <f>HYPERLINK("http://www.cnpol.ru/covers/21197.jpg","фото на сайте")</f>
        <v/>
      </c>
    </row>
    <row r="3508" ht="50.1" customHeight="1" s="3">
      <c r="A3508" s="23" t="n"/>
      <c r="B3508" s="24" t="inlineStr">
        <is>
          <t>19024</t>
        </is>
      </c>
      <c r="C3508" s="23" t="inlineStr">
        <is>
          <t>ОИ ВИ</t>
        </is>
      </c>
      <c r="D3508" s="23" t="inlineStr">
        <is>
          <t>Митфорд А.</t>
        </is>
      </c>
      <c r="E3508" s="23" t="inlineStr">
        <is>
          <t>Легенды о самураях. Традиции старой Японии</t>
        </is>
      </c>
      <c r="F3508" s="23" t="inlineStr">
        <is>
          <t>        </t>
        </is>
      </c>
      <c r="G3508" s="23" t="n">
        <v>743</v>
      </c>
      <c r="H3508" s="23" t="n">
        <v>10</v>
      </c>
      <c r="I3508" s="23" t="n">
        <v>10</v>
      </c>
      <c r="J3508" s="23" t="inlineStr">
        <is>
          <t>978-5-227-07712-7</t>
        </is>
      </c>
      <c r="K3508" s="23" t="inlineStr">
        <is>
          <t>84x108 1/32</t>
        </is>
      </c>
      <c r="L3508" s="23" t="inlineStr">
        <is>
          <t>тв</t>
        </is>
      </c>
      <c r="M3508" s="23" t="n">
        <v>416</v>
      </c>
      <c r="N3508" s="23" t="n">
        <v>2020</v>
      </c>
      <c r="O3508" s="23" t="n">
        <v>346</v>
      </c>
      <c r="P3508" s="23" t="n"/>
      <c r="Q3508" s="23" t="n"/>
      <c r="R3508" s="25" t="inlineStr">
        <is>
          <t>Сочетание военного дела с философией, политикой и искусством — главная традиция самураев. Отважный воин, утонченный поэт и вдохновенный художник, самурай в любой момент готов пожертвовать своей жизнью ради высших идеалов. В основе этого уникального явления лежит философия Бусидо (Путь воина) — гармоничное сочетание беззаветной веры, абсолютной преданности, самопожертвования, беспредельной искренности и способности ценить красоту во всех ее проявлениях.</t>
        </is>
      </c>
      <c r="S3508" s="26">
        <f>HYPERLINK("http://www.cnpol.ru/covers/19024.jpg","фото на сайте")</f>
        <v/>
      </c>
    </row>
    <row r="3509" ht="50.1" customHeight="1" s="3">
      <c r="A3509" s="23" t="inlineStr">
        <is>
          <t>Д</t>
        </is>
      </c>
      <c r="B3509" s="24" t="inlineStr">
        <is>
          <t>21901</t>
        </is>
      </c>
      <c r="C3509" s="23" t="inlineStr">
        <is>
          <t>ОИ ВИ</t>
        </is>
      </c>
      <c r="D3509" s="23" t="inlineStr">
        <is>
          <t>Дандо-Коллинз С.</t>
        </is>
      </c>
      <c r="E3509" s="23" t="inlineStr">
        <is>
          <t>Легионы Рима. Полная история всех легионов Римской империи</t>
        </is>
      </c>
      <c r="F3509" s="23" t="inlineStr">
        <is>
          <t>        </t>
        </is>
      </c>
      <c r="G3509" s="27" t="n">
        <v>2620</v>
      </c>
      <c r="H3509" s="23" t="n">
        <v>10</v>
      </c>
      <c r="I3509" s="23" t="n">
        <v>5</v>
      </c>
      <c r="J3509" s="23" t="inlineStr">
        <is>
          <t>978-5-9524-6563-3</t>
        </is>
      </c>
      <c r="K3509" s="23" t="inlineStr">
        <is>
          <t>70x100 1/16</t>
        </is>
      </c>
      <c r="L3509" s="23" t="inlineStr">
        <is>
          <t>тв</t>
        </is>
      </c>
      <c r="M3509" s="23" t="n">
        <v>633</v>
      </c>
      <c r="N3509" s="23" t="n">
        <v>2025</v>
      </c>
      <c r="O3509" s="23" t="n">
        <v>985</v>
      </c>
      <c r="P3509" s="23" t="n"/>
      <c r="Q3509" s="23" t="n"/>
      <c r="R3509" s="25" t="inlineStr">
        <is>
          <t>Новый труд известного австралийского писателя Дандо­Коллинза, автора многих книг по истории Античности, посвящен имперским легионам Рима. Автор собрал и систематизировал сведения обо всех легионах Рима начиная с момента создания каждого из них, проследил их боевой путь, отмечая успехи и поражения в битвах. Дандо­Коллинз детально изучил условия отбора и методы военной подготовки легионеров, описал их вооружение, экипировку, воинские отличия и награды, систему заработной платы, особенности дисциплины и наказаний. Проанализировав структуру легионов, стратегию и тактику ведения боя, особое внимание автор уделил сражениям и завоеваниям Римской империи, а также представил портреты великих императоров и полководцев._x000D__x000D_
Книга, являющаяся уникальным и полным справочником по истории римских легионов, включает более 150 карт, фотографий, диаграмм и планов сражений.</t>
        </is>
      </c>
      <c r="S3509" s="26">
        <f>HYPERLINK("http://www.cnpol.ru/covers/21901.jpg","фото на сайте")</f>
        <v/>
      </c>
    </row>
    <row r="3510" ht="50.1" customHeight="1" s="3">
      <c r="A3510" s="23" t="inlineStr">
        <is>
          <t>Д</t>
        </is>
      </c>
      <c r="B3510" s="24" t="inlineStr">
        <is>
          <t>22034</t>
        </is>
      </c>
      <c r="C3510" s="23" t="inlineStr">
        <is>
          <t>ОИ ВИ</t>
        </is>
      </c>
      <c r="D3510" s="23" t="inlineStr">
        <is>
          <t>Брянцев П.Д.</t>
        </is>
      </c>
      <c r="E3510" s="23" t="inlineStr">
        <is>
          <t>Литовское государство. От возникновения в XIII веке до союза с Польшей и образования Речи Посполитой</t>
        </is>
      </c>
      <c r="F3510" s="23" t="inlineStr">
        <is>
          <t>        </t>
        </is>
      </c>
      <c r="G3510" s="27" t="n">
        <v>1747</v>
      </c>
      <c r="H3510" s="23" t="n">
        <v>10</v>
      </c>
      <c r="I3510" s="23" t="n">
        <v>8</v>
      </c>
      <c r="J3510" s="23" t="inlineStr">
        <is>
          <t>978-5-227-11277-4</t>
        </is>
      </c>
      <c r="K3510" s="23" t="inlineStr">
        <is>
          <t>60x90 1/16</t>
        </is>
      </c>
      <c r="L3510" s="23" t="inlineStr">
        <is>
          <t>тв</t>
        </is>
      </c>
      <c r="M3510" s="23" t="n">
        <v>655</v>
      </c>
      <c r="N3510" s="23" t="n">
        <v>2026</v>
      </c>
      <c r="O3510" s="23" t="n">
        <v>750</v>
      </c>
      <c r="P3510" s="23" t="n"/>
      <c r="Q3510" s="23" t="n"/>
      <c r="R3510" s="25" t="inlineStr">
        <is>
          <t>Павел Дмитриевич Брянцев несколько лет преподавал историю в одном из средних учебных заведений и заметил, с каким вниманием ученики слушают объяснения тех отделов русской истории, которые касаются Литвы и ее отношений к Польше и России. Ввиду интереса к этой теме и отсутствия необходимых источников Брянцев решил сам написать историю Литовского государства. Занимался он этим сочинением семь лет: пересмотрел множество источников и пособий, выбрал из них только самые главные и существенные события и соединил их в одну общую картину истории Литовского государства.</t>
        </is>
      </c>
      <c r="S3510" s="26">
        <f>HYPERLINK("http://www.cnpol.ru/covers/22034.jpg","фото на сайте")</f>
        <v/>
      </c>
    </row>
    <row r="3511" ht="50.1" customHeight="1" s="3">
      <c r="A3511" s="23" t="inlineStr">
        <is>
          <t>Д</t>
        </is>
      </c>
      <c r="B3511" s="24" t="inlineStr">
        <is>
          <t>21748</t>
        </is>
      </c>
      <c r="C3511" s="23" t="inlineStr">
        <is>
          <t>ОИ ВИ</t>
        </is>
      </c>
      <c r="D3511" s="23" t="inlineStr">
        <is>
          <t>Беллончи М.</t>
        </is>
      </c>
      <c r="E3511" s="23" t="inlineStr">
        <is>
          <t>Лукреция Борджиа. Эпоха и жизнь блестящей обольстительницы</t>
        </is>
      </c>
      <c r="F3511" s="23" t="inlineStr">
        <is>
          <t>        </t>
        </is>
      </c>
      <c r="G3511" s="27" t="n">
        <v>1084</v>
      </c>
      <c r="H3511" s="23" t="n">
        <v>10</v>
      </c>
      <c r="I3511" s="23" t="n">
        <v>6</v>
      </c>
      <c r="J3511" s="23" t="inlineStr">
        <is>
          <t>978-5-9524-6470-4</t>
        </is>
      </c>
      <c r="K3511" s="23" t="inlineStr">
        <is>
          <t>84x108 1/32</t>
        </is>
      </c>
      <c r="L3511" s="23" t="inlineStr">
        <is>
          <t>тв</t>
        </is>
      </c>
      <c r="M3511" s="23" t="n">
        <v>366</v>
      </c>
      <c r="N3511" s="23" t="n">
        <v>2025</v>
      </c>
      <c r="O3511" s="23" t="n">
        <v>411</v>
      </c>
      <c r="P3511" s="23" t="n"/>
      <c r="Q3511" s="23" t="n"/>
      <c r="R3511" s="25" t="inlineStr">
        <is>
          <t>В книге увлекательно и ярко описывается эпоха беспощадной борьбы за власть в Ватикане XV века. Появившейся апрельским днем светловолосой девочке, нареченной Лукрецией, предстояло стать орудием политических интриг своего отца, могущественного папы Александра VI. Принятая ею губительная тактика уступок и привычка не замечать происходящего вокруг, превратили образ Лукреции Борджиа в символ «черной вдовы» и отравительницы.</t>
        </is>
      </c>
      <c r="S3511" s="26">
        <f>HYPERLINK("http://www.cnpol.ru/covers/21748.jpg","фото на сайте")</f>
        <v/>
      </c>
    </row>
    <row r="3512" ht="50.1" customHeight="1" s="3">
      <c r="A3512" s="23" t="n"/>
      <c r="B3512" s="24" t="inlineStr">
        <is>
          <t>20705</t>
        </is>
      </c>
      <c r="C3512" s="23" t="inlineStr">
        <is>
          <t>ОИ ВИ</t>
        </is>
      </c>
      <c r="D3512" s="23" t="inlineStr">
        <is>
          <t>Барц К.</t>
        </is>
      </c>
      <c r="E3512" s="23" t="inlineStr">
        <is>
          <t>Люфтваффе во Второй мировой войне. Победы и поражения германских военно-воздушных сил. 1939—1945 гг.</t>
        </is>
      </c>
      <c r="F3512" s="23" t="inlineStr">
        <is>
          <t>        </t>
        </is>
      </c>
      <c r="G3512" s="23" t="n">
        <v>815</v>
      </c>
      <c r="H3512" s="23" t="n">
        <v>10</v>
      </c>
      <c r="I3512" s="23" t="n">
        <v>12</v>
      </c>
      <c r="J3512" s="23" t="inlineStr">
        <is>
          <t>978-5-9524-5972-4</t>
        </is>
      </c>
      <c r="K3512" s="23" t="inlineStr">
        <is>
          <t>84x108 1/32</t>
        </is>
      </c>
      <c r="L3512" s="23" t="inlineStr">
        <is>
          <t>тв</t>
        </is>
      </c>
      <c r="M3512" s="23" t="n">
        <v>304</v>
      </c>
      <c r="N3512" s="23" t="n">
        <v>2023</v>
      </c>
      <c r="O3512" s="23" t="n">
        <v>305</v>
      </c>
      <c r="P3512" s="23" t="n"/>
      <c r="Q3512" s="23" t="n"/>
      <c r="R3512" s="25" t="inlineStr">
        <is>
          <t>Карл Барц рассматривает историю люфтваффе с их основания до полного поражения, подробно описывая все значительные операции с участием германских авиационных подразделений. Люфтваффе нанесли огромный урон противнику. В Германии была разработана автоматизированная система наведения ночных истребителей, превосходящий по техническим параметрам все зарубежные аналоги истребитель Ме-262, а в декабре 1944 года состоялся первый запуск «Кобр» — пилотируемых ракет, предназначенных для использования против соединений бомбардировщиков врага. Однако никакие научные достижения уже не могли спасти Германию, погубленную противоречивыми действиями диктатора.</t>
        </is>
      </c>
      <c r="S3512" s="26">
        <f>HYPERLINK("http://www.cnpol.ru/covers/20705.jpg","фото на сайте")</f>
        <v/>
      </c>
    </row>
    <row r="3513" ht="50.1" customHeight="1" s="3">
      <c r="A3513" s="23" t="n"/>
      <c r="B3513" s="24" t="inlineStr">
        <is>
          <t>19524</t>
        </is>
      </c>
      <c r="C3513" s="23" t="inlineStr">
        <is>
          <t>ОИ ВИ</t>
        </is>
      </c>
      <c r="D3513" s="23" t="inlineStr">
        <is>
          <t>Дози Р.</t>
        </is>
      </c>
      <c r="E3513" s="23" t="inlineStr">
        <is>
          <t>Мавританская Испания. Эпоха правления халифов. VI—XI века</t>
        </is>
      </c>
      <c r="F3513" s="23" t="inlineStr">
        <is>
          <t>        </t>
        </is>
      </c>
      <c r="G3513" s="23" t="n">
        <v>871</v>
      </c>
      <c r="H3513" s="23" t="n">
        <v>10</v>
      </c>
      <c r="I3513" s="23" t="n">
        <v>6</v>
      </c>
      <c r="J3513" s="23" t="inlineStr">
        <is>
          <t>978-5-227-09264-9</t>
        </is>
      </c>
      <c r="K3513" s="23" t="inlineStr">
        <is>
          <t>84x108 1/32</t>
        </is>
      </c>
      <c r="L3513" s="23" t="inlineStr">
        <is>
          <t>тв</t>
        </is>
      </c>
      <c r="M3513" s="23" t="n">
        <v>672</v>
      </c>
      <c r="N3513" s="23" t="n">
        <v>2021</v>
      </c>
      <c r="O3513" s="23" t="n">
        <v>478</v>
      </c>
      <c r="P3513" s="23" t="n"/>
      <c r="Q3513" s="23" t="n"/>
      <c r="R3513" s="25" t="inlineStr">
        <is>
          <t>Мусульманский мир Испании в исторических портретах знаменитых государственных мужей, завоевателей и поэтов, а также в живописных и подробных картинах хозяйственной, культурной, бытовой жизни далеких VI – ХI веков представлен со всей возможной полнотой в масштабном труде Р. Дози. Начав с зарождения ислама в Аравии, жизни пророка Мухаммеда и первого появления арабов в Испании, автор уделил особое внимание эпохе Аль­Андалуса – «золотого века» расцвета науки, искусства и религиозной терпимости, и завершил свое повествование изгнанием Альморавидов из страны в конце ХI – начале ХII века.</t>
        </is>
      </c>
      <c r="S3513" s="26">
        <f>HYPERLINK("http://www.cnpol.ru/covers/19524.jpg","фото на сайте")</f>
        <v/>
      </c>
    </row>
    <row r="3514" ht="50.1" customHeight="1" s="3">
      <c r="A3514" s="23" t="inlineStr">
        <is>
          <t>Н</t>
        </is>
      </c>
      <c r="B3514" s="24" t="inlineStr">
        <is>
          <t>21868</t>
        </is>
      </c>
      <c r="C3514" s="23" t="inlineStr">
        <is>
          <t>ОИ ВИ</t>
        </is>
      </c>
      <c r="D3514" s="23" t="inlineStr">
        <is>
          <t>Абельс Ж.</t>
        </is>
      </c>
      <c r="E3514" s="23" t="inlineStr">
        <is>
          <t>Миллиарды Рокфеллеров. История самого крупного состояния в XIX—XX веках</t>
        </is>
      </c>
      <c r="F3514" s="23" t="inlineStr">
        <is>
          <t>        </t>
        </is>
      </c>
      <c r="G3514" s="23" t="n">
        <v>672</v>
      </c>
      <c r="H3514" s="23" t="n">
        <v>10</v>
      </c>
      <c r="I3514" s="23" t="n">
        <v>10</v>
      </c>
      <c r="J3514" s="23" t="inlineStr">
        <is>
          <t>978-5-9524-6515-2</t>
        </is>
      </c>
      <c r="K3514" s="23" t="inlineStr">
        <is>
          <t>84x108 1/32</t>
        </is>
      </c>
      <c r="L3514" s="23" t="inlineStr">
        <is>
          <t>тв</t>
        </is>
      </c>
      <c r="M3514" s="23" t="n">
        <v>447</v>
      </c>
      <c r="N3514" s="23" t="n">
        <v>2025</v>
      </c>
      <c r="O3514" s="23" t="n">
        <v>209</v>
      </c>
      <c r="P3514" s="23" t="n"/>
      <c r="Q3514" s="23" t="n"/>
      <c r="R3514" s="25" t="inlineStr">
        <is>
          <t>Многие современники Джона Д. Рокфеллера считали, что богатым его сделали изворотливость, беспощадность и фанатичная скаредность. У известного экономического аналитика Жюля Абельса несколько иной взгляд на этот вопрос. На основе разносторонних и скрупулезных изысканий Абельс исследует происхождение самого крупного в мире в XIX—XX веках состояния и предоставляет возможность понять, как один человек построил империю «Стандарт ойл» и накопил баснословное богатство, которое питает бессчетные благотворительные и образовательные направления. В то же время Абельс четко показывает, что, пока Рокфеллер балансировал на тонкой линии между деловой хваткой и хитростью с одной стороны и безнравственными средствами ведения экономической войны с конкурентами — с другой, он пересек эту линию по собственным меркам и по меркам общества того времени.</t>
        </is>
      </c>
      <c r="S3514" s="26">
        <f>HYPERLINK("http://www.cnpol.ru/covers/21868.jpg","фото на сайте")</f>
        <v/>
      </c>
    </row>
    <row r="3515" ht="50.1" customHeight="1" s="3">
      <c r="A3515" s="23" t="inlineStr">
        <is>
          <t>Н</t>
        </is>
      </c>
      <c r="B3515" s="24" t="inlineStr">
        <is>
          <t>21644</t>
        </is>
      </c>
      <c r="C3515" s="23" t="inlineStr">
        <is>
          <t>ОИ ВИ</t>
        </is>
      </c>
      <c r="D3515" s="23" t="inlineStr">
        <is>
          <t>Лотт А.</t>
        </is>
      </c>
      <c r="E3515" s="23" t="inlineStr">
        <is>
          <t>Минная война на море в годы Второй мировой. Операции тральщиков и заградителей в Атлантике и на Тихом океане</t>
        </is>
      </c>
      <c r="F3515" s="23" t="inlineStr">
        <is>
          <t>        </t>
        </is>
      </c>
      <c r="G3515" s="27" t="n">
        <v>1008</v>
      </c>
      <c r="H3515" s="23" t="n">
        <v>10</v>
      </c>
      <c r="I3515" s="23" t="n">
        <v>5</v>
      </c>
      <c r="J3515" s="23" t="inlineStr">
        <is>
          <t>978-5-9524-6379-0</t>
        </is>
      </c>
      <c r="K3515" s="23" t="inlineStr">
        <is>
          <t>84x108 1/32</t>
        </is>
      </c>
      <c r="L3515" s="23" t="inlineStr">
        <is>
          <t>тв</t>
        </is>
      </c>
      <c r="M3515" s="23" t="n">
        <v>334</v>
      </c>
      <c r="N3515" s="23" t="n">
        <v>2025</v>
      </c>
      <c r="O3515" s="23" t="n">
        <v>401</v>
      </c>
      <c r="P3515" s="23" t="n"/>
      <c r="Q3515" s="23" t="n"/>
      <c r="R3515" s="25" t="inlineStr">
        <is>
          <t>Эта книга — рассказ о минной войне на море — наименее известной стороне периода Второй мировой войны. Автор правдиво повествует о суровых буднях моряков минных тральщиков и заградителей. Об их ежедневных подвигах и о трудном пути к победе мало кто знал и говорил. Экипажам небольших кораблей приходилось воевать в опасных водах, при плохой погоде, под беспрерывными атаками противника. Эти люди скромно делали свое дело, не ожидая ни славы, ни почестей.</t>
        </is>
      </c>
      <c r="S3515" s="26">
        <f>HYPERLINK("http://www.cnpol.ru/covers/21644.jpg","фото на сайте")</f>
        <v/>
      </c>
    </row>
    <row r="3516" ht="50.1" customHeight="1" s="3">
      <c r="A3516" s="23" t="inlineStr">
        <is>
          <t>Н</t>
        </is>
      </c>
      <c r="B3516" s="24" t="inlineStr">
        <is>
          <t>21730</t>
        </is>
      </c>
      <c r="C3516" s="23" t="inlineStr">
        <is>
          <t>ОИ ВИ</t>
        </is>
      </c>
      <c r="D3516" s="23" t="inlineStr">
        <is>
          <t>Мертц Б.</t>
        </is>
      </c>
      <c r="E3516" s="23" t="inlineStr">
        <is>
          <t>Мир живых и мир мертвых Древнего Египта. Легенды и факты</t>
        </is>
      </c>
      <c r="F3516" s="23" t="inlineStr">
        <is>
          <t>        </t>
        </is>
      </c>
      <c r="G3516" s="27" t="n">
        <v>1265</v>
      </c>
      <c r="H3516" s="23" t="n">
        <v>10</v>
      </c>
      <c r="I3516" s="23" t="n">
        <v>5</v>
      </c>
      <c r="J3516" s="23" t="inlineStr">
        <is>
          <t>978-5-9524-6263-2</t>
        </is>
      </c>
      <c r="K3516" s="23" t="inlineStr">
        <is>
          <t>84x108 1/32</t>
        </is>
      </c>
      <c r="L3516" s="23" t="inlineStr">
        <is>
          <t>тв</t>
        </is>
      </c>
      <c r="M3516" s="23" t="n">
        <v>457</v>
      </c>
      <c r="N3516" s="23" t="n">
        <v>2025</v>
      </c>
      <c r="O3516" s="23" t="n">
        <v>399</v>
      </c>
      <c r="P3516" s="23" t="n"/>
      <c r="Q3516" s="23" t="n"/>
      <c r="R3516" s="25" t="inlineStr">
        <is>
          <t>В книге известной американской исследовательницы Барбары Мертц развенчиваются некоторые легенды Древнего Египта, но реальные факты оказываются гораздо интереснее вымысла. Вы узнаете все о жизни древних египтян, их философии, науках, отношении к жизни и смерти, о памятниках культуры, архитектуры и письменности. Живой и яркий язык повествования окунет вас в глубины древнейшего очага цивилизации и даст почувствовать загадочную атмосферу далекого прошлого.</t>
        </is>
      </c>
      <c r="S3516" s="26">
        <f>HYPERLINK("http://www.cnpol.ru/covers/21730.jpg","фото на сайте")</f>
        <v/>
      </c>
    </row>
    <row r="3517" ht="50.1" customHeight="1" s="3">
      <c r="A3517" s="23" t="inlineStr">
        <is>
          <t>Н</t>
        </is>
      </c>
      <c r="B3517" s="24" t="inlineStr">
        <is>
          <t>21166</t>
        </is>
      </c>
      <c r="C3517" s="23" t="inlineStr">
        <is>
          <t>ОИ ВИ</t>
        </is>
      </c>
      <c r="D3517" s="23" t="inlineStr">
        <is>
          <t>Веджвуд С.В.</t>
        </is>
      </c>
      <c r="E3517" s="23" t="inlineStr">
        <is>
          <t>Мир короля Карла I. Накануне Великого мятежа: Англия погружается в смуту. 1637–1641</t>
        </is>
      </c>
      <c r="F3517" s="23" t="inlineStr">
        <is>
          <t>        </t>
        </is>
      </c>
      <c r="G3517" s="23" t="n">
        <v>619</v>
      </c>
      <c r="H3517" s="23" t="n">
        <v>10</v>
      </c>
      <c r="I3517" s="23" t="n">
        <v>10</v>
      </c>
      <c r="J3517" s="23" t="inlineStr">
        <is>
          <t>978-5-9524-6145-1</t>
        </is>
      </c>
      <c r="K3517" s="23" t="inlineStr">
        <is>
          <t>84x108 1/32</t>
        </is>
      </c>
      <c r="L3517" s="23" t="inlineStr">
        <is>
          <t>тв</t>
        </is>
      </c>
      <c r="M3517" s="23" t="n">
        <v>415</v>
      </c>
      <c r="N3517" s="23" t="n">
        <v>2024</v>
      </c>
      <c r="O3517" s="23" t="n">
        <v>341</v>
      </c>
      <c r="P3517" s="23" t="n"/>
      <c r="Q3517" s="23" t="n"/>
      <c r="R3517" s="25" t="inlineStr">
        <is>
          <t>Английский историк С.В. Веджвуд известна своими исследованиями эпохи Великого мятежа в Великобритании XVII века. В настоящей книге рассматривается начало этой исторической драмы, первые четыре года правления Карла I, за которые страна оказалась на грани гражданской войны. Автор описывает политические, экономические и религиозные раздоры нараставшей трагедии трех стран Британских островов — Англии, Шотландии и Ирландии: рассказывает о восстании шотландских ковенантеров, о баталиях в английском парламенте, об ужасной судьбе лорда-наместника Ирландии графа Страффорда, о событиях тех нескольких лет, повлиявших на историю и континентальной Европы.</t>
        </is>
      </c>
      <c r="S3517" s="26">
        <f>HYPERLINK("http://www.cnpol.ru/covers/21166.jpg","фото на сайте")</f>
        <v/>
      </c>
    </row>
    <row r="3518" ht="50.1" customHeight="1" s="3">
      <c r="A3518" s="23" t="inlineStr">
        <is>
          <t>Н</t>
        </is>
      </c>
      <c r="B3518" s="24" t="inlineStr">
        <is>
          <t>20993</t>
        </is>
      </c>
      <c r="C3518" s="23" t="inlineStr">
        <is>
          <t>ОИ ВИ</t>
        </is>
      </c>
      <c r="D3518" s="23" t="inlineStr">
        <is>
          <t>Хеер Ф.</t>
        </is>
      </c>
      <c r="E3518" s="23" t="inlineStr">
        <is>
          <t>Мир Средневековья. Рождение Европы: эпоха великих завоеваний и выдающихся свершений</t>
        </is>
      </c>
      <c r="F3518" s="23" t="inlineStr">
        <is>
          <t>        </t>
        </is>
      </c>
      <c r="G3518" s="23" t="n">
        <v>593</v>
      </c>
      <c r="H3518" s="23" t="n">
        <v>10</v>
      </c>
      <c r="I3518" s="23" t="n">
        <v>10</v>
      </c>
      <c r="J3518" s="23" t="inlineStr">
        <is>
          <t>978-5-9524-5765-2</t>
        </is>
      </c>
      <c r="K3518" s="23" t="inlineStr">
        <is>
          <t>84x108 1/32</t>
        </is>
      </c>
      <c r="L3518" s="23" t="inlineStr">
        <is>
          <t>тв</t>
        </is>
      </c>
      <c r="M3518" s="23" t="n">
        <v>383</v>
      </c>
      <c r="N3518" s="23" t="n">
        <v>2024</v>
      </c>
      <c r="O3518" s="23" t="n">
        <v>333</v>
      </c>
      <c r="P3518" s="23" t="n"/>
      <c r="Q3518" s="23" t="n"/>
      <c r="R3518" s="25" t="inlineStr">
        <is>
          <t>Выдающийся австрийский историк Ф. Хеер на страницах своей книги представляет захватывающую панораму жизни средневековой Европы — периода, который ошибочно называют Темными веками. Историк не обходит вниманием важнейшие события эпохи: ожесточенные войны, в ходе которых формировались границы национальных государств, Крестовые походы, противостояние Востока и Запада, однако его взгляд, зачастую провокационный, направлен на человека, повседневную и интеллектуальную жизнь средневекового общества. Автор рассказывает о тех глубоких переменах, которые происходили в ХII—ХIV вв. в области науки и изобразительного искусства, о появлении новых университетов, расцвете готической архитектуры, новой волне интереса к литературе, а также о положении женщин и отношениях между сословиями.</t>
        </is>
      </c>
      <c r="S3518" s="26">
        <f>HYPERLINK("http://www.cnpol.ru/covers/20993.jpg","фото на сайте")</f>
        <v/>
      </c>
    </row>
    <row r="3519" ht="50.1" customHeight="1" s="3">
      <c r="A3519" s="23" t="inlineStr">
        <is>
          <t>Д</t>
        </is>
      </c>
      <c r="B3519" s="24" t="inlineStr">
        <is>
          <t>21427</t>
        </is>
      </c>
      <c r="C3519" s="23" t="inlineStr">
        <is>
          <t>ОИ ВИ</t>
        </is>
      </c>
      <c r="D3519" s="23" t="inlineStr">
        <is>
          <t>Робертс Дж.М., Уэстад О.А.</t>
        </is>
      </c>
      <c r="E3519" s="23" t="inlineStr">
        <is>
          <t>Мировая история. Красная</t>
        </is>
      </c>
      <c r="F3519" s="23" t="inlineStr">
        <is>
          <t>        </t>
        </is>
      </c>
      <c r="G3519" s="27" t="n">
        <v>2418</v>
      </c>
      <c r="H3519" s="23" t="n">
        <v>10</v>
      </c>
      <c r="I3519" s="23" t="n">
        <v>2</v>
      </c>
      <c r="J3519" s="23" t="inlineStr">
        <is>
          <t>978-5-9524-6289-2</t>
        </is>
      </c>
      <c r="K3519" s="23" t="inlineStr">
        <is>
          <t>60x90 1/16</t>
        </is>
      </c>
      <c r="L3519" s="23" t="inlineStr">
        <is>
          <t>тв</t>
        </is>
      </c>
      <c r="M3519" s="23" t="n">
        <v>1247</v>
      </c>
      <c r="N3519" s="23" t="n">
        <v>2025</v>
      </c>
      <c r="O3519" s="23" t="n">
        <v>1244</v>
      </c>
      <c r="P3519" s="23" t="n"/>
      <c r="Q3519" s="23" t="n"/>
      <c r="R3519" s="25" t="inlineStr">
        <is>
          <t>Эпохальный труд знаменитых английских ученых представляет собой не только настоящий кладезь сведений и бесчисленных фактов на основе огромной источниковедческой базы. Принципиальная новизна авторской концепции в том, что из тьмы этих фактов и событий особо выделены ключевые, наиболее значимые, поворотные моменты истории человечества от самого его зарождения до настоящего времени. Именно такой взгляд на предмет исследования заставляет даже самого неискушенного читателя понять, как связаны прошлое, настоящее и будущее и откуда взялся мир, в котором мы живем сегодня.</t>
        </is>
      </c>
      <c r="S3519" s="26">
        <f>HYPERLINK("http://www.cnpol.ru/covers/21427.jpg","фото на сайте")</f>
        <v/>
      </c>
    </row>
    <row r="3520" ht="50.1" customHeight="1" s="3">
      <c r="A3520" s="23" t="inlineStr">
        <is>
          <t>Д</t>
        </is>
      </c>
      <c r="B3520" s="24" t="inlineStr">
        <is>
          <t>21426</t>
        </is>
      </c>
      <c r="C3520" s="23" t="inlineStr">
        <is>
          <t>ОИ ВИ</t>
        </is>
      </c>
      <c r="D3520" s="23" t="inlineStr">
        <is>
          <t>Робертс Дж.М., Уэстад О.А.</t>
        </is>
      </c>
      <c r="E3520" s="23" t="inlineStr">
        <is>
          <t>Мировая история. Цветная</t>
        </is>
      </c>
      <c r="F3520" s="23" t="inlineStr">
        <is>
          <t>        </t>
        </is>
      </c>
      <c r="G3520" s="27" t="n">
        <v>2418</v>
      </c>
      <c r="H3520" s="23" t="n">
        <v>10</v>
      </c>
      <c r="I3520" s="23" t="n">
        <v>2</v>
      </c>
      <c r="J3520" s="23" t="inlineStr">
        <is>
          <t>978-5-9524-6290-8</t>
        </is>
      </c>
      <c r="K3520" s="23" t="inlineStr">
        <is>
          <t>60x90 1/16</t>
        </is>
      </c>
      <c r="L3520" s="23" t="inlineStr">
        <is>
          <t>тв</t>
        </is>
      </c>
      <c r="M3520" s="23" t="n">
        <v>1247</v>
      </c>
      <c r="N3520" s="23" t="n">
        <v>2025</v>
      </c>
      <c r="O3520" s="23" t="n">
        <v>1244</v>
      </c>
      <c r="P3520" s="23" t="n"/>
      <c r="Q3520" s="23" t="n"/>
      <c r="R3520" s="25" t="inlineStr">
        <is>
          <t>Эпохальный труд знаменитых английских ученых представляет собой не только настоящий кладезь сведений и бесчисленных фактов на основе огромной источниковедческой базы. Принципиальная новизна авторской концепции в том, что из тьмы этих фактов и событий особо выделены ключевые, наиболее значимые, поворотные моменты истории человечества от самого его зарождения до настоящего времени. Именно такой взгляд на предмет исследования заставляет даже самого неискушенного читателя понять, как связаны прошлое, настоящее и будущее и откуда взялся мир, в котором мы живем сегодня.</t>
        </is>
      </c>
      <c r="S3520" s="26">
        <f>HYPERLINK("http://www.cnpol.ru/covers/21426.jpg","фото на сайте")</f>
        <v/>
      </c>
    </row>
    <row r="3521" ht="50.1" customHeight="1" s="3">
      <c r="A3521" s="23" t="n"/>
      <c r="B3521" s="24" t="inlineStr">
        <is>
          <t>20658</t>
        </is>
      </c>
      <c r="C3521" s="23" t="inlineStr">
        <is>
          <t>ОИ ВИ</t>
        </is>
      </c>
      <c r="D3521" s="23" t="inlineStr">
        <is>
          <t>Дэвис Д.Э.</t>
        </is>
      </c>
      <c r="E3521" s="23" t="inlineStr">
        <is>
          <t>Миссия в Москву. Воспоминания доверенного лица президента Рузвельта о советской стране, ее лидерах и народе</t>
        </is>
      </c>
      <c r="F3521" s="23" t="inlineStr">
        <is>
          <t>        </t>
        </is>
      </c>
      <c r="G3521" s="23" t="n">
        <v>704</v>
      </c>
      <c r="H3521" s="23" t="n">
        <v>10</v>
      </c>
      <c r="I3521" s="23" t="n">
        <v>8</v>
      </c>
      <c r="J3521" s="23" t="inlineStr">
        <is>
          <t>978-5-9524-5936-6</t>
        </is>
      </c>
      <c r="K3521" s="23" t="inlineStr">
        <is>
          <t>84x108 1/32</t>
        </is>
      </c>
      <c r="L3521" s="23" t="inlineStr">
        <is>
          <t>тв</t>
        </is>
      </c>
      <c r="M3521" s="23" t="n">
        <v>543</v>
      </c>
      <c r="N3521" s="23" t="n">
        <v>2023</v>
      </c>
      <c r="O3521" s="23" t="n">
        <v>408</v>
      </c>
      <c r="P3521" s="23" t="n"/>
      <c r="Q3521" s="23" t="n"/>
      <c r="R3521" s="25" t="inlineStr">
        <is>
          <t>Джозеф Эдвард Дэвис – дипломат, юрист, специалист по международному праву, посол США в СССР с конца 1936 г. до середины 1938 г. Наряду с выполнением прямых дипломатических обязанностей в должности посла Дэвис собирал сведения об экономике Советского Союза, промышленности, культуре, условиях и образе жизни граждан страны. По заданию президента посол должен был дать оценку сильных и слабых сторон советского руководства, основанную на личном наблюдении. И Дэвис выполнил поставленную перед ним задачу: по оценке Рузвельта он «проявил удивительные способности оценивать текущие события и с необыкновенной точностью определять их влияние на будущее». В работе над книгой автор использовал документальные материалы, представив конфиденциальные депеши в Госдеп, выдержки из дневников, официальную и личную переписку.</t>
        </is>
      </c>
      <c r="S3521" s="26">
        <f>HYPERLINK("http://www.cnpol.ru/covers/20658.jpg","фото на сайте")</f>
        <v/>
      </c>
    </row>
    <row r="3522" ht="50.1" customHeight="1" s="3">
      <c r="A3522" s="23" t="inlineStr">
        <is>
          <t>Д</t>
        </is>
      </c>
      <c r="B3522" s="24" t="inlineStr">
        <is>
          <t>21969</t>
        </is>
      </c>
      <c r="C3522" s="23" t="inlineStr">
        <is>
          <t>ОИ ВИ</t>
        </is>
      </c>
      <c r="D3522" s="23" t="inlineStr">
        <is>
          <t>Мэйор А.</t>
        </is>
      </c>
      <c r="E3522" s="23" t="inlineStr">
        <is>
          <t>Митридат. Отважный воин, блестящий стратег, зловещий отравитель. 120—63 гг. до н. э.</t>
        </is>
      </c>
      <c r="F3522" s="23" t="inlineStr">
        <is>
          <t>        </t>
        </is>
      </c>
      <c r="G3522" s="27" t="n">
        <v>1407</v>
      </c>
      <c r="H3522" s="23" t="n">
        <v>10</v>
      </c>
      <c r="I3522" s="23" t="n">
        <v>6</v>
      </c>
      <c r="J3522" s="23" t="inlineStr">
        <is>
          <t>978-5-9524-6602-9</t>
        </is>
      </c>
      <c r="K3522" s="23" t="inlineStr">
        <is>
          <t>84x108 1/32</t>
        </is>
      </c>
      <c r="L3522" s="23" t="inlineStr">
        <is>
          <t>тв</t>
        </is>
      </c>
      <c r="M3522" s="23" t="n">
        <v>544</v>
      </c>
      <c r="N3522" s="23" t="n">
        <v>2026</v>
      </c>
      <c r="O3522" s="23" t="n">
        <v>500</v>
      </c>
      <c r="P3522" s="23" t="n"/>
      <c r="Q3522" s="23" t="n"/>
      <c r="R3522" s="25" t="inlineStr">
        <is>
          <t>Адриенна Мэйор, преподаватель древней истории Стэнфордского университета, впервые преподносит читателю полную историю одного из самых безжалостных царей, мятежника­мечтателя, бросившего вызов власти Рима в I веке до н. э., Митридата. Макиавелли восхищался его военной гениальностью, европейские короли гонялись за его секретным противоядием… Одаренный высоким интеллектом и пылкими амбициями, став правителем, Митридат мечтал о Великой восточной империи, которая могла бы соперничать с Римом... Чарующий и пугающий властитель, проклятие Римской империи, агрессивный, очаровательный, хитрый, жестокий тиран; геноцид, террор, алхимия — все это Митридат.</t>
        </is>
      </c>
      <c r="S3522" s="26">
        <f>HYPERLINK("http://www.cnpol.ru/covers/21969.jpg","фото на сайте")</f>
        <v/>
      </c>
    </row>
    <row r="3523" ht="50.1" customHeight="1" s="3">
      <c r="A3523" s="23" t="inlineStr">
        <is>
          <t>Н</t>
        </is>
      </c>
      <c r="B3523" s="24" t="inlineStr">
        <is>
          <t>22246</t>
        </is>
      </c>
      <c r="C3523" s="23" t="inlineStr">
        <is>
          <t>ОИ ВИ</t>
        </is>
      </c>
      <c r="D3523" s="23" t="inlineStr">
        <is>
          <t>Олкотт У.Т.</t>
        </is>
      </c>
      <c r="E3523" s="23" t="inlineStr">
        <is>
          <t>Мифы о солнце. Легенды, предания, традиции и обряды разных народов</t>
        </is>
      </c>
      <c r="F3523" s="23" t="inlineStr">
        <is>
          <t>        </t>
        </is>
      </c>
      <c r="G3523" s="23" t="n">
        <v>806</v>
      </c>
      <c r="H3523" s="23" t="n">
        <v>10</v>
      </c>
      <c r="I3523" s="23" t="n">
        <v>10</v>
      </c>
      <c r="J3523" s="23" t="inlineStr">
        <is>
          <t>978-5-9524-6726-2</t>
        </is>
      </c>
      <c r="K3523" s="23" t="inlineStr">
        <is>
          <t>84x108 1/32</t>
        </is>
      </c>
      <c r="L3523" s="23" t="inlineStr">
        <is>
          <t>тв</t>
        </is>
      </c>
      <c r="M3523" s="23" t="n">
        <v>221</v>
      </c>
      <c r="N3523" s="23" t="n">
        <v>2026</v>
      </c>
      <c r="O3523" s="23" t="n">
        <v>308</v>
      </c>
      <c r="P3523" s="23" t="n"/>
      <c r="Q3523" s="23" t="n"/>
      <c r="R3523" s="25" t="inlineStr">
        <is>
          <t>В историю астрономии Уильям Тайлер Олкотт, член Королевского Астрономического общества, вошел прежде всего как один из создателей наиболее результативной в научном отношении и одной из наиболее массовых любительских организаций — Американской ассоциации наблюдателей переменных звезд. В настоящей книге автор предлагает читателям обзор преданий, легенд и мифов о солнце разных народов на протяжении всей истории человечества. Роль дневного светила, его влияния на развитие жизни создали ни с чем не сравнимую историю Солнца, став настоящим золотым источником фольклора.</t>
        </is>
      </c>
      <c r="S3523" s="26">
        <f>HYPERLINK("http://www.cnpol.ru/covers/22246.jpg","фото на сайте")</f>
        <v/>
      </c>
    </row>
    <row r="3524" ht="50.1" customHeight="1" s="3">
      <c r="A3524" s="23" t="inlineStr">
        <is>
          <t>Н</t>
        </is>
      </c>
      <c r="B3524" s="24" t="inlineStr">
        <is>
          <t>21215</t>
        </is>
      </c>
      <c r="C3524" s="23" t="inlineStr">
        <is>
          <t>ОИ ВИ</t>
        </is>
      </c>
      <c r="D3524" s="23" t="inlineStr">
        <is>
          <t>Людендорф Э</t>
        </is>
      </c>
      <c r="E3524" s="23" t="inlineStr">
        <is>
          <t>Мои воспоминания о войне 1914—1918 гг.</t>
        </is>
      </c>
      <c r="F3524" s="23" t="inlineStr">
        <is>
          <t>        </t>
        </is>
      </c>
      <c r="G3524" s="27" t="n">
        <v>1747</v>
      </c>
      <c r="H3524" s="23" t="n">
        <v>10</v>
      </c>
      <c r="I3524" s="23" t="n">
        <v>6</v>
      </c>
      <c r="J3524" s="23" t="inlineStr">
        <is>
          <t>978-5-227-10122-8</t>
        </is>
      </c>
      <c r="K3524" s="23" t="inlineStr">
        <is>
          <t>60x90 1/16</t>
        </is>
      </c>
      <c r="L3524" s="23" t="inlineStr">
        <is>
          <t>тв</t>
        </is>
      </c>
      <c r="M3524" s="23" t="n">
        <v>655</v>
      </c>
      <c r="N3524" s="23" t="n">
        <v>2024</v>
      </c>
      <c r="O3524" s="23" t="n">
        <v>739</v>
      </c>
      <c r="P3524" s="23" t="n"/>
      <c r="Q3524" s="23" t="n"/>
      <c r="R3524" s="25" t="inlineStr">
        <is>
          <t>Немецкий генерал Эрих Фридрих Вильгельм Людендрф, будучи одним из руководителей германского Генерального штаба, в своих воспоминаниях подробно рассказывает об участии Германии в Первой мировой войне — раскрывает секреты немецких операций на различных фронтах, показывает организационную работу в немецких штабах и Ставке, анализирует причины неудач и поражений немецкой армии, дает критическую оценку действиям русской армии и армий стран-союзниц.</t>
        </is>
      </c>
      <c r="S3524" s="26">
        <f>HYPERLINK("http://www.cnpol.ru/covers/21215.jpg","фото на сайте")</f>
        <v/>
      </c>
    </row>
    <row r="3525" ht="50.1" customHeight="1" s="3">
      <c r="A3525" s="23" t="inlineStr">
        <is>
          <t>Н</t>
        </is>
      </c>
      <c r="B3525" s="24" t="inlineStr">
        <is>
          <t>21761</t>
        </is>
      </c>
      <c r="C3525" s="23" t="inlineStr">
        <is>
          <t>ОИ ВИ</t>
        </is>
      </c>
      <c r="D3525" s="23" t="inlineStr">
        <is>
          <t>Кирш Д.</t>
        </is>
      </c>
      <c r="E3525" s="23" t="inlineStr">
        <is>
          <t>Моисей. Жизнь пророка</t>
        </is>
      </c>
      <c r="F3525" s="23" t="inlineStr">
        <is>
          <t>        </t>
        </is>
      </c>
      <c r="G3525" s="23" t="n">
        <v>851</v>
      </c>
      <c r="H3525" s="23" t="n">
        <v>10</v>
      </c>
      <c r="I3525" s="23" t="n">
        <v>5</v>
      </c>
      <c r="J3525" s="23" t="inlineStr">
        <is>
          <t>978-5-9524-6474-2</t>
        </is>
      </c>
      <c r="K3525" s="23" t="inlineStr">
        <is>
          <t>84x108 1/32</t>
        </is>
      </c>
      <c r="L3525" s="23" t="inlineStr">
        <is>
          <t>тв</t>
        </is>
      </c>
      <c r="M3525" s="23" t="n">
        <v>415</v>
      </c>
      <c r="N3525" s="23" t="n">
        <v>2025</v>
      </c>
      <c r="O3525" s="23" t="n">
        <v>399</v>
      </c>
      <c r="P3525" s="23" t="n"/>
      <c r="Q3525" s="23" t="n"/>
      <c r="R3525" s="25" t="inlineStr">
        <is>
          <t>Американский писатель Джонатан Кирш — автор нескольких книг о религии, Библии и иудаизме. В настоящем труде, опираясь на библейский текст, автор выводит далеко не однозначную личность человека-пророка, который одновременно был добрым пастырем и безжалостным воином, духовным лидером и магом, законодателем, нарушившим свои собственные законы, избранным другом Бога и преследуемой жертвой, единственного человека, которому позволено было общаться с Богом лицом к лицу. Даже самые образованные люди найдут ранее неизвестные им факты, изложенные просто, понятно и доступно.</t>
        </is>
      </c>
      <c r="S3525" s="26">
        <f>HYPERLINK("http://www.cnpol.ru/covers/21761.jpg","фото на сайте")</f>
        <v/>
      </c>
    </row>
    <row r="3526" ht="50.1" customHeight="1" s="3">
      <c r="A3526" s="23" t="n"/>
      <c r="B3526" s="24" t="inlineStr">
        <is>
          <t>20083</t>
        </is>
      </c>
      <c r="C3526" s="23" t="inlineStr">
        <is>
          <t>ОИ ВИ</t>
        </is>
      </c>
      <c r="D3526" s="23" t="inlineStr">
        <is>
          <t>Марен Э.</t>
        </is>
      </c>
      <c r="E3526" s="23" t="inlineStr">
        <is>
          <t>Монахи Константинополя III—IХ вв. Жизнь за стенами святых обителей столицы Византии</t>
        </is>
      </c>
      <c r="F3526" s="23" t="inlineStr">
        <is>
          <t>        </t>
        </is>
      </c>
      <c r="G3526" s="23" t="n">
        <v>615</v>
      </c>
      <c r="H3526" s="23" t="n">
        <v>10</v>
      </c>
      <c r="I3526" s="23" t="n">
        <v>10</v>
      </c>
      <c r="J3526" s="23" t="inlineStr">
        <is>
          <t>978-5-227-09758-3</t>
        </is>
      </c>
      <c r="K3526" s="23" t="inlineStr">
        <is>
          <t>84x108 1/32</t>
        </is>
      </c>
      <c r="L3526" s="23" t="inlineStr">
        <is>
          <t>тв</t>
        </is>
      </c>
      <c r="M3526" s="23" t="n">
        <v>415</v>
      </c>
      <c r="N3526" s="23" t="n">
        <v>2022</v>
      </c>
      <c r="O3526" s="23" t="n">
        <v>358</v>
      </c>
      <c r="P3526" s="23" t="n"/>
      <c r="Q3526" s="23" t="n"/>
      <c r="R3526" s="25" t="n"/>
      <c r="S3526" s="26">
        <f>HYPERLINK("http://www.cnpol.ru/covers/20083.jpg","фото на сайте")</f>
        <v/>
      </c>
    </row>
    <row r="3527" ht="50.1" customHeight="1" s="3">
      <c r="A3527" s="23" t="n"/>
      <c r="B3527" s="24" t="inlineStr">
        <is>
          <t>20022</t>
        </is>
      </c>
      <c r="C3527" s="23" t="inlineStr">
        <is>
          <t>ОИ ВИ</t>
        </is>
      </c>
      <c r="D3527" s="23" t="inlineStr">
        <is>
          <t>Кэртин Д.</t>
        </is>
      </c>
      <c r="E3527" s="23" t="inlineStr">
        <is>
          <t>Монголы на Руси. Русские князья против ханов восточных кочевников</t>
        </is>
      </c>
      <c r="F3527" s="23" t="inlineStr">
        <is>
          <t>        </t>
        </is>
      </c>
      <c r="G3527" s="27" t="n">
        <v>1359</v>
      </c>
      <c r="H3527" s="23" t="n">
        <v>10</v>
      </c>
      <c r="I3527" s="23" t="n">
        <v>8</v>
      </c>
      <c r="J3527" s="23" t="inlineStr">
        <is>
          <t>978-5-9524-5671-6</t>
        </is>
      </c>
      <c r="K3527" s="23" t="inlineStr">
        <is>
          <t>84x108 1/32</t>
        </is>
      </c>
      <c r="L3527" s="23" t="inlineStr">
        <is>
          <t>тв</t>
        </is>
      </c>
      <c r="M3527" s="23" t="n">
        <v>511</v>
      </c>
      <c r="N3527" s="23" t="n">
        <v>2021</v>
      </c>
      <c r="O3527" s="23" t="n">
        <v>518</v>
      </c>
      <c r="P3527" s="23" t="n"/>
      <c r="Q3527" s="23" t="n"/>
      <c r="R3527" s="25" t="n"/>
      <c r="S3527" s="26">
        <f>HYPERLINK("http://www.cnpol.ru/covers/20022.jpg","фото на сайте")</f>
        <v/>
      </c>
    </row>
    <row r="3528" ht="50.1" customHeight="1" s="3">
      <c r="A3528" s="23" t="inlineStr">
        <is>
          <t>Д</t>
        </is>
      </c>
      <c r="B3528" s="24" t="inlineStr">
        <is>
          <t>21277</t>
        </is>
      </c>
      <c r="C3528" s="23" t="inlineStr">
        <is>
          <t>ОИ ВИ</t>
        </is>
      </c>
      <c r="D3528" s="23" t="inlineStr">
        <is>
          <t>Кори Л.</t>
        </is>
      </c>
      <c r="E3528" s="23" t="inlineStr">
        <is>
          <t>Морганы. Династия крупнейших олигархов</t>
        </is>
      </c>
      <c r="F3528" s="23" t="inlineStr">
        <is>
          <t>        </t>
        </is>
      </c>
      <c r="G3528" s="27" t="n">
        <v>1318</v>
      </c>
      <c r="H3528" s="23" t="n">
        <v>10</v>
      </c>
      <c r="I3528" s="23" t="n">
        <v>8</v>
      </c>
      <c r="J3528" s="23" t="inlineStr">
        <is>
          <t>978-5-9524-6204-5</t>
        </is>
      </c>
      <c r="K3528" s="23" t="inlineStr">
        <is>
          <t>84x108 1/32</t>
        </is>
      </c>
      <c r="L3528" s="23" t="inlineStr">
        <is>
          <t>тв</t>
        </is>
      </c>
      <c r="M3528" s="23" t="n">
        <v>477</v>
      </c>
      <c r="N3528" s="23" t="n">
        <v>2024</v>
      </c>
      <c r="O3528" s="23" t="n">
        <v>390</v>
      </c>
      <c r="P3528" s="23" t="n"/>
      <c r="Q3528" s="23" t="n"/>
      <c r="R3528" s="25" t="inlineStr">
        <is>
          <t>Американский экономист Льюис Кори, автор одной из первых биографий Моргана, в своем исследовании излагает историю формирования крупнейшей финансово-промышленной группы США начиная с колониальных времен. В отличие от большинства панегириков в адрес Морганов Кори приводит многочисленные примеры столкновений банкира с опасными конкурентами, добиваясь финансового могущества, централизации и контроля подчас пиратскими методами, что привело к лидерству Дома Морганов и появлению термина «морганизация».</t>
        </is>
      </c>
      <c r="S3528" s="26">
        <f>HYPERLINK("http://www.cnpol.ru/covers/21277.jpg","фото на сайте")</f>
        <v/>
      </c>
    </row>
    <row r="3529" ht="50.1" customHeight="1" s="3">
      <c r="A3529" s="23" t="inlineStr">
        <is>
          <t>Н</t>
        </is>
      </c>
      <c r="B3529" s="24" t="inlineStr">
        <is>
          <t>21916</t>
        </is>
      </c>
      <c r="C3529" s="23" t="inlineStr">
        <is>
          <t>ОИ ВИ</t>
        </is>
      </c>
      <c r="D3529" s="23" t="inlineStr">
        <is>
          <t>Паасикиви Ю.</t>
        </is>
      </c>
      <c r="E3529" s="23" t="inlineStr">
        <is>
          <t>Моя московская миссия. Воспоминания руководителя национальной делегации в СССР о мирных переговорах</t>
        </is>
      </c>
      <c r="F3529" s="23" t="inlineStr">
        <is>
          <t>        </t>
        </is>
      </c>
      <c r="G3529" s="23" t="n">
        <v>672</v>
      </c>
      <c r="H3529" s="23" t="n">
        <v>10</v>
      </c>
      <c r="I3529" s="23" t="n">
        <v>8</v>
      </c>
      <c r="J3529" s="23" t="inlineStr">
        <is>
          <t>978-5-9524-6541-1</t>
        </is>
      </c>
      <c r="K3529" s="23" t="inlineStr">
        <is>
          <t>84x108 1/32</t>
        </is>
      </c>
      <c r="L3529" s="23" t="inlineStr">
        <is>
          <t>тв</t>
        </is>
      </c>
      <c r="M3529" s="23" t="n">
        <v>445</v>
      </c>
      <c r="N3529" s="23" t="n">
        <v>2026</v>
      </c>
      <c r="O3529" s="23" t="n">
        <v>370</v>
      </c>
      <c r="P3529" s="23" t="n"/>
      <c r="Q3529" s="23" t="n"/>
      <c r="R3529" s="25" t="inlineStr">
        <is>
          <t>Юхо Паасикиви, глава финской делегации на переговорах 1939 года в Москве, в своей книге описал попытки предотвратить войну и преодолеть укоренившееся недоверие к СССР. Юрист и дипломат, избранный в 1946 году президентом Финляндии, рассказал о конфиденциальных беседах и совещаниях с руководством Советского государства незадолго до подписания мирного договора, завершившего Зимнюю войну, продемонстрировав, насколько драматической и захватывающей может быть политика.</t>
        </is>
      </c>
      <c r="S3529" s="26">
        <f>HYPERLINK("http://www.cnpol.ru/covers/21916.jpg","фото на сайте")</f>
        <v/>
      </c>
    </row>
    <row r="3530" ht="50.1" customHeight="1" s="3">
      <c r="A3530" s="23" t="n"/>
      <c r="B3530" s="24" t="inlineStr">
        <is>
          <t>19331</t>
        </is>
      </c>
      <c r="C3530" s="23" t="inlineStr">
        <is>
          <t>ОИ ВИ</t>
        </is>
      </c>
      <c r="D3530" s="23" t="inlineStr">
        <is>
          <t>Лейн­Пул С.</t>
        </is>
      </c>
      <c r="E3530" s="23" t="inlineStr">
        <is>
          <t>Мусульманские династии. Хронологические и генеалогические таблицы с историческими введениями</t>
        </is>
      </c>
      <c r="F3530" s="23" t="inlineStr">
        <is>
          <t>        </t>
        </is>
      </c>
      <c r="G3530" s="23" t="n">
        <v>593</v>
      </c>
      <c r="H3530" s="23" t="n">
        <v>10</v>
      </c>
      <c r="I3530" s="23" t="n">
        <v>10</v>
      </c>
      <c r="J3530" s="23" t="inlineStr">
        <is>
          <t>978-5-227-09175-8</t>
        </is>
      </c>
      <c r="K3530" s="23" t="inlineStr">
        <is>
          <t>84x108 1/32</t>
        </is>
      </c>
      <c r="L3530" s="23" t="inlineStr">
        <is>
          <t>тв</t>
        </is>
      </c>
      <c r="M3530" s="23" t="n">
        <v>352</v>
      </c>
      <c r="N3530" s="23" t="n">
        <v>2020</v>
      </c>
      <c r="O3530" s="23" t="n">
        <v>280</v>
      </c>
      <c r="P3530" s="23" t="n"/>
      <c r="Q3530" s="23" t="n"/>
      <c r="R3530" s="25" t="n"/>
      <c r="S3530" s="26">
        <f>HYPERLINK("http://www.cnpol.ru/covers/19331.jpg","фото на сайте")</f>
        <v/>
      </c>
    </row>
    <row r="3531" ht="50.1" customHeight="1" s="3">
      <c r="A3531" s="23" t="n"/>
      <c r="B3531" s="24" t="inlineStr">
        <is>
          <t>20559</t>
        </is>
      </c>
      <c r="C3531" s="23" t="inlineStr">
        <is>
          <t>ОИ ВИ</t>
        </is>
      </c>
      <c r="D3531" s="23" t="inlineStr">
        <is>
          <t>Бей М.Э.</t>
        </is>
      </c>
      <c r="E3531" s="23" t="inlineStr">
        <is>
          <t>Мухаммед. Жизненный путь и духовные искания основателя ислама. 571—632</t>
        </is>
      </c>
      <c r="F3531" s="23" t="inlineStr">
        <is>
          <t>        </t>
        </is>
      </c>
      <c r="G3531" s="23" t="n">
        <v>672</v>
      </c>
      <c r="H3531" s="23" t="n">
        <v>10</v>
      </c>
      <c r="I3531" s="23" t="n">
        <v>16</v>
      </c>
      <c r="J3531" s="23" t="inlineStr">
        <is>
          <t>978-5-227-10281-2</t>
        </is>
      </c>
      <c r="K3531" s="23" t="inlineStr">
        <is>
          <t>84x108 1/32</t>
        </is>
      </c>
      <c r="L3531" s="23" t="inlineStr">
        <is>
          <t>тв</t>
        </is>
      </c>
      <c r="M3531" s="23" t="n">
        <v>319</v>
      </c>
      <c r="N3531" s="23" t="n">
        <v>2023</v>
      </c>
      <c r="O3531" s="23" t="n">
        <v>270</v>
      </c>
      <c r="P3531" s="23" t="n"/>
      <c r="Q3531" s="23" t="n"/>
      <c r="R3531" s="25" t="inlineStr">
        <is>
          <t>Страницы этой книги посвящены основателю ислама, создателю исламского государства — пророку Мухаммеду. Автор начинает повествование с описания времени, предшествующего зарождению ислама, племен, которые обитали в Аравийской пустыне, суровых условиях их жизни, диктующих не менее суровые законы существования, заставляющие часть кочевников покидать свою родину. Эссад Бей рассматривает предпосылки зарождения новой религии, рассказывает о варварской Мекке, богатом, оживленном городе пустыни, в котором родился Мухаммед, великий пророк Аллаха, о его жизни, о том, как он поверил в свою миссию, о борьбе, которую вел за создание арабского мира, о культуре и традициях этого мира.</t>
        </is>
      </c>
      <c r="S3531" s="26">
        <f>HYPERLINK("http://www.cnpol.ru/covers/20559.jpg","фото на сайте")</f>
        <v/>
      </c>
    </row>
    <row r="3532" ht="50.1" customHeight="1" s="3">
      <c r="A3532" s="23" t="inlineStr">
        <is>
          <t>Н</t>
        </is>
      </c>
      <c r="B3532" s="24" t="inlineStr">
        <is>
          <t>21830</t>
        </is>
      </c>
      <c r="C3532" s="23" t="inlineStr">
        <is>
          <t>ОИ ВИ</t>
        </is>
      </c>
      <c r="D3532" s="23" t="inlineStr">
        <is>
          <t>Уилер-Беннет Дж.</t>
        </is>
      </c>
      <c r="E3532" s="23" t="inlineStr">
        <is>
          <t>Мюнхенский сговор. Пролог к трагедии Второй мировой войны</t>
        </is>
      </c>
      <c r="F3532" s="23" t="inlineStr">
        <is>
          <t>        </t>
        </is>
      </c>
      <c r="G3532" s="23" t="n">
        <v>704</v>
      </c>
      <c r="H3532" s="23" t="n">
        <v>10</v>
      </c>
      <c r="I3532" s="23" t="n">
        <v>8</v>
      </c>
      <c r="J3532" s="23" t="inlineStr">
        <is>
          <t>978-5-9524-6402-5</t>
        </is>
      </c>
      <c r="K3532" s="23" t="inlineStr">
        <is>
          <t>84x108 1/32</t>
        </is>
      </c>
      <c r="L3532" s="23" t="inlineStr">
        <is>
          <t>тв</t>
        </is>
      </c>
      <c r="M3532" s="23" t="n">
        <v>543</v>
      </c>
      <c r="N3532" s="23" t="n">
        <v>2025</v>
      </c>
      <c r="O3532" s="23" t="n">
        <v>402</v>
      </c>
      <c r="P3532" s="23" t="n"/>
      <c r="Q3532" s="23" t="n"/>
      <c r="R3532" s="25" t="inlineStr">
        <is>
          <t>Британский историк Джон Уилер-Беннет настоящий труд посвятил исследованию судьбоносных событий, приведших к Мюнхенскому кризису 1938 года, в результате которого Гитлеру была принесена в жертву Судетская область, а остатки Чехословакии и Европа оказались без защиты от дальнейших посягательств Германии. Использовав документы Нюрнбергского процесса и государственные архивы Чехословакии, принесенной Содружеством в жертву, автор приходит к выводу, что Гитлер уже во время Мюнхенской конференции планировал военную агрессию в качестве инструмента государственной политики и умышленно шел к всеобщему мировому конфликту, намеренно проигнорировав обещания, данные Англии и Франции в союзных договорах. Мюнхенское соглашение было неизбежно.</t>
        </is>
      </c>
      <c r="S3532" s="26">
        <f>HYPERLINK("http://www.cnpol.ru/covers/21830.jpg","фото на сайте")</f>
        <v/>
      </c>
    </row>
    <row r="3533" ht="50.1" customHeight="1" s="3">
      <c r="A3533" s="23" t="n"/>
      <c r="B3533" s="24" t="inlineStr">
        <is>
          <t>19372</t>
        </is>
      </c>
      <c r="C3533" s="23" t="inlineStr">
        <is>
          <t>ОИ ВИ</t>
        </is>
      </c>
      <c r="D3533" s="23" t="inlineStr">
        <is>
          <t>Миллер У.</t>
        </is>
      </c>
      <c r="E3533" s="23" t="inlineStr">
        <is>
          <t>На руинах Османской империи. Новая Турция и свободные Балканы. 1801—1927</t>
        </is>
      </c>
      <c r="F3533" s="23" t="inlineStr">
        <is>
          <t>        </t>
        </is>
      </c>
      <c r="G3533" s="23" t="n">
        <v>693</v>
      </c>
      <c r="H3533" s="23" t="n">
        <v>10</v>
      </c>
      <c r="I3533" s="23" t="n">
        <v>8</v>
      </c>
      <c r="J3533" s="23" t="inlineStr">
        <is>
          <t>978-5-9524-5464-4</t>
        </is>
      </c>
      <c r="K3533" s="23" t="inlineStr">
        <is>
          <t>84x108 1/32</t>
        </is>
      </c>
      <c r="L3533" s="23" t="inlineStr">
        <is>
          <t>тв</t>
        </is>
      </c>
      <c r="M3533" s="23" t="n">
        <v>576</v>
      </c>
      <c r="N3533" s="23" t="n">
        <v>2020</v>
      </c>
      <c r="O3533" s="23" t="n">
        <v>418</v>
      </c>
      <c r="P3533" s="23" t="n"/>
      <c r="Q3533" s="23" t="n"/>
      <c r="R3533" s="25" t="n"/>
      <c r="S3533" s="26">
        <f>HYPERLINK("http://www.cnpol.ru/covers/19372.jpg","фото на сайте")</f>
        <v/>
      </c>
    </row>
    <row r="3534" ht="50.1" customHeight="1" s="3">
      <c r="A3534" s="23" t="n"/>
      <c r="B3534" s="24" t="inlineStr">
        <is>
          <t>17512</t>
        </is>
      </c>
      <c r="C3534" s="23" t="inlineStr">
        <is>
          <t>ОИ ВИ</t>
        </is>
      </c>
      <c r="D3534" s="23" t="inlineStr">
        <is>
          <t>Кривицкий В.Г.</t>
        </is>
      </c>
      <c r="E3534" s="23" t="inlineStr">
        <is>
          <t>На службе в сталинской разведке. Тайны руссих спецлужб от бывшего шефа советской разведки в Западной Европе</t>
        </is>
      </c>
      <c r="F3534" s="23" t="inlineStr">
        <is>
          <t>        </t>
        </is>
      </c>
      <c r="G3534" s="23" t="n">
        <v>593</v>
      </c>
      <c r="H3534" s="23" t="n">
        <v>10</v>
      </c>
      <c r="I3534" s="23" t="n">
        <v>12</v>
      </c>
      <c r="J3534" s="23" t="inlineStr">
        <is>
          <t>978-5-227-07489-8</t>
        </is>
      </c>
      <c r="K3534" s="23" t="inlineStr">
        <is>
          <t>84x108 1/32</t>
        </is>
      </c>
      <c r="L3534" s="23" t="inlineStr">
        <is>
          <t>тв</t>
        </is>
      </c>
      <c r="M3534" s="23" t="n">
        <v>320</v>
      </c>
      <c r="N3534" s="23" t="n">
        <v>2017</v>
      </c>
      <c r="O3534" s="23" t="n">
        <v>260</v>
      </c>
      <c r="P3534" s="23" t="n"/>
      <c r="Q3534" s="23" t="n"/>
      <c r="R3534" s="25" t="n"/>
      <c r="S3534" s="26">
        <f>HYPERLINK("http://www.cnpol.ru/covers/17512.jpg","фото на сайте")</f>
        <v/>
      </c>
    </row>
    <row r="3535" ht="50.1" customHeight="1" s="3">
      <c r="A3535" s="23" t="n"/>
      <c r="B3535" s="24" t="inlineStr">
        <is>
          <t>17517</t>
        </is>
      </c>
      <c r="C3535" s="23" t="inlineStr">
        <is>
          <t>ОИ ВИ</t>
        </is>
      </c>
      <c r="D3535" s="23" t="inlineStr">
        <is>
          <t>Громов А.Б.</t>
        </is>
      </c>
      <c r="E3535" s="23" t="inlineStr">
        <is>
          <t>Нарком Фрунзе. Победитель Колчака, уральских казаков и Врангеля, покоритель Туркестана, ликвидатор петлюровцев и махновцев</t>
        </is>
      </c>
      <c r="F3535" s="23" t="inlineStr">
        <is>
          <t>        </t>
        </is>
      </c>
      <c r="G3535" s="23" t="n">
        <v>593</v>
      </c>
      <c r="H3535" s="23" t="n">
        <v>10</v>
      </c>
      <c r="I3535" s="23" t="n">
        <v>14</v>
      </c>
      <c r="J3535" s="23" t="inlineStr">
        <is>
          <t>978-5-227-07490-4</t>
        </is>
      </c>
      <c r="K3535" s="23" t="inlineStr">
        <is>
          <t>84x108 1/32</t>
        </is>
      </c>
      <c r="L3535" s="23" t="inlineStr">
        <is>
          <t>тв</t>
        </is>
      </c>
      <c r="M3535" s="23" t="n">
        <v>320</v>
      </c>
      <c r="N3535" s="23" t="n">
        <v>2017</v>
      </c>
      <c r="O3535" s="23" t="n">
        <v>276</v>
      </c>
      <c r="P3535" s="23" t="n"/>
      <c r="Q3535" s="23" t="n"/>
      <c r="R3535" s="25" t="n"/>
      <c r="S3535" s="26">
        <f>HYPERLINK("http://www.cnpol.ru/covers/17517.jpg","фото на сайте")</f>
        <v/>
      </c>
    </row>
    <row r="3536" ht="50.1" customHeight="1" s="3">
      <c r="A3536" s="23" t="n"/>
      <c r="B3536" s="24" t="inlineStr">
        <is>
          <t>20981</t>
        </is>
      </c>
      <c r="C3536" s="23" t="inlineStr">
        <is>
          <t>ОИ ВИ</t>
        </is>
      </c>
      <c r="D3536" s="23" t="inlineStr">
        <is>
          <t>Шредер Э.</t>
        </is>
      </c>
      <c r="E3536" s="23" t="inlineStr">
        <is>
          <t>Народ Мухаммеда. Антология духовных сокровищ исламской цивилизации</t>
        </is>
      </c>
      <c r="F3536" s="23" t="inlineStr">
        <is>
          <t>        </t>
        </is>
      </c>
      <c r="G3536" s="27" t="n">
        <v>1795</v>
      </c>
      <c r="H3536" s="23" t="n">
        <v>10</v>
      </c>
      <c r="I3536" s="23" t="n">
        <v>6</v>
      </c>
      <c r="J3536" s="23" t="inlineStr">
        <is>
          <t>978-5-9524-5698-3</t>
        </is>
      </c>
      <c r="K3536" s="23" t="inlineStr">
        <is>
          <t>60x90 1/16</t>
        </is>
      </c>
      <c r="L3536" s="23" t="inlineStr">
        <is>
          <t>тв</t>
        </is>
      </c>
      <c r="M3536" s="23" t="n">
        <v>638</v>
      </c>
      <c r="N3536" s="23" t="n">
        <v>2024</v>
      </c>
      <c r="O3536" s="23" t="n">
        <v>725</v>
      </c>
      <c r="P3536" s="23" t="n"/>
      <c r="Q3536" s="23" t="n"/>
      <c r="R3536" s="25" t="inlineStr">
        <is>
          <t>«Народ Мухаммеда» — семилетний труд известного археолога и историка исламской культуры Эрика Шредера, основанный на многочисленных исторических источниках. Автор строит повествование, используя наиболее яркие фрагменты известных рукописей, выстраивая их в хронологической последовательности. Это сокровище древних откровений и религиозной мудрости дает обзор основополагающего периода мусульманской культуры. Книга прослеживает историю ислама с момента его рождения до расцвета. Историк часто обращается к фольклору, цитатам из Корана, приводит множество песен и стихотворений._x000D__x000D_
Шредер предоставляет богатый материал, давая читателю возможность самостоятельно выступить в роли исследователя. Книга будет интересна не только специалистам, но и широкому кругу читателей.</t>
        </is>
      </c>
      <c r="S3536" s="26">
        <f>HYPERLINK("http://www.cnpol.ru/covers/20981.jpg","фото на сайте")</f>
        <v/>
      </c>
    </row>
    <row r="3537" ht="50.1" customHeight="1" s="3">
      <c r="A3537" s="23" t="inlineStr">
        <is>
          <t>Д</t>
        </is>
      </c>
      <c r="B3537" s="24" t="inlineStr">
        <is>
          <t>22184</t>
        </is>
      </c>
      <c r="C3537" s="23" t="inlineStr">
        <is>
          <t>ОИ ВИ</t>
        </is>
      </c>
      <c r="D3537" s="23" t="inlineStr">
        <is>
          <t>Бибб Д.</t>
        </is>
      </c>
      <c r="E3537" s="23" t="inlineStr">
        <is>
          <t>Наш мир четыре тысячи лет назад. Панорама великого тысячелетия, когда строился Стоунхендж, росла сла</t>
        </is>
      </c>
      <c r="F3537" s="23" t="inlineStr">
        <is>
          <t>        </t>
        </is>
      </c>
      <c r="G3537" s="27" t="n">
        <v>1375</v>
      </c>
      <c r="H3537" s="23" t="n">
        <v>10</v>
      </c>
      <c r="I3537" s="23" t="n">
        <v>10</v>
      </c>
      <c r="J3537" s="23" t="inlineStr">
        <is>
          <t>978-5-9524-6706-4</t>
        </is>
      </c>
      <c r="K3537" s="23" t="inlineStr">
        <is>
          <t>84x108 1/32</t>
        </is>
      </c>
      <c r="L3537" s="23" t="inlineStr">
        <is>
          <t>тв</t>
        </is>
      </c>
      <c r="M3537" s="23" t="n">
        <v>445</v>
      </c>
      <c r="N3537" s="23" t="n">
        <v>2026</v>
      </c>
      <c r="O3537" s="23" t="n">
        <v>510</v>
      </c>
      <c r="P3537" s="23" t="n"/>
      <c r="Q3537" s="23" t="n"/>
      <c r="R3537" s="25" t="inlineStr">
        <is>
          <t>Томас Джеффри Бибб много лет был одним из руководителей ряда экспедиций в районе Персидского залива, исследуя доисторические поселения. В своей книге он показывает все важнейшие события второго тысячелетия до н. э., происшедшие не только в Египте, на Крите, в Малой Азии и Месопотамии, где были высокоразвитые цивилизации, но и на севере Европы, в русских степях и среди торгового люда и моряков. Автор подчеркивает важность повседневной жизни описываемого времени — века торговли и мира. Другая тема книги — натиск диких всадников перенаселенных степей юга нынешней России на земледельцев Европы и на цивилизации Востока.</t>
        </is>
      </c>
      <c r="S3537" s="26">
        <f>HYPERLINK("http://www.cnpol.ru/covers/22184.jpg","фото на сайте")</f>
        <v/>
      </c>
    </row>
    <row r="3538" ht="50.1" customHeight="1" s="3">
      <c r="A3538" s="23" t="inlineStr">
        <is>
          <t>Н</t>
        </is>
      </c>
      <c r="B3538" s="24" t="inlineStr">
        <is>
          <t>21162</t>
        </is>
      </c>
      <c r="C3538" s="23" t="inlineStr">
        <is>
          <t>ОИ ВИ</t>
        </is>
      </c>
      <c r="D3538" s="23" t="inlineStr">
        <is>
          <t>Уайз Дэвид, Росс Томас</t>
        </is>
      </c>
      <c r="E3538" s="23" t="inlineStr">
        <is>
          <t>Невидимое правительство США. ЦРУ и другие разведывательные службы в годы холодной войны</t>
        </is>
      </c>
      <c r="F3538" s="23" t="inlineStr">
        <is>
          <t>        </t>
        </is>
      </c>
      <c r="G3538" s="23" t="n">
        <v>593</v>
      </c>
      <c r="H3538" s="23" t="n">
        <v>10</v>
      </c>
      <c r="I3538" s="23" t="n">
        <v>12</v>
      </c>
      <c r="J3538" s="23" t="inlineStr">
        <is>
          <t>978-5-9524-6141-3</t>
        </is>
      </c>
      <c r="K3538" s="23" t="inlineStr">
        <is>
          <t>84x108 1/32</t>
        </is>
      </c>
      <c r="L3538" s="23" t="inlineStr">
        <is>
          <t>тв</t>
        </is>
      </c>
      <c r="M3538" s="23" t="n">
        <v>351</v>
      </c>
      <c r="N3538" s="23" t="n">
        <v>2024</v>
      </c>
      <c r="O3538" s="23" t="n">
        <v>292</v>
      </c>
      <c r="P3538" s="23" t="n"/>
      <c r="Q3538" s="23" t="n"/>
      <c r="R3538" s="25" t="inlineStr">
        <is>
          <t>Американские журналисты Дэвид Уайз и Томас Росс на обширном фактическом материале раскрывают подробности операций и деятельности невидимого правительства — Центрального разведывательного управления США периода холодной войны. Авторы отмечают, что ЦРУ включает также множество других подразделений и агентств и отдельных лиц, которые внешне кажутся обычными членами обычного правительства. В книге детально рассказывается об истории создания системы разведывательных органов США, их структуре, технической оснащенности и методах работы. Подрывная деятельность против стран Восточной Европы, вторжение на Кубу, разбойничья политика в Бирме, Лаосе, Вьетнаме, Гватемале — неполный список «заслуг» американской разведывательной деятельности. Шантаж и провокации, шпионаж и диверсии, заговоры и военные авантюры, направленные на свержение неугодных правительств, — таковы методы, с помощью которых разведка пытается укрепить позиции США на мировой арене.</t>
        </is>
      </c>
      <c r="S3538" s="26">
        <f>HYPERLINK("http://www.cnpol.ru/covers/21162.jpg","фото на сайте")</f>
        <v/>
      </c>
    </row>
    <row r="3539" ht="50.1" customHeight="1" s="3">
      <c r="A3539" s="23" t="n"/>
      <c r="B3539" s="24" t="inlineStr">
        <is>
          <t>20446</t>
        </is>
      </c>
      <c r="C3539" s="23" t="inlineStr">
        <is>
          <t>ОИ ВИ</t>
        </is>
      </c>
      <c r="D3539" s="23" t="inlineStr">
        <is>
          <t>Авалов З.Д.</t>
        </is>
      </c>
      <c r="E3539" s="23" t="inlineStr">
        <is>
          <t>Независимость Грузии в международной политике 1918–1921 гг. Воспоминания главного советника по иностранной политике</t>
        </is>
      </c>
      <c r="F3539" s="23" t="inlineStr">
        <is>
          <t>        </t>
        </is>
      </c>
      <c r="G3539" s="27" t="n">
        <v>1057</v>
      </c>
      <c r="H3539" s="23" t="n">
        <v>10</v>
      </c>
      <c r="I3539" s="23" t="n">
        <v>10</v>
      </c>
      <c r="J3539" s="23" t="inlineStr">
        <is>
          <t>978-5-227-10155-6</t>
        </is>
      </c>
      <c r="K3539" s="23" t="inlineStr">
        <is>
          <t>84x108 1/32</t>
        </is>
      </c>
      <c r="L3539" s="23" t="inlineStr">
        <is>
          <t>тв</t>
        </is>
      </c>
      <c r="M3539" s="23" t="n">
        <v>351</v>
      </c>
      <c r="N3539" s="23" t="n">
        <v>2022</v>
      </c>
      <c r="O3539" s="23" t="n">
        <v>355</v>
      </c>
      <c r="P3539" s="23" t="n"/>
      <c r="Q3539" s="23" t="n"/>
      <c r="R3539" s="25" t="inlineStr">
        <is>
          <t>Выдающийся грузинский историк, дипломат и политический деятель князь Зураб Давидович Авалов (Авалишвили) в своей книге изложил историю независимой Грузинской Демократической Республики, оказавшейся в 1918 г. на распутье между Западом и Советской Россией. Автор, непосредственный участник событий эпохи, отобразил процесс «самоустроения молодой жизнеспособной демократии» и зарождения независимого грузинского государства, отметив, что в этот период страна была близка к международному признанию своей независимости, а также описал крушение в 1921 г. института представительной демократии Грузии под натиском советской политики и вхождение Грузии в состав СССР.</t>
        </is>
      </c>
      <c r="S3539" s="26">
        <f>HYPERLINK("http://www.cnpol.ru/covers/20446.jpg","фото на сайте")</f>
        <v/>
      </c>
    </row>
    <row r="3540" ht="50.1" customHeight="1" s="3">
      <c r="A3540" s="23" t="inlineStr">
        <is>
          <t>Н</t>
        </is>
      </c>
      <c r="B3540" s="24" t="inlineStr">
        <is>
          <t>21387</t>
        </is>
      </c>
      <c r="C3540" s="23" t="inlineStr">
        <is>
          <t>ОИ ВИ</t>
        </is>
      </c>
      <c r="D3540" s="23" t="inlineStr">
        <is>
          <t>Юн Ч..,Холлидей Д</t>
        </is>
      </c>
      <c r="E3540" s="23" t="inlineStr">
        <is>
          <t>Неизвестный Мао</t>
        </is>
      </c>
      <c r="F3540" s="23" t="inlineStr">
        <is>
          <t>        </t>
        </is>
      </c>
      <c r="G3540" s="27" t="n">
        <v>2083</v>
      </c>
      <c r="H3540" s="23" t="n">
        <v>10</v>
      </c>
      <c r="I3540" s="23" t="n">
        <v>4</v>
      </c>
      <c r="J3540" s="23" t="inlineStr">
        <is>
          <t>978-5-9524-6294-6</t>
        </is>
      </c>
      <c r="K3540" s="23" t="inlineStr">
        <is>
          <t>60x90 1/16</t>
        </is>
      </c>
      <c r="L3540" s="23" t="inlineStr">
        <is>
          <t>тв</t>
        </is>
      </c>
      <c r="M3540" s="23" t="n">
        <v>835</v>
      </c>
      <c r="N3540" s="23" t="n">
        <v>2025</v>
      </c>
      <c r="O3540" s="23" t="n">
        <v>994</v>
      </c>
      <c r="P3540" s="23" t="n"/>
      <c r="Q3540" s="23" t="n"/>
      <c r="R3540" s="25" t="inlineStr">
        <is>
          <t>Книга «Неизвестный Мао» Джона Холлидея и Юн Чжан вошла в число мировых бестселлеров. Она беспрецедентна как по объему использованных источников, так и по числу исторических открытий. Документальную основу составили материалы архивов Тайваня, США, Японии, России и ряда других стран. Авторам удалось получить доступ к архивам Китайской Народной Республики, несмотря на то что официальный Пекин не приветствовал создание неподцензурной биографии Мао. Книга, запрещенная в Китае, открыла мировой общественности личностный феномен коммунистического тирана.</t>
        </is>
      </c>
      <c r="S3540" s="26">
        <f>HYPERLINK("http://www.cnpol.ru/covers/21387.jpg","фото на сайте")</f>
        <v/>
      </c>
    </row>
    <row r="3541" ht="50.1" customHeight="1" s="3">
      <c r="A3541" s="23" t="inlineStr">
        <is>
          <t>Н</t>
        </is>
      </c>
      <c r="B3541" s="24" t="inlineStr">
        <is>
          <t>21963</t>
        </is>
      </c>
      <c r="C3541" s="23" t="inlineStr">
        <is>
          <t>ОИ ВИ</t>
        </is>
      </c>
      <c r="D3541" s="23" t="inlineStr">
        <is>
          <t>Неринг В.</t>
        </is>
      </c>
      <c r="E3541" s="23" t="inlineStr">
        <is>
          <t>Немецкие бронетанковые войска. Развитие военной техники и история боевых операций. 1916—1945</t>
        </is>
      </c>
      <c r="F3541" s="23" t="inlineStr">
        <is>
          <t>        </t>
        </is>
      </c>
      <c r="G3541" s="27" t="n">
        <v>1184</v>
      </c>
      <c r="H3541" s="23" t="n">
        <v>10</v>
      </c>
      <c r="I3541" s="23" t="n">
        <v>10</v>
      </c>
      <c r="J3541" s="23" t="inlineStr">
        <is>
          <t>978-5-9524-6614-2</t>
        </is>
      </c>
      <c r="K3541" s="23" t="inlineStr">
        <is>
          <t>84x108 1/32</t>
        </is>
      </c>
      <c r="L3541" s="23" t="inlineStr">
        <is>
          <t>тв</t>
        </is>
      </c>
      <c r="M3541" s="23" t="n">
        <v>415</v>
      </c>
      <c r="N3541" s="23" t="n">
        <v>2026</v>
      </c>
      <c r="O3541" s="23" t="n">
        <v>430</v>
      </c>
      <c r="P3541" s="23" t="n"/>
      <c r="Q3541" s="23" t="n"/>
      <c r="R3541" s="25" t="inlineStr">
        <is>
          <t>Генерал танковых войск, участник Первой и Второй мировых войн представляет историю создания и развития германских бронетанковых войск в обход решений Версальского договора. Автор прослеживает путь совершенствования танка, от первых неповоротливых образцов до мощных боевых машин 1945 г., анализирует их возможности и эффективность применения в сражениях. Наряду с историей бронетанковых войск, в том числе создания танковых школ для обучения личного состава, Неринг уделяет большое внимание наиболее значительным по масштабам действий этого рода войск во время Второй мировой войны в кампаниях во Франции, на Балканах, в Северной Африке, Польше и Советском Союзе.</t>
        </is>
      </c>
      <c r="S3541" s="26">
        <f>HYPERLINK("http://www.cnpol.ru/covers/21963.jpg","фото на сайте")</f>
        <v/>
      </c>
    </row>
    <row r="3542" ht="50.1" customHeight="1" s="3">
      <c r="A3542" s="23" t="inlineStr">
        <is>
          <t>Н</t>
        </is>
      </c>
      <c r="B3542" s="24" t="inlineStr">
        <is>
          <t>21800</t>
        </is>
      </c>
      <c r="C3542" s="23" t="inlineStr">
        <is>
          <t>ОИ ВИ</t>
        </is>
      </c>
      <c r="D3542" s="23" t="inlineStr">
        <is>
          <t>Дежан Д.</t>
        </is>
      </c>
      <c r="E3542" s="23" t="inlineStr">
        <is>
          <t>Неповторимый стиль. Как французы придумали высокую моду, кухню для гурманов, шикарные кафе, утонченный стиль и гламур</t>
        </is>
      </c>
      <c r="F3542" s="23" t="inlineStr">
        <is>
          <t>        </t>
        </is>
      </c>
      <c r="G3542" s="27" t="n">
        <v>1002</v>
      </c>
      <c r="H3542" s="23" t="n">
        <v>10</v>
      </c>
      <c r="I3542" s="23" t="n">
        <v>5</v>
      </c>
      <c r="J3542" s="23" t="inlineStr">
        <is>
          <t>978-5-9524-6436-0</t>
        </is>
      </c>
      <c r="K3542" s="23" t="inlineStr">
        <is>
          <t>84x108 1/32</t>
        </is>
      </c>
      <c r="L3542" s="23" t="inlineStr">
        <is>
          <t>тв</t>
        </is>
      </c>
      <c r="M3542" s="23" t="n">
        <v>313</v>
      </c>
      <c r="N3542" s="23" t="n">
        <v>2025</v>
      </c>
      <c r="O3542" s="23" t="n">
        <v>364</v>
      </c>
      <c r="P3542" s="23" t="n"/>
      <c r="Q3542" s="23" t="n"/>
      <c r="R3542" s="25" t="inlineStr">
        <is>
          <t>Во все времена люди ценили красивую одежду, изысканные украшения и предметы обихода, однако в эпоху Людовика XIV любовь к внешней красоте достигла своего апогея. Король-солнце, обладавший великолепным вкусом и непревзойденным чувством стиля, совершил модную революцию, пристрастив своих подданных к эффектным нарядам и прическам, грандиозным пиршествам и увеселениям, поставив тем самым на поток производство предметов роскоши. К концу XVII века Париж превратился в мировую столицу элегантности и стиля, французские кутюрье, куаферы, ювелиры и повара стали законодателями мод, а игристое вино — незаменимым атрибутом праздника._x000D_
Эта книга о том, как французы изобрели высокую моду, утонченную кухню, шампанское, шикарные кафе и ночную жизнь в сиянии огней — все, что составляет квинтэссенцию стиля, его суть и притягательную силу.</t>
        </is>
      </c>
      <c r="S3542" s="26">
        <f>HYPERLINK("http://www.cnpol.ru/covers/21800.jpg","фото на сайте")</f>
        <v/>
      </c>
    </row>
    <row r="3543" ht="50.1" customHeight="1" s="3">
      <c r="A3543" s="23" t="inlineStr">
        <is>
          <t>Н</t>
        </is>
      </c>
      <c r="B3543" s="24" t="inlineStr">
        <is>
          <t>21795</t>
        </is>
      </c>
      <c r="C3543" s="23" t="inlineStr">
        <is>
          <t>ОИ ВИ</t>
        </is>
      </c>
      <c r="D3543" s="23" t="inlineStr">
        <is>
          <t>Грант М.</t>
        </is>
      </c>
      <c r="E3543" s="23" t="inlineStr">
        <is>
          <t>Нерон. Владыка земного ада</t>
        </is>
      </c>
      <c r="F3543" s="23" t="inlineStr">
        <is>
          <t>        </t>
        </is>
      </c>
      <c r="G3543" s="27" t="n">
        <v>1031</v>
      </c>
      <c r="H3543" s="23" t="n">
        <v>10</v>
      </c>
      <c r="I3543" s="23" t="n">
        <v>5</v>
      </c>
      <c r="J3543" s="23" t="inlineStr">
        <is>
          <t>978-5-9524-6445-2</t>
        </is>
      </c>
      <c r="K3543" s="23" t="inlineStr">
        <is>
          <t>84x108 1/32</t>
        </is>
      </c>
      <c r="L3543" s="23" t="inlineStr">
        <is>
          <t>тв</t>
        </is>
      </c>
      <c r="M3543" s="23" t="n">
        <v>333</v>
      </c>
      <c r="N3543" s="23" t="n">
        <v>2025</v>
      </c>
      <c r="O3543" s="23" t="n">
        <v>379</v>
      </c>
      <c r="P3543" s="23" t="n"/>
      <c r="Q3543" s="23" t="n"/>
      <c r="R3543" s="25" t="inlineStr">
        <is>
          <t>Майкл Грант предлагает оригинальную версию жизни Нерона, сотканную из взаимоисключающих противоречий. Грант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роскошного быта имперского Рима.</t>
        </is>
      </c>
      <c r="S3543" s="26">
        <f>HYPERLINK("http://www.cnpol.ru/covers/21795.jpg","фото на сайте")</f>
        <v/>
      </c>
    </row>
    <row r="3544" ht="50.1" customHeight="1" s="3">
      <c r="A3544" s="23" t="n"/>
      <c r="B3544" s="24" t="inlineStr">
        <is>
          <t>20931</t>
        </is>
      </c>
      <c r="C3544" s="23" t="inlineStr">
        <is>
          <t>ОИ ВИ</t>
        </is>
      </c>
      <c r="D3544" s="23" t="inlineStr">
        <is>
          <t>Вейгалл А.</t>
        </is>
      </c>
      <c r="E3544" s="23" t="inlineStr">
        <is>
          <t>Нерон. Император Рима</t>
        </is>
      </c>
      <c r="F3544" s="23" t="inlineStr">
        <is>
          <t>        </t>
        </is>
      </c>
      <c r="G3544" s="23" t="n">
        <v>593</v>
      </c>
      <c r="H3544" s="23" t="n">
        <v>10</v>
      </c>
      <c r="I3544" s="23" t="n">
        <v>14</v>
      </c>
      <c r="J3544" s="23" t="inlineStr">
        <is>
          <t>978-5-9524-6052-2</t>
        </is>
      </c>
      <c r="K3544" s="23" t="inlineStr">
        <is>
          <t>84x108 1/32</t>
        </is>
      </c>
      <c r="L3544" s="23" t="inlineStr">
        <is>
          <t>тв</t>
        </is>
      </c>
      <c r="M3544" s="23" t="n">
        <v>319</v>
      </c>
      <c r="N3544" s="23" t="n">
        <v>2023</v>
      </c>
      <c r="O3544" s="23" t="n">
        <v>274</v>
      </c>
      <c r="P3544" s="23" t="n"/>
      <c r="Q3544" s="23" t="n"/>
      <c r="R3544" s="25" t="inlineStr">
        <is>
          <t>Английский историк Артур Вейгалл прослеживает жизненный путь самого одиозного и вместе с тем неординарного правителя Античности, в котором удивительным образом сочетались жестокость и артистизм, деспотизм и стремление к справедливости, страсть к спортивным состязаниям и любовь к искусству. Автор не просто фиксирует события жизни Нерона от рождения до последних дней, а создает увлекательное, насыщенное деталями повествование, передающее дух эпохи.</t>
        </is>
      </c>
      <c r="S3544" s="26">
        <f>HYPERLINK("http://www.cnpol.ru/covers/20931.jpg","фото на сайте")</f>
        <v/>
      </c>
    </row>
    <row r="3545" ht="50.1" customHeight="1" s="3">
      <c r="A3545" s="23" t="n"/>
      <c r="B3545" s="24" t="inlineStr">
        <is>
          <t>20234</t>
        </is>
      </c>
      <c r="C3545" s="23" t="inlineStr">
        <is>
          <t>ОИ ВИ</t>
        </is>
      </c>
      <c r="D3545" s="23" t="inlineStr">
        <is>
          <t>Морэ А.</t>
        </is>
      </c>
      <c r="E3545" s="23" t="inlineStr">
        <is>
          <t>Нил и египетская цивилизация</t>
        </is>
      </c>
      <c r="F3545" s="23" t="inlineStr">
        <is>
          <t>        </t>
        </is>
      </c>
      <c r="G3545" s="27" t="n">
        <v>1265</v>
      </c>
      <c r="H3545" s="23" t="n">
        <v>10</v>
      </c>
      <c r="I3545" s="23" t="n">
        <v>8</v>
      </c>
      <c r="J3545" s="23" t="inlineStr">
        <is>
          <t>978-5-9524-5725-6</t>
        </is>
      </c>
      <c r="K3545" s="23" t="inlineStr">
        <is>
          <t>84x108 1/32</t>
        </is>
      </c>
      <c r="L3545" s="23" t="inlineStr">
        <is>
          <t>тв</t>
        </is>
      </c>
      <c r="M3545" s="23" t="n">
        <v>479</v>
      </c>
      <c r="N3545" s="23" t="n">
        <v>2022</v>
      </c>
      <c r="O3545" s="23" t="n">
        <v>355</v>
      </c>
      <c r="P3545" s="23" t="n"/>
      <c r="Q3545" s="23" t="n"/>
      <c r="R3545" s="25" t="n"/>
      <c r="S3545" s="26">
        <f>HYPERLINK("http://www.cnpol.ru/covers/20234.jpg","фото на сайте")</f>
        <v/>
      </c>
    </row>
    <row r="3546" ht="50.1" customHeight="1" s="3">
      <c r="A3546" s="23" t="inlineStr">
        <is>
          <t>Н</t>
        </is>
      </c>
      <c r="B3546" s="24" t="inlineStr">
        <is>
          <t>22127</t>
        </is>
      </c>
      <c r="C3546" s="23" t="inlineStr">
        <is>
          <t>ОИ ВИ</t>
        </is>
      </c>
      <c r="D3546" s="23" t="inlineStr">
        <is>
          <t>Джуффре В.Р.</t>
        </is>
      </c>
      <c r="E3546" s="23" t="inlineStr">
        <is>
          <t>Ничья девочка. Незабываемые воспоминания женщины, осмелившейся противостоять Джеффри Эпштейну и Гислейн Максвелл</t>
        </is>
      </c>
      <c r="F3546" s="23" t="inlineStr">
        <is>
          <t>        </t>
        </is>
      </c>
      <c r="G3546" s="23" t="n">
        <v>941</v>
      </c>
      <c r="H3546" s="23" t="n">
        <v>10</v>
      </c>
      <c r="I3546" s="23" t="n">
        <v>14</v>
      </c>
      <c r="J3546" s="23" t="inlineStr">
        <is>
          <t>978-5-9524-6685-2</t>
        </is>
      </c>
      <c r="K3546" s="23" t="inlineStr">
        <is>
          <t>84x108 1/32</t>
        </is>
      </c>
      <c r="L3546" s="23" t="inlineStr">
        <is>
          <t>тв</t>
        </is>
      </c>
      <c r="M3546" s="23" t="n">
        <v>383</v>
      </c>
      <c r="N3546" s="23" t="n">
        <v>2026</v>
      </c>
      <c r="O3546" s="23" t="n">
        <v>324</v>
      </c>
      <c r="P3546" s="23" t="n"/>
      <c r="Q3546" s="23" t="n"/>
      <c r="R3546" s="25" t="inlineStr">
        <is>
          <t>Вирджиния Робертс Джуффре (1983—2025) — ключевая сви¬детельница по делу Джеффри Эпштейна, в своей книге откровенно и без прикрас рассказывает о жизни полной испытаний и борьбе за права женщин, пострадавших от сексуальной эксплуатации. Вирджиния делится воспоминаниями о пережитом в детстве насилии, о жестокости и равнодушии близких, о том, как в возрасте шестнадцати лет, оставшись без поддержки семьи, была втянута в преступную индустрию Джеффри Эпштейна и его сообщницы Гислейн Максвелл. В книге раскрыты методы вербовки девушек для оказания интимных услуг, а также шокирующие подробности вечеринок в резиденциях Эпштейна, в том числе на печально известном острове Литл-Сент-Джеймс, которые устраивали для влиятельных политиков, бизнесменов и звезд шоу-бизнеса. Вирджиния называет ряд громких имен, в деталях описывает встречи с принцем Эндрю, приводя неоспоримые доказательства, благодаря которым ей удалось добиться денежной компенсации от британской королевской семьи, а также делится опытом юридической борьбы с Эпштейном и Максвелл. Книга Вирджинии Джуффре, опубликованная вскоре после ее смерти, не только обличает пороки сильных мира сего, но призывает общество не допускать подобных преступлений в будущем.</t>
        </is>
      </c>
      <c r="S3546" s="26">
        <f>HYPERLINK("http://www.cnpol.ru/covers/22127.jpg","фото на сайте")</f>
        <v/>
      </c>
    </row>
    <row r="3547" ht="50.1" customHeight="1" s="3">
      <c r="A3547" s="23" t="inlineStr">
        <is>
          <t>Н</t>
        </is>
      </c>
      <c r="B3547" s="24" t="inlineStr">
        <is>
          <t>21356</t>
        </is>
      </c>
      <c r="C3547" s="23" t="inlineStr">
        <is>
          <t>ОИ ВИ</t>
        </is>
      </c>
      <c r="D3547" s="23" t="inlineStr">
        <is>
          <t>Леони Э.</t>
        </is>
      </c>
      <c r="E3547" s="23" t="inlineStr">
        <is>
          <t>Нострадамус и его пророчества. Полное жизнеописание великого предсказателя и астролога</t>
        </is>
      </c>
      <c r="F3547" s="23" t="inlineStr">
        <is>
          <t>        </t>
        </is>
      </c>
      <c r="G3547" s="27" t="n">
        <v>1762</v>
      </c>
      <c r="H3547" s="23" t="n">
        <v>10</v>
      </c>
      <c r="I3547" s="23" t="n">
        <v>5</v>
      </c>
      <c r="J3547" s="23" t="inlineStr">
        <is>
          <t>978-5-9524-6241-0</t>
        </is>
      </c>
      <c r="K3547" s="23" t="inlineStr">
        <is>
          <t>60x90 1/16</t>
        </is>
      </c>
      <c r="L3547" s="23" t="inlineStr">
        <is>
          <t>тв</t>
        </is>
      </c>
      <c r="M3547" s="23" t="n">
        <v>623</v>
      </c>
      <c r="N3547" s="23" t="n">
        <v>2024</v>
      </c>
      <c r="O3547" s="23" t="n">
        <v>752</v>
      </c>
      <c r="P3547" s="23" t="n"/>
      <c r="Q3547" s="23" t="n"/>
      <c r="R3547" s="25" t="inlineStr">
        <is>
          <t>Известный американский нострадамовед Эдгар Леони собрал в свою книгу наибольшее количество пророчеств великого французского астролога, прокомментировав не только все катрены и творчество Нострадамуса в целом, но и толкования горячих сторонников и критиков пророка разных эпох. Автор не ставит перед собой цель прославить или разоблачить предсказателя, он просто приводит примеры как явно удачных, так и несбывшихся пророчеств. Не меньший интерес представляет наиболее подробная биография Мишеля Нострадамуса.</t>
        </is>
      </c>
      <c r="S3547" s="26">
        <f>HYPERLINK("http://www.cnpol.ru/covers/21356.jpg","фото на сайте")</f>
        <v/>
      </c>
    </row>
    <row r="3548" ht="50.1" customHeight="1" s="3">
      <c r="A3548" s="23" t="n"/>
      <c r="B3548" s="24" t="inlineStr">
        <is>
          <t>19486</t>
        </is>
      </c>
      <c r="C3548" s="23" t="inlineStr">
        <is>
          <t>ОИ ВИ</t>
        </is>
      </c>
      <c r="D3548" s="23" t="inlineStr">
        <is>
          <t>Дэвис У.С</t>
        </is>
      </c>
      <c r="E3548" s="23" t="inlineStr">
        <is>
          <t>Один день в Древнем Риме. Исторические карты жизни имперской столицы в античные времена.</t>
        </is>
      </c>
      <c r="F3548" s="23" t="inlineStr">
        <is>
          <t>        </t>
        </is>
      </c>
      <c r="G3548" s="27" t="n">
        <v>1238</v>
      </c>
      <c r="H3548" s="23" t="n">
        <v>10</v>
      </c>
      <c r="I3548" s="23" t="n">
        <v>10</v>
      </c>
      <c r="J3548" s="23" t="inlineStr">
        <is>
          <t>978-5-9524-5493-4</t>
        </is>
      </c>
      <c r="K3548" s="23" t="inlineStr">
        <is>
          <t>84x108 1/32</t>
        </is>
      </c>
      <c r="L3548" s="23" t="inlineStr">
        <is>
          <t>тв</t>
        </is>
      </c>
      <c r="M3548" s="23" t="n">
        <v>448</v>
      </c>
      <c r="N3548" s="23" t="n">
        <v>2021</v>
      </c>
      <c r="O3548" s="23" t="n">
        <v>426</v>
      </c>
      <c r="P3548" s="23" t="n"/>
      <c r="Q3548" s="23" t="n"/>
      <c r="R3548" s="25" t="n"/>
      <c r="S3548" s="26">
        <f>HYPERLINK("http://www.cnpol.ru/covers/19486.jpg","фото на сайте")</f>
        <v/>
      </c>
    </row>
    <row r="3549" ht="50.1" customHeight="1" s="3">
      <c r="A3549" s="23" t="n"/>
      <c r="B3549" s="24" t="inlineStr">
        <is>
          <t>15058</t>
        </is>
      </c>
      <c r="C3549" s="23" t="inlineStr">
        <is>
          <t>ОИ ВИ</t>
        </is>
      </c>
      <c r="D3549" s="23" t="inlineStr">
        <is>
          <t>Барков Б.</t>
        </is>
      </c>
      <c r="E3549" s="23" t="inlineStr">
        <is>
          <t>Однажды Сталин сказал Троцкому, или Кто такие конные матросы. Ситуации, эпизоды, диалоги, анекдоты</t>
        </is>
      </c>
      <c r="F3549" s="23" t="inlineStr">
        <is>
          <t>        </t>
        </is>
      </c>
      <c r="G3549" s="23" t="n">
        <v>295</v>
      </c>
      <c r="H3549" s="23" t="n">
        <v>10</v>
      </c>
      <c r="I3549" s="23" t="n">
        <v>20</v>
      </c>
      <c r="J3549" s="23" t="inlineStr">
        <is>
          <t>978-5-227-05082-3</t>
        </is>
      </c>
      <c r="K3549" s="23" t="inlineStr">
        <is>
          <t>84x108 1/32 (обл)</t>
        </is>
      </c>
      <c r="L3549" s="23" t="inlineStr">
        <is>
          <t>мяг</t>
        </is>
      </c>
      <c r="M3549" s="23" t="n">
        <v>286</v>
      </c>
      <c r="N3549" s="23" t="n">
        <v>2014</v>
      </c>
      <c r="O3549" s="23" t="n">
        <v>214</v>
      </c>
      <c r="P3549" s="23" t="n"/>
      <c r="Q3549" s="23" t="n"/>
      <c r="R3549" s="25" t="n"/>
      <c r="S3549" s="26">
        <f>HYPERLINK("http://www.cnpol.ru/covers/15058.jpg","фото на сайте")</f>
        <v/>
      </c>
    </row>
    <row r="3550" ht="50.1" customHeight="1" s="3">
      <c r="A3550" s="23" t="inlineStr">
        <is>
          <t>Н</t>
        </is>
      </c>
      <c r="B3550" s="24" t="inlineStr">
        <is>
          <t>21086</t>
        </is>
      </c>
      <c r="C3550" s="23" t="inlineStr">
        <is>
          <t>ОИ ВИ</t>
        </is>
      </c>
      <c r="D3550" s="23" t="inlineStr">
        <is>
          <t>Беннингховен Ф.</t>
        </is>
      </c>
      <c r="E3550" s="23" t="inlineStr">
        <is>
          <t>Орден меченосцев. Противостояние немецких рыцарей и русских князей в Ливонии</t>
        </is>
      </c>
      <c r="F3550" s="23" t="inlineStr">
        <is>
          <t>        </t>
        </is>
      </c>
      <c r="G3550" s="23" t="n">
        <v>633</v>
      </c>
      <c r="H3550" s="23" t="n">
        <v>10</v>
      </c>
      <c r="I3550" s="23" t="n">
        <v>10</v>
      </c>
      <c r="J3550" s="23" t="inlineStr">
        <is>
          <t>978-5-9524-6087-4</t>
        </is>
      </c>
      <c r="K3550" s="23" t="inlineStr">
        <is>
          <t>84x108 1/32</t>
        </is>
      </c>
      <c r="L3550" s="23" t="inlineStr">
        <is>
          <t>тв</t>
        </is>
      </c>
      <c r="M3550" s="23" t="n">
        <v>479</v>
      </c>
      <c r="N3550" s="23" t="n">
        <v>2024</v>
      </c>
      <c r="O3550" s="23" t="n">
        <v>376</v>
      </c>
      <c r="P3550" s="23" t="n"/>
      <c r="Q3550" s="23" t="n"/>
      <c r="R3550" s="25" t="inlineStr">
        <is>
          <t>Книга немецкого исследователя Фридриха Беннингховена посвящена истории духовно-рыцарского ордена и миссионерской деятельности братьев меча на восточном побережье Балтийского моря. Автор рассказывает об учреждении ордена в Ливонии рыцарями из северогерманских земель, уставе и образе жизни его членов, об обращении язычников в христианство огнем и мечом, а также о жестокой борьбе с русскими князьями и литовцами, что привело к падению ордена после разгрома в битве при Сауле в 1236 году.</t>
        </is>
      </c>
      <c r="S3550" s="26">
        <f>HYPERLINK("http://www.cnpol.ru/covers/21086.jpg","фото на сайте")</f>
        <v/>
      </c>
    </row>
    <row r="3551" ht="50.1" customHeight="1" s="3">
      <c r="A3551" s="23" t="inlineStr">
        <is>
          <t>Д</t>
        </is>
      </c>
      <c r="B3551" s="24" t="inlineStr">
        <is>
          <t>21863</t>
        </is>
      </c>
      <c r="C3551" s="23" t="inlineStr">
        <is>
          <t>ОИ ВИ</t>
        </is>
      </c>
      <c r="D3551" s="23" t="inlineStr">
        <is>
          <t>Эддисон Ч.</t>
        </is>
      </c>
      <c r="E3551" s="23" t="inlineStr">
        <is>
          <t>Орден тамплиеров. История братства рыцарей Храма и лондонского Темпла</t>
        </is>
      </c>
      <c r="F3551" s="23" t="inlineStr">
        <is>
          <t>        </t>
        </is>
      </c>
      <c r="G3551" s="27" t="n">
        <v>1057</v>
      </c>
      <c r="H3551" s="23" t="n">
        <v>10</v>
      </c>
      <c r="I3551" s="23" t="n">
        <v>6</v>
      </c>
      <c r="J3551" s="23" t="inlineStr">
        <is>
          <t>978-5-227-11187-6</t>
        </is>
      </c>
      <c r="K3551" s="23" t="inlineStr">
        <is>
          <t>84x108 1/32</t>
        </is>
      </c>
      <c r="L3551" s="23" t="inlineStr">
        <is>
          <t>тв</t>
        </is>
      </c>
      <c r="M3551" s="23" t="n">
        <v>352</v>
      </c>
      <c r="N3551" s="23" t="n">
        <v>2025</v>
      </c>
      <c r="O3551" s="23" t="n">
        <v>377</v>
      </c>
      <c r="P3551" s="23" t="n"/>
      <c r="Q3551" s="23" t="n"/>
      <c r="R3551" s="25" t="inlineStr">
        <is>
          <t>Книга Чарльза Г. Эддисона — ученого­правоведа, знатока истории ордена — посвящена легендарному братству Бедных рыцарей Иерусалимского храма. Автор рассказывает о зарождении самого могущественного военно­религиозного ордена того времени, особенностях устава, иерархии и владениях тамплиеров на Востоке и Западе. Эддисон сообщает о подвигах тамплиеров во имя защиты Святой земли, об участии рыцарей Храма в военных кампаниях Ричарда Львиное Сердце и других христианских королей, повествует о противостоянии с Саладином, осаде Иерусалима и трагической утрате Акры, последнего оплота храмовников в Святой земле, а также освещает процесс над тамплиерами в Англии. В последних главах своей книги Чарльз Эддисон, эсквайр Иннер­Темпла, описывает главную резиденцию тамплиеров в Англии и великолепный храм обители, а также излагает историю лондонского Темпла после роспуска ордена и перехода его владений в собственность правоведов, которые восстановили ряд обычаев рыцарей Храма и возродили традиции былого гостеприимства.</t>
        </is>
      </c>
      <c r="S3551" s="26">
        <f>HYPERLINK("http://www.cnpol.ru/covers/21863.jpg","фото на сайте")</f>
        <v/>
      </c>
    </row>
    <row r="3552" ht="50.1" customHeight="1" s="3">
      <c r="A3552" s="23" t="inlineStr">
        <is>
          <t>Н</t>
        </is>
      </c>
      <c r="B3552" s="24" t="inlineStr">
        <is>
          <t>21664</t>
        </is>
      </c>
      <c r="C3552" s="23" t="inlineStr">
        <is>
          <t>ОИ ВИ</t>
        </is>
      </c>
      <c r="D3552" s="23" t="inlineStr">
        <is>
          <t>Фуллер Д.Ф.Ч.</t>
        </is>
      </c>
      <c r="E3552" s="23" t="inlineStr">
        <is>
          <t>Оружие в истории. От пращи до ядерной бомбы</t>
        </is>
      </c>
      <c r="F3552" s="23" t="inlineStr">
        <is>
          <t>        </t>
        </is>
      </c>
      <c r="G3552" s="23" t="n">
        <v>936</v>
      </c>
      <c r="H3552" s="23" t="n">
        <v>10</v>
      </c>
      <c r="I3552" s="23" t="n">
        <v>14</v>
      </c>
      <c r="J3552" s="23" t="inlineStr">
        <is>
          <t>978-5-9524-6374-5</t>
        </is>
      </c>
      <c r="K3552" s="23" t="inlineStr">
        <is>
          <t>84x108 1/32</t>
        </is>
      </c>
      <c r="L3552" s="23" t="inlineStr">
        <is>
          <t>тв</t>
        </is>
      </c>
      <c r="M3552" s="23" t="n">
        <v>286</v>
      </c>
      <c r="N3552" s="23" t="n">
        <v>2025</v>
      </c>
      <c r="O3552" s="23" t="n">
        <v>261</v>
      </c>
      <c r="P3552" s="23" t="n"/>
      <c r="Q3552" s="23" t="n"/>
      <c r="R3552" s="25" t="inlineStr">
        <is>
          <t>Джон Фредерик Чарльз Фуллер, английский военный историк и теоретик, в своей книге исследует влияние вооружения на военное искусство и судьбы народов, показывает, как изобретательский гений человека потенциально может уничтожить его чувство нравственных ценностей и цивилизацию. Выделив эпохи-века доблести и рыцарства с их мечами и копьями, последующие времена пороха, пара, нефти и атомной энергии, Фуллер показывает наиболее влиятельные военные инновации каждого периода. Хотя автор признает, что война не может быть устранена полностью, он призывает человека к необходимости ограничения разрушительного фактора оружия.</t>
        </is>
      </c>
      <c r="S3552" s="26">
        <f>HYPERLINK("http://www.cnpol.ru/covers/21664.jpg","фото на сайте")</f>
        <v/>
      </c>
    </row>
    <row r="3553" ht="50.1" customHeight="1" s="3">
      <c r="A3553" s="23" t="n"/>
      <c r="B3553" s="24" t="inlineStr">
        <is>
          <t>14540</t>
        </is>
      </c>
      <c r="C3553" s="23" t="inlineStr">
        <is>
          <t>ОИ ВИ</t>
        </is>
      </c>
      <c r="D3553" s="23" t="inlineStr">
        <is>
          <t>Унгвари К.</t>
        </is>
      </c>
      <c r="E3553" s="23" t="inlineStr">
        <is>
          <t>Осада Будапешта. 100 дней Второй мировой войны</t>
        </is>
      </c>
      <c r="F3553" s="23" t="inlineStr">
        <is>
          <t>        </t>
        </is>
      </c>
      <c r="G3553" s="23" t="n">
        <v>781</v>
      </c>
      <c r="H3553" s="23" t="n">
        <v>10</v>
      </c>
      <c r="I3553" s="23" t="n">
        <v>14</v>
      </c>
      <c r="J3553" s="23" t="inlineStr">
        <is>
          <t>978-5-227-04597-3</t>
        </is>
      </c>
      <c r="K3553" s="23" t="inlineStr">
        <is>
          <t>84x108 1/32</t>
        </is>
      </c>
      <c r="L3553" s="23" t="inlineStr">
        <is>
          <t>тв</t>
        </is>
      </c>
      <c r="M3553" s="23" t="n">
        <v>445</v>
      </c>
      <c r="N3553" s="23" t="n">
        <v>2013</v>
      </c>
      <c r="O3553" s="23" t="n">
        <v>458</v>
      </c>
      <c r="P3553" s="23" t="n"/>
      <c r="Q3553" s="23" t="n"/>
      <c r="R3553" s="25" t="n"/>
      <c r="S3553" s="26">
        <f>HYPERLINK("http://www.cnpol.ru/covers/14540.jpg","фото на сайте")</f>
        <v/>
      </c>
    </row>
    <row r="3554" ht="50.1" customHeight="1" s="3">
      <c r="A3554" s="23" t="n"/>
      <c r="B3554" s="24" t="inlineStr">
        <is>
          <t>18683</t>
        </is>
      </c>
      <c r="C3554" s="23" t="inlineStr">
        <is>
          <t>ОИ ВИ</t>
        </is>
      </c>
      <c r="D3554" s="23" t="inlineStr">
        <is>
          <t>Ганценмюллер Й.</t>
        </is>
      </c>
      <c r="E3554" s="23" t="inlineStr">
        <is>
          <t>Осажденный Ленинград. Город в стратегических расчетах агрессоров и защитников. 1941—1944</t>
        </is>
      </c>
      <c r="F3554" s="23" t="inlineStr">
        <is>
          <t>        </t>
        </is>
      </c>
      <c r="G3554" s="23" t="n">
        <v>888</v>
      </c>
      <c r="H3554" s="23" t="n">
        <v>10</v>
      </c>
      <c r="I3554" s="23" t="n">
        <v>8</v>
      </c>
      <c r="J3554" s="23" t="inlineStr">
        <is>
          <t>978-5-227-08670-9</t>
        </is>
      </c>
      <c r="K3554" s="23" t="inlineStr">
        <is>
          <t>84x108 1/32</t>
        </is>
      </c>
      <c r="L3554" s="23" t="inlineStr">
        <is>
          <t>тв</t>
        </is>
      </c>
      <c r="M3554" s="23" t="n">
        <v>512</v>
      </c>
      <c r="N3554" s="23" t="n">
        <v>2019</v>
      </c>
      <c r="O3554" s="23" t="n">
        <v>484</v>
      </c>
      <c r="P3554" s="23" t="n"/>
      <c r="Q3554" s="23" t="n"/>
      <c r="R3554" s="25" t="n"/>
      <c r="S3554" s="26">
        <f>HYPERLINK("http://www.cnpol.ru/covers/18683.jpg","фото на сайте")</f>
        <v/>
      </c>
    </row>
    <row r="3555" ht="50.1" customHeight="1" s="3">
      <c r="A3555" s="23" t="inlineStr">
        <is>
          <t>Д</t>
        </is>
      </c>
      <c r="B3555" s="24" t="inlineStr">
        <is>
          <t>21392</t>
        </is>
      </c>
      <c r="C3555" s="23" t="inlineStr">
        <is>
          <t>ОИ ВИ</t>
        </is>
      </c>
      <c r="D3555" s="23" t="inlineStr">
        <is>
          <t>Бальфур Д.П.</t>
        </is>
      </c>
      <c r="E3555" s="23" t="inlineStr">
        <is>
          <t>Османская империя. Шесть столетий от возвышения до упадка. XIV-XX вв.</t>
        </is>
      </c>
      <c r="F3555" s="23" t="inlineStr">
        <is>
          <t>        </t>
        </is>
      </c>
      <c r="G3555" s="27" t="n">
        <v>1254</v>
      </c>
      <c r="H3555" s="23" t="n">
        <v>10</v>
      </c>
      <c r="I3555" s="23" t="n">
        <v>8</v>
      </c>
      <c r="J3555" s="23" t="inlineStr">
        <is>
          <t>978-5-9524-6266-3</t>
        </is>
      </c>
      <c r="K3555" s="23" t="inlineStr">
        <is>
          <t>84x108 1/32</t>
        </is>
      </c>
      <c r="L3555" s="23" t="inlineStr">
        <is>
          <t>тв</t>
        </is>
      </c>
      <c r="M3555" s="23" t="n">
        <v>639</v>
      </c>
      <c r="N3555" s="23" t="n">
        <v>2024</v>
      </c>
      <c r="O3555" s="23" t="n">
        <v>600</v>
      </c>
      <c r="P3555" s="23" t="n"/>
      <c r="Q3555" s="23" t="n"/>
      <c r="R3555" s="25" t="inlineStr">
        <is>
          <t>Известный английский писатель-историк Джон Патрик Бальфур на страницах своей книги воссоздает историю Османской империи от основания на рубеже ХIII—XIV вв. до распада в 1923 г. Авторитетный востоковед, известный в научном сообществе как лорд Кинросс, прослеживает становление цивилизации воинственных кочевников и стремительное возвышение государства Османов до величайшей империи в мировой истории, которая простиралась от Дуная до Нила и от Алжира до Каспия, где процветали искусства, развивались науки и ремесла, не угасала философская мысль и процветало богословие. Живо и ярко автор рассказывает о повседневной жизни турок-османов, создает точные правдоподобные портреты султанов, их жен и наследников, позволяет заглянуть за узорчатые врата гарема. Особое внимание историк уделяет противостоянию Блистательной Порты с империей Габсбургов и Россией, которое, наряду с освободительным движением на Балканах и ошибками во внутренней политике, стало причиной распада Османской империи и провозглашения Турецкой республики.</t>
        </is>
      </c>
      <c r="S3555" s="26">
        <f>HYPERLINK("http://www.cnpol.ru/covers/21392.jpg","фото на сайте")</f>
        <v/>
      </c>
    </row>
    <row r="3556" ht="50.1" customHeight="1" s="3">
      <c r="A3556" s="23" t="inlineStr">
        <is>
          <t>Д</t>
        </is>
      </c>
      <c r="B3556" s="24" t="inlineStr">
        <is>
          <t>21940</t>
        </is>
      </c>
      <c r="C3556" s="23" t="inlineStr">
        <is>
          <t>ОИ ВИ</t>
        </is>
      </c>
      <c r="D3556" s="23" t="inlineStr">
        <is>
          <t>Рансимен С.</t>
        </is>
      </c>
      <c r="E3556" s="23" t="inlineStr">
        <is>
          <t>Основание Иерусалимского королевства. Главные этапы Первого крестового похода</t>
        </is>
      </c>
      <c r="F3556" s="23" t="inlineStr">
        <is>
          <t>        </t>
        </is>
      </c>
      <c r="G3556" s="23" t="n">
        <v>970</v>
      </c>
      <c r="H3556" s="23" t="n">
        <v>10</v>
      </c>
      <c r="I3556" s="23" t="n">
        <v>10</v>
      </c>
      <c r="J3556" s="23" t="inlineStr">
        <is>
          <t>978-5-9524-6151-2</t>
        </is>
      </c>
      <c r="K3556" s="23" t="inlineStr">
        <is>
          <t>84x108 1/32</t>
        </is>
      </c>
      <c r="L3556" s="23" t="inlineStr">
        <is>
          <t>тв</t>
        </is>
      </c>
      <c r="M3556" s="23" t="n">
        <v>287</v>
      </c>
      <c r="N3556" s="23" t="n">
        <v>2026</v>
      </c>
      <c r="O3556" s="23" t="n">
        <v>351</v>
      </c>
      <c r="P3556" s="23" t="n"/>
      <c r="Q3556" s="23" t="n"/>
      <c r="R3556" s="25" t="inlineStr">
        <is>
          <t>Подробное исследование одного из самых захватывающих эпизодов Средневековья — Крестовых походов. Автор, выдающийся британский ученый, дает разносторонний обзор истории Византии и ислама, а также религиозных споров, которые привели к возникновению множества христианских церквей. В книге рассматривается история зарождения самой идеи крестоносного движения, его скрытые причины. Приведены основные этапы Первого крестового похода. Показаны взаимоотношения между его участниками, их врагами и союзниками. Повествование продолжается до того момента, когда новообразованное Иерусалимское королевство получает своего первого короля.</t>
        </is>
      </c>
      <c r="S3556" s="26">
        <f>HYPERLINK("http://www.cnpol.ru/covers/21940.jpg","фото на сайте")</f>
        <v/>
      </c>
    </row>
    <row r="3557" ht="50.1" customHeight="1" s="3">
      <c r="A3557" s="23" t="inlineStr">
        <is>
          <t>Д</t>
        </is>
      </c>
      <c r="B3557" s="24" t="inlineStr">
        <is>
          <t>21693</t>
        </is>
      </c>
      <c r="C3557" s="23" t="inlineStr">
        <is>
          <t>ОИ ВИ</t>
        </is>
      </c>
      <c r="D3557" s="23" t="inlineStr">
        <is>
          <t>Барух Б.М.</t>
        </is>
      </c>
      <c r="E3557" s="23" t="inlineStr">
        <is>
          <t>От биржевого игрока с Уолл-стрит до влиятельного политического деятеля. Мемуары крупного американского финансиста, серого кардинала Белого дома</t>
        </is>
      </c>
      <c r="F3557" s="23" t="inlineStr">
        <is>
          <t>        </t>
        </is>
      </c>
      <c r="G3557" s="27" t="n">
        <v>1084</v>
      </c>
      <c r="H3557" s="23" t="n">
        <v>10</v>
      </c>
      <c r="I3557" s="23" t="n">
        <v>5</v>
      </c>
      <c r="J3557" s="23" t="inlineStr">
        <is>
          <t>978-5-9524-6433-9</t>
        </is>
      </c>
      <c r="K3557" s="23" t="inlineStr">
        <is>
          <t>84x108 1/32</t>
        </is>
      </c>
      <c r="L3557" s="23" t="inlineStr">
        <is>
          <t>тв</t>
        </is>
      </c>
      <c r="M3557" s="23" t="n">
        <v>350</v>
      </c>
      <c r="N3557" s="23" t="n">
        <v>2025</v>
      </c>
      <c r="O3557" s="23" t="n">
        <v>340</v>
      </c>
      <c r="P3557" s="23" t="n"/>
      <c r="Q3557" s="23" t="n"/>
      <c r="R3557" s="25" t="inlineStr">
        <is>
          <t>«Одинокий волк Уолл-стрит», «экономический диктатор», «серый кардинал Белого дома» — так называли Бернарда Баруха. Сколотив на бирже капитал, Барух занялся политикой, став экономическим советником подряд пяти президентов Америки. В Первую мировую войну он возглавляет Военно-промышленный комитет США, переведя американскую промышленность на военные рельсы и на этом хорошо зарабатывая, потом, будучи членом Высшего экономического совета Версальской конференции, прикладывает руку к перекраиванию политической карты мира, далее срывает большой куш в Великую депрессию. Именно он ввёл в оборот термин «холодная война»… В автобиографической книге Барух рассказывает о своей семье, финансовых авантюрах, о встречах и работе с государственными деятелями, размышляет о политике и экономике своей страны.</t>
        </is>
      </c>
      <c r="S3557" s="26">
        <f>HYPERLINK("http://www.cnpol.ru/covers/21693.jpg","фото на сайте")</f>
        <v/>
      </c>
    </row>
    <row r="3558" ht="50.1" customHeight="1" s="3">
      <c r="A3558" s="23" t="n"/>
      <c r="B3558" s="24" t="inlineStr">
        <is>
          <t>20523</t>
        </is>
      </c>
      <c r="C3558" s="23" t="inlineStr">
        <is>
          <t>ОИ ВИ</t>
        </is>
      </c>
      <c r="D3558" s="23" t="inlineStr">
        <is>
          <t>Марчуков А.В.</t>
        </is>
      </c>
      <c r="E3558" s="23" t="inlineStr">
        <is>
          <t>От Ржева до Берлина. Воины 3-й гвардейской истребительной авиадивизии о себе и боевых товарищах. Правда из прошлого</t>
        </is>
      </c>
      <c r="F3558" s="23" t="inlineStr">
        <is>
          <t>        </t>
        </is>
      </c>
      <c r="G3558" s="27" t="n">
        <v>1344</v>
      </c>
      <c r="H3558" s="23" t="n">
        <v>10</v>
      </c>
      <c r="I3558" s="23" t="n">
        <v>6</v>
      </c>
      <c r="J3558" s="23" t="inlineStr">
        <is>
          <t>978-5-227-09570-1</t>
        </is>
      </c>
      <c r="K3558" s="23" t="inlineStr">
        <is>
          <t>60x90 1/16</t>
        </is>
      </c>
      <c r="L3558" s="23" t="inlineStr">
        <is>
          <t>тв</t>
        </is>
      </c>
      <c r="M3558" s="23" t="n">
        <v>943</v>
      </c>
      <c r="N3558" s="23" t="n">
        <v>2023</v>
      </c>
      <c r="O3558" s="23" t="n">
        <v>850</v>
      </c>
      <c r="P3558" s="23" t="n"/>
      <c r="Q3558" s="23" t="n"/>
      <c r="R3558" s="25" t="inlineStr">
        <is>
          <t>Книга, которую вы держите в руках, уникальна. Впервые за 77 лет в ней публикуются стенограммы бесед с воинами 3-й гвардейской истребительной авиационной дивизии. Интервью были взяты у 36 человек: лётчиков, штабных, политических и технических работников Управления дивизии, 32-го и 63-го гвардейских истребительных авиационных полков. Кроме того, в беседах рассказывается о воинах ещё трёх авиационных частей: 1-го гвардейского, 163-го и 521-го истребительных авиаполков. Записанные во время войны беседы исключительны по своему содержанию и откровенности. Они не подвергались редакторской правке, над ними не довлела цензура. Люди говорили то, что думали — о своей жизни и боевом пути, о войне, о друзьях и сослуживцах. О каждом из воинов, оставивших интервью, в книге даются составленные на основе архивных источников очерки. А сами стенограммы снабжены подробными комментариями и справками об упомянутых в тексте персоналиях. Также уточняются боевые счета почти восьми десятков советских асов._x000D_
Книга снабжена богатым фотографическим и иллюстративным материалом, многие фотографии публикуются впервые.</t>
        </is>
      </c>
      <c r="S3558" s="26">
        <f>HYPERLINK("http://www.cnpol.ru/covers/20523.jpg","фото на сайте")</f>
        <v/>
      </c>
    </row>
    <row r="3559" ht="50.1" customHeight="1" s="3">
      <c r="A3559" s="23" t="inlineStr">
        <is>
          <t>Н</t>
        </is>
      </c>
      <c r="B3559" s="24" t="inlineStr">
        <is>
          <t>21265</t>
        </is>
      </c>
      <c r="C3559" s="23" t="inlineStr">
        <is>
          <t>ОИ ВИ</t>
        </is>
      </c>
      <c r="D3559" s="23" t="inlineStr">
        <is>
          <t>Хаггард Г.В.</t>
        </is>
      </c>
      <c r="E3559" s="23" t="inlineStr">
        <is>
          <t>От целителя до врача. История медицины с древности до наших дней</t>
        </is>
      </c>
      <c r="F3559" s="23" t="inlineStr">
        <is>
          <t>        </t>
        </is>
      </c>
      <c r="G3559" s="27" t="n">
        <v>1265</v>
      </c>
      <c r="H3559" s="23" t="n">
        <v>10</v>
      </c>
      <c r="I3559" s="23" t="n">
        <v>8</v>
      </c>
      <c r="J3559" s="23" t="inlineStr">
        <is>
          <t>978-5-9524-6004-1</t>
        </is>
      </c>
      <c r="K3559" s="23" t="inlineStr">
        <is>
          <t>84x108 1/32</t>
        </is>
      </c>
      <c r="L3559" s="23" t="inlineStr">
        <is>
          <t>тв</t>
        </is>
      </c>
      <c r="M3559" s="23" t="n">
        <v>447</v>
      </c>
      <c r="N3559" s="23" t="n">
        <v>2024</v>
      </c>
      <c r="O3559" s="23" t="n">
        <v>388</v>
      </c>
      <c r="P3559" s="23" t="n"/>
      <c r="Q3559" s="23" t="n"/>
      <c r="R3559" s="25" t="inlineStr">
        <is>
          <t>Врач Говард Хаггард, профессор Йельского университета, в своей книге сделал обзор истории медицины от ее истоков в древней цивилизации до наших дней. Он собрал интересные факты развития акушерских методов родовспоможения, анестезии, хирургии и других любопытных способов лечения людей, развившихся в целую науку врачевания. Невероятно увлекательно, с историческими анекдотами и множеством уникальных иллюстраций изложены разнообразные формы медицинской помощи.</t>
        </is>
      </c>
      <c r="S3559" s="26">
        <f>HYPERLINK("http://www.cnpol.ru/covers/21265.jpg","фото на сайте")</f>
        <v/>
      </c>
    </row>
    <row r="3560" ht="50.1" customHeight="1" s="3">
      <c r="A3560" s="23" t="inlineStr">
        <is>
          <t>Д</t>
        </is>
      </c>
      <c r="B3560" s="24" t="inlineStr">
        <is>
          <t>22269</t>
        </is>
      </c>
      <c r="C3560" s="23" t="inlineStr">
        <is>
          <t>ОИ ВИ</t>
        </is>
      </c>
      <c r="D3560" s="23" t="inlineStr">
        <is>
          <t>Хаггард Г.В.</t>
        </is>
      </c>
      <c r="E3560" s="23" t="inlineStr">
        <is>
          <t>От целителя до врача. История медицины с древности до наших дней</t>
        </is>
      </c>
      <c r="F3560" s="23" t="inlineStr">
        <is>
          <t>        </t>
        </is>
      </c>
      <c r="G3560" s="27" t="n">
        <v>1265</v>
      </c>
      <c r="H3560" s="23" t="n">
        <v>10</v>
      </c>
      <c r="I3560" s="23" t="n">
        <v>10</v>
      </c>
      <c r="J3560" s="23" t="inlineStr">
        <is>
          <t>978-5-9524-6742-2</t>
        </is>
      </c>
      <c r="K3560" s="23" t="inlineStr">
        <is>
          <t>84x108 1/32</t>
        </is>
      </c>
      <c r="L3560" s="23" t="inlineStr">
        <is>
          <t>тв</t>
        </is>
      </c>
      <c r="M3560" s="23" t="n">
        <v>447</v>
      </c>
      <c r="N3560" s="23" t="n">
        <v>2026</v>
      </c>
      <c r="O3560" s="23" t="n">
        <v>493</v>
      </c>
      <c r="P3560" s="23" t="n"/>
      <c r="Q3560" s="23" t="n"/>
      <c r="R3560" s="25" t="inlineStr">
        <is>
          <t>Врач Говард Хаггард, профессор Йельского университета, в своей книге сделал обзор истории медицины от ее истоков в древней цивилизации до наших дней. Он собрал интересные факты развития акушерских методов родовспоможения, анестезии, хирургии и других любопытных способов лечения людей, развившихся в целую науку врачевания. Невероятно увлекательно, с историческими анекдотами и множеством уникальных иллюстраций изложены разнообразные формы медицинской помощи.</t>
        </is>
      </c>
      <c r="S3560" s="26">
        <f>HYPERLINK("http://www.cnpol.ru/covers/22269.jpg","фото на сайте")</f>
        <v/>
      </c>
    </row>
    <row r="3561" ht="50.1" customHeight="1" s="3">
      <c r="A3561" s="23" t="n"/>
      <c r="B3561" s="24" t="inlineStr">
        <is>
          <t>19697</t>
        </is>
      </c>
      <c r="C3561" s="23" t="inlineStr">
        <is>
          <t>ОИ ВИ</t>
        </is>
      </c>
      <c r="D3561" s="23" t="inlineStr">
        <is>
          <t>Никифоров О.Н</t>
        </is>
      </c>
      <c r="E3561" s="23" t="inlineStr">
        <is>
          <t>Охота за призраком. Борьба спецслужб СССР, США и Западной Германии за архивы МГБ ГДР</t>
        </is>
      </c>
      <c r="F3561" s="23" t="inlineStr">
        <is>
          <t>        </t>
        </is>
      </c>
      <c r="G3561" s="23" t="n">
        <v>693</v>
      </c>
      <c r="H3561" s="23" t="n">
        <v>10</v>
      </c>
      <c r="I3561" s="23" t="n">
        <v>12</v>
      </c>
      <c r="J3561" s="23" t="inlineStr">
        <is>
          <t>978-5-227-09473-5</t>
        </is>
      </c>
      <c r="K3561" s="23" t="inlineStr">
        <is>
          <t>84x108 1/32</t>
        </is>
      </c>
      <c r="L3561" s="23" t="inlineStr">
        <is>
          <t>тв</t>
        </is>
      </c>
      <c r="M3561" s="23" t="n">
        <v>288</v>
      </c>
      <c r="N3561" s="23" t="n">
        <v>2021</v>
      </c>
      <c r="O3561" s="23" t="n">
        <v>472</v>
      </c>
      <c r="P3561" s="23" t="n"/>
      <c r="Q3561" s="23" t="n"/>
      <c r="R3561" s="25" t="n"/>
      <c r="S3561" s="26">
        <f>HYPERLINK("http://www.cnpol.ru/covers/19697.jpg","фото на сайте")</f>
        <v/>
      </c>
    </row>
    <row r="3562" ht="50.1" customHeight="1" s="3">
      <c r="A3562" s="23" t="inlineStr">
        <is>
          <t>Н</t>
        </is>
      </c>
      <c r="B3562" s="24" t="inlineStr">
        <is>
          <t>21589</t>
        </is>
      </c>
      <c r="C3562" s="23" t="inlineStr">
        <is>
          <t>ОИ ВИ</t>
        </is>
      </c>
      <c r="D3562" s="23" t="inlineStr">
        <is>
          <t>Яллоп Д.Э.</t>
        </is>
      </c>
      <c r="E3562" s="23" t="inlineStr">
        <is>
          <t>Охота за Шакалом. На край света по следам жестокого убийцы</t>
        </is>
      </c>
      <c r="F3562" s="23" t="inlineStr">
        <is>
          <t>        </t>
        </is>
      </c>
      <c r="G3562" s="27" t="n">
        <v>1359</v>
      </c>
      <c r="H3562" s="23" t="n">
        <v>10</v>
      </c>
      <c r="I3562" s="23" t="n">
        <v>5</v>
      </c>
      <c r="J3562" s="23" t="inlineStr">
        <is>
          <t>978-5-9524-6364-6</t>
        </is>
      </c>
      <c r="K3562" s="23" t="inlineStr">
        <is>
          <t>60x90 1/16</t>
        </is>
      </c>
      <c r="L3562" s="23" t="inlineStr">
        <is>
          <t>тв</t>
        </is>
      </c>
      <c r="M3562" s="23" t="n">
        <v>511</v>
      </c>
      <c r="N3562" s="23" t="n">
        <v>2025</v>
      </c>
      <c r="O3562" s="23" t="n">
        <v>399</v>
      </c>
      <c r="P3562" s="23" t="n"/>
      <c r="Q3562" s="23" t="n"/>
      <c r="R3562" s="25" t="inlineStr">
        <is>
          <t>Британский писатель, сценарист и публицист Дэвид Яллоп десять лет шел по следу Карлоса Шакала — международного террориста венесуэльского происхождения, обвиняемого в нападении на израильских спортсменов на Мюнхенской олимпиаде, захвате заложников в штаб-квартире ОПЕК, бойне в аэропорту Тель-Авива, множестве взрывов, убийств и угонов самолетов. Жизнеописание Ильича Рамиреса Санчеса — таково настоящее имя «террориста номер один» в 70—80-е годы ХХ в. — читается как захватывающий триллер, однако это серьезное журналистское расследование, обличающее коррупцию в высших эшелонах власти и кровавые методы борьбы радикалов.</t>
        </is>
      </c>
      <c r="S3562" s="26">
        <f>HYPERLINK("http://www.cnpol.ru/covers/21589.jpg","фото на сайте")</f>
        <v/>
      </c>
    </row>
    <row r="3563" ht="50.1" customHeight="1" s="3">
      <c r="A3563" s="23" t="inlineStr">
        <is>
          <t>Д</t>
        </is>
      </c>
      <c r="B3563" s="24" t="inlineStr">
        <is>
          <t>21529</t>
        </is>
      </c>
      <c r="C3563" s="23" t="inlineStr">
        <is>
          <t>ОИ ВИ</t>
        </is>
      </c>
      <c r="D3563" s="23" t="inlineStr">
        <is>
          <t>Макдональд Д., Дронфилд Дж.</t>
        </is>
      </c>
      <c r="E3563" s="23" t="inlineStr">
        <is>
          <t>Очень опасная женщина. Из Москвы в Лондон с любовью, ложью и коварством: биография шпионки, влюблявшей в себя гениев</t>
        </is>
      </c>
      <c r="F3563" s="23" t="inlineStr">
        <is>
          <t>        </t>
        </is>
      </c>
      <c r="G3563" s="27" t="n">
        <v>1359</v>
      </c>
      <c r="H3563" s="23" t="n">
        <v>10</v>
      </c>
      <c r="I3563" s="23" t="n">
        <v>5</v>
      </c>
      <c r="J3563" s="23" t="inlineStr">
        <is>
          <t>978-5-9524-6286-1</t>
        </is>
      </c>
      <c r="K3563" s="23" t="inlineStr">
        <is>
          <t>60x90 1/16</t>
        </is>
      </c>
      <c r="L3563" s="23" t="inlineStr">
        <is>
          <t>тв</t>
        </is>
      </c>
      <c r="M3563" s="23" t="n">
        <v>512</v>
      </c>
      <c r="N3563" s="23" t="n">
        <v>2025</v>
      </c>
      <c r="O3563" s="23" t="n">
        <v>559</v>
      </c>
      <c r="P3563" s="23" t="n"/>
      <c r="Q3563" s="23" t="n"/>
      <c r="R3563" s="25" t="inlineStr">
        <is>
          <t>Русская аристократка баронесса Мура Будберг – шпионка, искательница приключений, харизматичная соблазнительница, любовница двух крупнейших писателей XX века, родилась для того, чтобы потворствовать своим желаниям и получать удовольствие от жизни. Мужчины сходили по ней с ума, но ее главной любовью стал британский дипломат и тайный агент Роберт Брюс Локарт, ради него она была готова пожертвовать всем. Эта увлекательно изложенная, правдивая история о страсти, шпионаже, обмане и предательстве – первая биография Муры Будберг, в которой использованы все прежде не исследованные письма, дневники и документы, имевшие отношение к жизни этой необыкновенной женщины.</t>
        </is>
      </c>
      <c r="S3563" s="26">
        <f>HYPERLINK("http://www.cnpol.ru/covers/21529.jpg","фото на сайте")</f>
        <v/>
      </c>
    </row>
    <row r="3564" ht="50.1" customHeight="1" s="3">
      <c r="A3564" s="23" t="n"/>
      <c r="B3564" s="24" t="inlineStr">
        <is>
          <t>20033</t>
        </is>
      </c>
      <c r="C3564" s="23" t="inlineStr">
        <is>
          <t>ОИ ВИ</t>
        </is>
      </c>
      <c r="D3564" s="23" t="inlineStr">
        <is>
          <t>Меринг Ф.</t>
        </is>
      </c>
      <c r="E3564" s="23" t="inlineStr">
        <is>
          <t>Очерки по истории войн и военного искусства</t>
        </is>
      </c>
      <c r="F3564" s="23" t="inlineStr">
        <is>
          <t>        </t>
        </is>
      </c>
      <c r="G3564" s="27" t="n">
        <v>1117</v>
      </c>
      <c r="H3564" s="23" t="n">
        <v>10</v>
      </c>
      <c r="I3564" s="23" t="n">
        <v>12</v>
      </c>
      <c r="J3564" s="23" t="inlineStr">
        <is>
          <t>978-5-227-09824-5</t>
        </is>
      </c>
      <c r="K3564" s="23" t="inlineStr">
        <is>
          <t>84x108 1/32</t>
        </is>
      </c>
      <c r="L3564" s="23" t="inlineStr">
        <is>
          <t>тв</t>
        </is>
      </c>
      <c r="M3564" s="23" t="n">
        <v>383</v>
      </c>
      <c r="N3564" s="23" t="n">
        <v>2022</v>
      </c>
      <c r="O3564" s="23" t="n">
        <v>382</v>
      </c>
      <c r="P3564" s="23" t="n"/>
      <c r="Q3564" s="23" t="n"/>
      <c r="R3564" s="25" t="n"/>
      <c r="S3564" s="26">
        <f>HYPERLINK("http://www.cnpol.ru/covers/20033.jpg","фото на сайте")</f>
        <v/>
      </c>
    </row>
    <row r="3565" ht="50.1" customHeight="1" s="3">
      <c r="A3565" s="23" t="inlineStr">
        <is>
          <t>Н</t>
        </is>
      </c>
      <c r="B3565" s="24" t="inlineStr">
        <is>
          <t>22208</t>
        </is>
      </c>
      <c r="C3565" s="23" t="inlineStr">
        <is>
          <t>ОИ ВИ</t>
        </is>
      </c>
      <c r="D3565" s="23" t="inlineStr">
        <is>
          <t>Кренкшоу Э.</t>
        </is>
      </c>
      <c r="E3565" s="23" t="inlineStr">
        <is>
          <t>Падение династии Габсбургов. Противостояние национальных провинций имперскому центру Австрийской монархии</t>
        </is>
      </c>
      <c r="F3565" s="23" t="inlineStr">
        <is>
          <t>        </t>
        </is>
      </c>
      <c r="G3565" s="27" t="n">
        <v>1286</v>
      </c>
      <c r="H3565" s="23" t="n">
        <v>10</v>
      </c>
      <c r="I3565" s="23" t="n">
        <v>10</v>
      </c>
      <c r="J3565" s="23" t="inlineStr">
        <is>
          <t>978-5-9524-6710-1</t>
        </is>
      </c>
      <c r="K3565" s="23" t="inlineStr">
        <is>
          <t>84x108 1/32</t>
        </is>
      </c>
      <c r="L3565" s="23" t="inlineStr">
        <is>
          <t>тв</t>
        </is>
      </c>
      <c r="M3565" s="23" t="n">
        <v>479</v>
      </c>
      <c r="N3565" s="23" t="n">
        <v>2026</v>
      </c>
      <c r="O3565" s="23" t="n">
        <v>542</v>
      </c>
      <c r="P3565" s="23" t="n"/>
      <c r="Q3565" s="23" t="n"/>
      <c r="R3565" s="25" t="inlineStr">
        <is>
          <t>Падение власти Габсбургов было не просто концом великой и могущественной династии. Оно означало разрушение старого европейского порядка и стало поворотным моментом в мировой истории. Книга Эдварда Кренкшоу повествует о последних десятилетиях Австро-Венгерской империи, предшествовавших Первой мировой войне. В центре драматических событий — император Франц Иосиф со своими жизненными трагедиями, с разорением всего наследства. Объективно исследуя историю Вены, Российской империи, Франции Наполеона, Пруссии Бисмарка и Италии Кавура, автор пишет об амбициях и разочарованиях властителей, которые определили судьбу Европы XX века.</t>
        </is>
      </c>
      <c r="S3565" s="26">
        <f>HYPERLINK("http://www.cnpol.ru/covers/22208.jpg","фото на сайте")</f>
        <v/>
      </c>
    </row>
    <row r="3566" ht="50.1" customHeight="1" s="3">
      <c r="A3566" s="23" t="inlineStr">
        <is>
          <t>Н</t>
        </is>
      </c>
      <c r="B3566" s="24" t="inlineStr">
        <is>
          <t>21704</t>
        </is>
      </c>
      <c r="C3566" s="23" t="inlineStr">
        <is>
          <t>ОИ ВИ</t>
        </is>
      </c>
      <c r="D3566" s="23" t="inlineStr">
        <is>
          <t>Хольцман О.</t>
        </is>
      </c>
      <c r="E3566" s="23" t="inlineStr">
        <is>
          <t>Падение иудейского государства. Эпоха Второго Храма от III века до н. э. до первой Иудейской войны</t>
        </is>
      </c>
      <c r="F3566" s="23" t="inlineStr">
        <is>
          <t>        </t>
        </is>
      </c>
      <c r="G3566" s="27" t="n">
        <v>1291</v>
      </c>
      <c r="H3566" s="23" t="n">
        <v>10</v>
      </c>
      <c r="I3566" s="23" t="n">
        <v>5</v>
      </c>
      <c r="J3566" s="23" t="inlineStr">
        <is>
          <t>978-5-227-11078-7</t>
        </is>
      </c>
      <c r="K3566" s="23" t="inlineStr">
        <is>
          <t>84x108 1/32</t>
        </is>
      </c>
      <c r="L3566" s="23" t="inlineStr">
        <is>
          <t>тв</t>
        </is>
      </c>
      <c r="M3566" s="23" t="n">
        <v>479</v>
      </c>
      <c r="N3566" s="23" t="n">
        <v>2025</v>
      </c>
      <c r="O3566" s="23" t="n">
        <v>466</v>
      </c>
      <c r="P3566" s="23" t="n"/>
      <c r="Q3566" s="23" t="n"/>
      <c r="R3566" s="25" t="inlineStr">
        <is>
          <t>Немецкий историк, профессор богословия, специалист по толкованию библейских текстов, переводчик, гебраист, автор трудов по истории древней Иудеи и раннего христианства Оскар Хольцман впервые опубликовал фундаментальный труд «Падение еврейского государства» в 1888 году._x000D_
Предлагаемое сочинение составляет часть масштабного проекта по всеобщей истории, издаваемой немецким ученым В. Онкеном. Беспристрастие Хольцмана и самостоятельность его при освещении описываемых событий искупают в значительной мере некоторые недостатки изложения текста. В 1899 году книга была переведена на русский язык, так как она имеет серьезную научную ценность и является одним из самых авторитетных исследований XIX века по древней истории еврейского народа. В России над ее текстом трудился известный филолог и ориенталист Г.Г. Геккель. Автор повествует об эпохе Второго Храма с III века до н. э. до первой Иудейской войны (66—71 гг.). В издании изложены важнейшие аспекты жизни еврейского народа на Ближнем Востоке.</t>
        </is>
      </c>
      <c r="S3566" s="26">
        <f>HYPERLINK("http://www.cnpol.ru/covers/21704.jpg","фото на сайте")</f>
        <v/>
      </c>
    </row>
    <row r="3567" ht="50.1" customHeight="1" s="3">
      <c r="A3567" s="23" t="n"/>
      <c r="B3567" s="24" t="inlineStr">
        <is>
          <t>20655</t>
        </is>
      </c>
      <c r="C3567" s="23" t="inlineStr">
        <is>
          <t>ОИ ВИ</t>
        </is>
      </c>
      <c r="D3567" s="23" t="inlineStr">
        <is>
          <t>Рансимен С.</t>
        </is>
      </c>
      <c r="E3567" s="23" t="inlineStr">
        <is>
          <t>Падение Константинополя. Гибель Византийской империи под натиском османов</t>
        </is>
      </c>
      <c r="F3567" s="23" t="inlineStr">
        <is>
          <t>        </t>
        </is>
      </c>
      <c r="G3567" s="23" t="n">
        <v>508</v>
      </c>
      <c r="H3567" s="23" t="n">
        <v>10</v>
      </c>
      <c r="I3567" s="23" t="n">
        <v>16</v>
      </c>
      <c r="J3567" s="23" t="inlineStr">
        <is>
          <t>978-5-9524-5867-3</t>
        </is>
      </c>
      <c r="K3567" s="23" t="inlineStr">
        <is>
          <t>82x108 1/32</t>
        </is>
      </c>
      <c r="L3567" s="23" t="inlineStr">
        <is>
          <t>тв</t>
        </is>
      </c>
      <c r="M3567" s="23" t="n">
        <v>256</v>
      </c>
      <c r="N3567" s="23" t="n">
        <v>2023</v>
      </c>
      <c r="O3567" s="23" t="n">
        <v>243</v>
      </c>
      <c r="P3567" s="23" t="n"/>
      <c r="Q3567" s="23" t="n"/>
      <c r="R3567" s="25" t="inlineStr">
        <is>
          <t>Британский историк­медиевист, византинист Стивен Рансимен в своем труде повествует о том, что привело Византию на край гибели, а турок — к триумфу, почему Европа предпочла не заметить трудного положения, в котором оказались византийцы, и помощь, полученная ими, была столь ничтожной. В книге детально изложены ход военных действий, причины, приведшие к падению Константинополя после сравнительно недолгой осады, и последствия всего этого, что  стало страшным потрясением для христианских народов. Туркам победа позволила не только основать новую столицу, но и обеспечить себе прочные позиции в Европе для дальнейших завоеваний. Для греков же поражение означало гибель византийской цивилизации и уход греческой культуры в подполье, и, кроме того, оно привело к исходу византийских интеллектуалов на Запад, что сыграло значительную роль в европейском Возрождении.</t>
        </is>
      </c>
      <c r="S3567" s="26">
        <f>HYPERLINK("http://www.cnpol.ru/covers/20655.jpg","фото на сайте")</f>
        <v/>
      </c>
    </row>
    <row r="3568" ht="50.1" customHeight="1" s="3">
      <c r="A3568" s="23" t="inlineStr">
        <is>
          <t>Д</t>
        </is>
      </c>
      <c r="B3568" s="24" t="inlineStr">
        <is>
          <t>21997</t>
        </is>
      </c>
      <c r="C3568" s="23" t="inlineStr">
        <is>
          <t>ОИ ВИ</t>
        </is>
      </c>
      <c r="D3568" s="23" t="inlineStr">
        <is>
          <t>Андерсон Р.; Андерсон Р.Ч</t>
        </is>
      </c>
      <c r="E3568" s="23" t="inlineStr">
        <is>
          <t>Парусные корабли. История мореплавания и кораблестроения с древних времен до XIX века</t>
        </is>
      </c>
      <c r="F3568" s="23" t="inlineStr">
        <is>
          <t>        </t>
        </is>
      </c>
      <c r="G3568" s="23" t="n">
        <v>855</v>
      </c>
      <c r="H3568" s="23" t="n">
        <v>10</v>
      </c>
      <c r="I3568" s="23" t="n">
        <v>8</v>
      </c>
      <c r="J3568" s="23" t="inlineStr">
        <is>
          <t>978-5-9524-6590-9</t>
        </is>
      </c>
      <c r="K3568" s="23" t="inlineStr">
        <is>
          <t>84x108 1/32</t>
        </is>
      </c>
      <c r="L3568" s="23" t="inlineStr">
        <is>
          <t>тв</t>
        </is>
      </c>
      <c r="M3568" s="23" t="n">
        <v>190</v>
      </c>
      <c r="N3568" s="23" t="n">
        <v>2026</v>
      </c>
      <c r="O3568" s="23" t="n">
        <v>273</v>
      </c>
      <c r="P3568" s="23" t="n"/>
      <c r="Q3568" s="23" t="n"/>
      <c r="R3568" s="25" t="inlineStr">
        <is>
          <t>Предлагаемая читателю книга прослеживает историю развития парусного судна на протяжении шести тысячелетий — от древних времен до конца XIX века. В ней рассматриваются суда Древнего Египта и Крита, Финикии, Греции и Рима, а также европейские, азиатские и американские суда. Следуя главным направлениям развития северных и южных европейских судов, авторы описывают технические и культурные факторы, определившие перемены в форме и назначении парусников — от древних судов с одинаковыми штевнями и единственной мачтой до больших и удивительно красивых пяти- и шестимачтовых кораблей XIX века. Иллюстрации наглядно показывают детали конструкций судов и парусное оснащение разных периодов.</t>
        </is>
      </c>
      <c r="S3568" s="26">
        <f>HYPERLINK("http://www.cnpol.ru/covers/21997.jpg","фото на сайте")</f>
        <v/>
      </c>
    </row>
    <row r="3569" ht="50.1" customHeight="1" s="3">
      <c r="A3569" s="23" t="inlineStr">
        <is>
          <t>Д</t>
        </is>
      </c>
      <c r="B3569" s="24" t="inlineStr">
        <is>
          <t>22017</t>
        </is>
      </c>
      <c r="C3569" s="23" t="inlineStr">
        <is>
          <t>ОИ ВИ</t>
        </is>
      </c>
      <c r="D3569" s="23" t="inlineStr">
        <is>
          <t>Зайончковский А.М.</t>
        </is>
      </c>
      <c r="E3569" s="23" t="inlineStr">
        <is>
          <t>Первая мировая война. 1914—1918 гг. Выдающийся труд, посвященный одному из самых кровавых конфликтов в истории</t>
        </is>
      </c>
      <c r="F3569" s="23" t="inlineStr">
        <is>
          <t>        </t>
        </is>
      </c>
      <c r="G3569" s="27" t="n">
        <v>2015</v>
      </c>
      <c r="H3569" s="23" t="n">
        <v>10</v>
      </c>
      <c r="I3569" s="23" t="n">
        <v>6</v>
      </c>
      <c r="J3569" s="23" t="inlineStr">
        <is>
          <t>978-5-227-11270-5</t>
        </is>
      </c>
      <c r="K3569" s="23" t="inlineStr">
        <is>
          <t>60x90 1/16</t>
        </is>
      </c>
      <c r="L3569" s="23" t="inlineStr">
        <is>
          <t>тв</t>
        </is>
      </c>
      <c r="M3569" s="23" t="n">
        <v>780</v>
      </c>
      <c r="N3569" s="23" t="n">
        <v>2026</v>
      </c>
      <c r="O3569" s="23" t="n">
        <v>898</v>
      </c>
      <c r="P3569" s="23" t="n"/>
      <c r="Q3569" s="23" t="n"/>
      <c r="R3569" s="25" t="inlineStr">
        <is>
          <t>Андрей Медардович Зайончковский — русский генерал от инфантерии, историк и теоретик, написал фундаментальный труд, который мы печатаем по оригиналу государственного военного издательства Наркомата обороны Союза ССР. Более ста лет минуло с начала Первой мировой войны, но издание не утратило своей актуальности и уважаемо почитателями серьезных исторических трудов._x000D_
Эта книга посвящена описанию ключевых военных операций за период с 1914 по 1918 год. Полная история Первой мировой, построенная по хронологическому принципу. Максимум информации: вооружение, количество дивизий, мобилизационные планы, схемы, карты, огромное количество фактов, взаимосвязь происходящих событий… Это очень серьезная историческая монография, и она требует такого же читателя — вдумчивого, склонного к анализу любителя истории.</t>
        </is>
      </c>
      <c r="S3569" s="26">
        <f>HYPERLINK("http://www.cnpol.ru/covers/22017.jpg","фото на сайте")</f>
        <v/>
      </c>
    </row>
    <row r="3570" ht="50.1" customHeight="1" s="3">
      <c r="A3570" s="23" t="n"/>
      <c r="B3570" s="24" t="inlineStr">
        <is>
          <t>20740</t>
        </is>
      </c>
      <c r="C3570" s="23" t="inlineStr">
        <is>
          <t>ОИ ВИ</t>
        </is>
      </c>
      <c r="D3570" s="23" t="inlineStr">
        <is>
          <t>Марсден К.</t>
        </is>
      </c>
      <c r="E3570" s="23" t="inlineStr">
        <is>
          <t>Первый век Санкт-Петербурга. Путь от государева бастиона к блистательной столице империи</t>
        </is>
      </c>
      <c r="F3570" s="23" t="inlineStr">
        <is>
          <t>        </t>
        </is>
      </c>
      <c r="G3570" s="23" t="n">
        <v>822</v>
      </c>
      <c r="H3570" s="23" t="n">
        <v>10</v>
      </c>
      <c r="I3570" s="23" t="n">
        <v>12</v>
      </c>
      <c r="J3570" s="23" t="inlineStr">
        <is>
          <t>978-5-9524-5953-3</t>
        </is>
      </c>
      <c r="K3570" s="23" t="inlineStr">
        <is>
          <t>84x108 1/32</t>
        </is>
      </c>
      <c r="L3570" s="23" t="inlineStr">
        <is>
          <t>тв</t>
        </is>
      </c>
      <c r="M3570" s="23" t="n">
        <v>287</v>
      </c>
      <c r="N3570" s="23" t="n">
        <v>2023</v>
      </c>
      <c r="O3570" s="23" t="n">
        <v>351</v>
      </c>
      <c r="P3570" s="23" t="n"/>
      <c r="Q3570" s="23" t="n"/>
      <c r="R3570" s="25" t="inlineStr">
        <is>
          <t>Дух Петербурга XVIII века — архитектура знаменитых дворцов, живопись, театр, декоративно-прикладное искусство, быт и пристрастия монархов и важных сановников — все, чем живы слава и величие этого города, в центре внимания автора, который не забывает уделять внимание и повседневной жизни горожан. Сопроводив собственные впечатления от знакомства с историческими памятниками города курьезами, историческими анекдотами, Кристофер Марсден ярко, оригинально, хотя и несколько субъективно, воссоздает реалии петербургской жизни той эпохи.</t>
        </is>
      </c>
      <c r="S3570" s="26">
        <f>HYPERLINK("http://www.cnpol.ru/covers/20740.jpg","фото на сайте")</f>
        <v/>
      </c>
    </row>
    <row r="3571" ht="50.1" customHeight="1" s="3">
      <c r="A3571" s="23" t="n"/>
      <c r="B3571" s="24" t="inlineStr">
        <is>
          <t>19077</t>
        </is>
      </c>
      <c r="C3571" s="23" t="inlineStr">
        <is>
          <t>ОИ ВИ</t>
        </is>
      </c>
      <c r="D3571" s="23" t="inlineStr">
        <is>
          <t>Крей О.</t>
        </is>
      </c>
      <c r="E3571" s="23" t="inlineStr">
        <is>
          <t>Первый крестовый поход. Сражения и осады, правители, паломники и вилланы, святые места в свидетельствах очевидцев и участников</t>
        </is>
      </c>
      <c r="F3571" s="23" t="inlineStr">
        <is>
          <t>        </t>
        </is>
      </c>
      <c r="G3571" s="23" t="n">
        <v>593</v>
      </c>
      <c r="H3571" s="23" t="n">
        <v>10</v>
      </c>
      <c r="I3571" s="23" t="n">
        <v>12</v>
      </c>
      <c r="J3571" s="23" t="inlineStr">
        <is>
          <t>978-5-9524-5416-3</t>
        </is>
      </c>
      <c r="K3571" s="23" t="inlineStr">
        <is>
          <t>84x108 1/32</t>
        </is>
      </c>
      <c r="L3571" s="23" t="inlineStr">
        <is>
          <t>тв</t>
        </is>
      </c>
      <c r="M3571" s="23" t="n">
        <v>352</v>
      </c>
      <c r="N3571" s="23" t="n">
        <v>2020</v>
      </c>
      <c r="O3571" s="23" t="n">
        <v>340</v>
      </c>
      <c r="P3571" s="23" t="n"/>
      <c r="Q3571" s="23" t="n"/>
      <c r="R3571" s="25" t="n"/>
      <c r="S3571" s="26">
        <f>HYPERLINK("http://www.cnpol.ru/covers/19077.jpg","фото на сайте")</f>
        <v/>
      </c>
    </row>
    <row r="3572" ht="50.1" customHeight="1" s="3">
      <c r="A3572" s="23" t="n"/>
      <c r="B3572" s="24" t="inlineStr">
        <is>
          <t>20123</t>
        </is>
      </c>
      <c r="C3572" s="23" t="inlineStr">
        <is>
          <t>ОИ ВИ</t>
        </is>
      </c>
      <c r="D3572" s="23" t="inlineStr">
        <is>
          <t>Герхард П.</t>
        </is>
      </c>
      <c r="E3572" s="23" t="inlineStr">
        <is>
          <t>Пираты Новой Испании. 1575—1742</t>
        </is>
      </c>
      <c r="F3572" s="23" t="inlineStr">
        <is>
          <t>        </t>
        </is>
      </c>
      <c r="G3572" s="23" t="n">
        <v>849</v>
      </c>
      <c r="H3572" s="23" t="n">
        <v>10</v>
      </c>
      <c r="I3572" s="23" t="n">
        <v>16</v>
      </c>
      <c r="J3572" s="23" t="inlineStr">
        <is>
          <t>978-5-9524-5677-8</t>
        </is>
      </c>
      <c r="K3572" s="23" t="inlineStr">
        <is>
          <t>84x108 1/32</t>
        </is>
      </c>
      <c r="L3572" s="23" t="inlineStr">
        <is>
          <t>тв</t>
        </is>
      </c>
      <c r="M3572" s="23" t="n">
        <v>239</v>
      </c>
      <c r="N3572" s="23" t="n">
        <v>2022</v>
      </c>
      <c r="O3572" s="23" t="n">
        <v>230</v>
      </c>
      <c r="P3572" s="23" t="n"/>
      <c r="Q3572" s="23" t="n"/>
      <c r="R3572" s="25" t="n"/>
      <c r="S3572" s="26">
        <f>HYPERLINK("http://www.cnpol.ru/covers/20123.jpg","фото на сайте")</f>
        <v/>
      </c>
    </row>
    <row r="3573" ht="50.1" customHeight="1" s="3">
      <c r="A3573" s="23" t="n"/>
      <c r="B3573" s="24" t="inlineStr">
        <is>
          <t>20333</t>
        </is>
      </c>
      <c r="C3573" s="23" t="inlineStr">
        <is>
          <t>ОИ ВИ</t>
        </is>
      </c>
      <c r="D3573" s="23" t="inlineStr">
        <is>
          <t>Элмс Ч.</t>
        </is>
      </c>
      <c r="E3573" s="23" t="inlineStr">
        <is>
          <t>Пираты. Рассказы о знаменитых морских разбойниках</t>
        </is>
      </c>
      <c r="F3573" s="23" t="inlineStr">
        <is>
          <t>        </t>
        </is>
      </c>
      <c r="G3573" s="27" t="n">
        <v>1238</v>
      </c>
      <c r="H3573" s="23" t="n">
        <v>10</v>
      </c>
      <c r="I3573" s="23" t="n">
        <v>10</v>
      </c>
      <c r="J3573" s="23" t="inlineStr">
        <is>
          <t>978-5-227-10098-6</t>
        </is>
      </c>
      <c r="K3573" s="23" t="inlineStr">
        <is>
          <t>84x108 1/32</t>
        </is>
      </c>
      <c r="L3573" s="23" t="inlineStr">
        <is>
          <t>тв</t>
        </is>
      </c>
      <c r="M3573" s="23" t="n">
        <v>448</v>
      </c>
      <c r="N3573" s="23" t="n">
        <v>2022</v>
      </c>
      <c r="O3573" s="23" t="n">
        <v>482</v>
      </c>
      <c r="P3573" s="23" t="n"/>
      <c r="Q3573" s="23" t="n"/>
      <c r="R3573" s="25" t="inlineStr">
        <is>
          <t>Эта увлекательная книга, посвященная истории морского пиратства, уникальна широтой охвата темы: в ней рассказано о датских, норманнских, испанских, вест-индских, малайских, алжирских и многих других жестоких и беспощадных морских разбойниках, наводивших страх на моряков и мирный торговый люд в разных районах Мирового океана. Повествования о жизни флибустьеров, дополненные материалами судебных процессов, отчетами адмиралтейства, рассказами несчастных, попавших в руки пиратов, о страданиях и злоключениях, которые им пришлось пережить, позволят узнать много интересного всем, кто интересуется захватывающими историями о людях, плававших под черным флагом много лет назад.</t>
        </is>
      </c>
      <c r="S3573" s="26">
        <f>HYPERLINK("http://www.cnpol.ru/covers/20333.jpg","фото на сайте")</f>
        <v/>
      </c>
    </row>
    <row r="3574" ht="50.1" customHeight="1" s="3">
      <c r="A3574" s="23" t="n"/>
      <c r="B3574" s="24" t="inlineStr">
        <is>
          <t>19983</t>
        </is>
      </c>
      <c r="C3574" s="23" t="inlineStr">
        <is>
          <t>ОИ ВИ</t>
        </is>
      </c>
      <c r="D3574" s="23" t="inlineStr">
        <is>
          <t>Блэр К.</t>
        </is>
      </c>
      <c r="E3574" s="23" t="inlineStr">
        <is>
          <t>Пистолеты мира</t>
        </is>
      </c>
      <c r="F3574" s="23" t="inlineStr">
        <is>
          <t>        </t>
        </is>
      </c>
      <c r="G3574" s="27" t="n">
        <v>1392</v>
      </c>
      <c r="H3574" s="23" t="n">
        <v>10</v>
      </c>
      <c r="I3574" s="23" t="n">
        <v>10</v>
      </c>
      <c r="J3574" s="23" t="inlineStr">
        <is>
          <t>978-5-9524-5645-7</t>
        </is>
      </c>
      <c r="K3574" s="23" t="inlineStr">
        <is>
          <t>60x90 1/16</t>
        </is>
      </c>
      <c r="L3574" s="23" t="inlineStr">
        <is>
          <t>тв</t>
        </is>
      </c>
      <c r="M3574" s="23" t="n">
        <v>442</v>
      </c>
      <c r="N3574" s="23" t="n">
        <v>2022</v>
      </c>
      <c r="O3574" s="23" t="n">
        <v>435</v>
      </c>
      <c r="P3574" s="23" t="n"/>
      <c r="Q3574" s="23" t="n"/>
      <c r="R3574" s="25" t="n"/>
      <c r="S3574" s="26">
        <f>HYPERLINK("http://www.cnpol.ru/covers/19983.jpg","фото на сайте")</f>
        <v/>
      </c>
    </row>
    <row r="3575" ht="50.1" customHeight="1" s="3">
      <c r="A3575" s="23" t="inlineStr">
        <is>
          <t>Д</t>
        </is>
      </c>
      <c r="B3575" s="24" t="inlineStr">
        <is>
          <t>22115</t>
        </is>
      </c>
      <c r="C3575" s="23" t="inlineStr">
        <is>
          <t>ОИ ВИ</t>
        </is>
      </c>
      <c r="D3575" s="23" t="inlineStr">
        <is>
          <t>Локьер Д.Н.</t>
        </is>
      </c>
      <c r="E3575" s="23" t="inlineStr">
        <is>
          <t>Планеты и звезды в мифах древних народов. Истоки астрономии</t>
        </is>
      </c>
      <c r="F3575" s="23" t="inlineStr">
        <is>
          <t>        </t>
        </is>
      </c>
      <c r="G3575" s="27" t="n">
        <v>1238</v>
      </c>
      <c r="H3575" s="23" t="n">
        <v>10</v>
      </c>
      <c r="I3575" s="23" t="n">
        <v>10</v>
      </c>
      <c r="J3575" s="23" t="inlineStr">
        <is>
          <t>978-5-9524-6667-8</t>
        </is>
      </c>
      <c r="K3575" s="23" t="inlineStr">
        <is>
          <t>84x108 1/32</t>
        </is>
      </c>
      <c r="L3575" s="23" t="inlineStr">
        <is>
          <t>тв</t>
        </is>
      </c>
      <c r="M3575" s="23" t="n">
        <v>445</v>
      </c>
      <c r="N3575" s="23" t="n">
        <v>2026</v>
      </c>
      <c r="O3575" s="23" t="n">
        <v>484</v>
      </c>
      <c r="P3575" s="23" t="n"/>
      <c r="Q3575" s="23" t="n"/>
      <c r="R3575" s="25" t="inlineStr">
        <is>
          <t>Всю свою жизнь известный английский астрофизик Джозеф Норман Локьер изучал небесные светила. Результатом его исследований, в числе прочих открытий, явилась теория астрономической ориентации древних храмовых сооружений. В этой книге Локьер рассматривает гипотезу о том, что в основе культовой архитектуры, мифов, легенд и религиозных обрядов лежат наблюдения человека за небесными явлениями: движением звезд, Солнца и Луны. Для  начала Локьер дает представление о небесной механике и о том, какие способы наблюдения были доступны древним цивилизациям, затем подробно излагает выводы о происхождении богов и культов народов, их обычаев, а также предлагает свою датировку правления царей и создания храмов.</t>
        </is>
      </c>
      <c r="S3575" s="26">
        <f>HYPERLINK("http://www.cnpol.ru/covers/22115.jpg","фото на сайте")</f>
        <v/>
      </c>
    </row>
    <row r="3576" ht="50.1" customHeight="1" s="3">
      <c r="A3576" s="23" t="inlineStr">
        <is>
          <t>Д</t>
        </is>
      </c>
      <c r="B3576" s="24" t="inlineStr">
        <is>
          <t>22151</t>
        </is>
      </c>
      <c r="C3576" s="23" t="inlineStr">
        <is>
          <t>ОИ ВИ</t>
        </is>
      </c>
      <c r="D3576" s="23" t="inlineStr">
        <is>
          <t>Баженов Н.Н.</t>
        </is>
      </c>
      <c r="E3576" s="23" t="inlineStr">
        <is>
          <t>Подводный флот Муссолини. Итальянские субмарины в битве за Атлантику. 1940—1943</t>
        </is>
      </c>
      <c r="F3576" s="23" t="inlineStr">
        <is>
          <t>        </t>
        </is>
      </c>
      <c r="G3576" s="23" t="n">
        <v>806</v>
      </c>
      <c r="H3576" s="23" t="n">
        <v>10</v>
      </c>
      <c r="I3576" s="23" t="n">
        <v>10</v>
      </c>
      <c r="J3576" s="23" t="inlineStr">
        <is>
          <t>978-5-227-11255-2</t>
        </is>
      </c>
      <c r="K3576" s="23" t="inlineStr">
        <is>
          <t>84x108 1/32</t>
        </is>
      </c>
      <c r="L3576" s="23" t="inlineStr">
        <is>
          <t>тв</t>
        </is>
      </c>
      <c r="M3576" s="23" t="n">
        <v>223</v>
      </c>
      <c r="N3576" s="23" t="n">
        <v>2026</v>
      </c>
      <c r="O3576" s="23" t="n">
        <v>290</v>
      </c>
      <c r="P3576" s="23" t="n"/>
      <c r="Q3576" s="23" t="n"/>
      <c r="R3576" s="25" t="inlineStr">
        <is>
          <t>О немецких подводных лодках, охотившихся на суда союзников в трех океанах поодиночке и в так называемых «волчьих стаях», написаны десятки книг. О том же, что в битве за море активно участвовали и подводные лодки Реджиа Марина (итальянского флота), мало кто знает. Между тем подводный флот Муссолини к началу Второй мировой войны был многочисленнее, чем у любой другой страны, даже чем у нацистской Германии. А итальянские капитаны по смелости, авантюризму и склонности к самоубийственным атакам могли посоперничать со своими немецкими коллегами. И в отличие от воевавшего бесславно надводного флота ВМС Италии, подводники дуче действовали достаточно профессионально и эффективно. Субмарины доходили до берегов Америки и Южной Африки, на их счету десятки подтвержденных потоплений кораблей и судов в Атлантике и в Индийском океане. В данной книге автор впервые собрал подробные сведения о действиях подлодок Муссолини, их тактике, результатах торпедных атак, а также о наиболее прославившихся субмаринах и их командирах.</t>
        </is>
      </c>
      <c r="S3576" s="26">
        <f>HYPERLINK("http://www.cnpol.ru/covers/22151.jpg","фото на сайте")</f>
        <v/>
      </c>
    </row>
    <row r="3577" ht="50.1" customHeight="1" s="3">
      <c r="A3577" s="23" t="inlineStr">
        <is>
          <t>Д</t>
        </is>
      </c>
      <c r="B3577" s="24" t="inlineStr">
        <is>
          <t>21697</t>
        </is>
      </c>
      <c r="C3577" s="23" t="inlineStr">
        <is>
          <t>ОИ ВИ</t>
        </is>
      </c>
      <c r="D3577" s="23" t="inlineStr">
        <is>
          <t>Боксер Ч.Р.</t>
        </is>
      </c>
      <c r="E3577" s="23" t="inlineStr">
        <is>
          <t>Португальская империя и ее владения в XV-XIX вв</t>
        </is>
      </c>
      <c r="F3577" s="23" t="inlineStr">
        <is>
          <t>        </t>
        </is>
      </c>
      <c r="G3577" s="27" t="n">
        <v>1184</v>
      </c>
      <c r="H3577" s="23" t="n">
        <v>10</v>
      </c>
      <c r="I3577" s="23" t="n">
        <v>5</v>
      </c>
      <c r="J3577" s="23" t="inlineStr">
        <is>
          <t>978-5-9524-6443-8</t>
        </is>
      </c>
      <c r="K3577" s="23" t="inlineStr">
        <is>
          <t>84x108 1/32</t>
        </is>
      </c>
      <c r="L3577" s="23" t="inlineStr">
        <is>
          <t>тв</t>
        </is>
      </c>
      <c r="M3577" s="23" t="n">
        <v>416</v>
      </c>
      <c r="N3577" s="23" t="n">
        <v>2025</v>
      </c>
      <c r="O3577" s="23" t="n">
        <v>330</v>
      </c>
      <c r="P3577" s="23" t="n"/>
      <c r="Q3577" s="23" t="n"/>
      <c r="R3577" s="25" t="inlineStr">
        <is>
          <t>Чарлз Боксер, профессор Йельского университета, автор целого ряда исторических трудов, представляет историю Португальской империи, подчеркивая, что именно португальцы возглавили первые морские экспедиции европейцев. Испанцы, голландцы, англичане, французы, которые последовали за первопроходцами, во многом воспользовались их ценным опытом. Это касалось как искусства навигации, так и навыков общения с народами других вер и другого цвета кожи. Автор анализирует, насколько успешно португальцы перенесли свои основные административные учреждения в новое экзотическое окружение и усовершенствовали их применительно к новым условиям. Автор также обратил внимание на взаимосвязь разбросанных в разных частях света владений империи и самой Португалии, расположенной на самой западной оконечности Европы.</t>
        </is>
      </c>
      <c r="S3577" s="26">
        <f>HYPERLINK("http://www.cnpol.ru/covers/21697.jpg","фото на сайте")</f>
        <v/>
      </c>
    </row>
    <row r="3578" ht="50.1" customHeight="1" s="3">
      <c r="A3578" s="23" t="n"/>
      <c r="B3578" s="24" t="inlineStr">
        <is>
          <t>19078</t>
        </is>
      </c>
      <c r="C3578" s="23" t="inlineStr">
        <is>
          <t>ОИ ВИ</t>
        </is>
      </c>
      <c r="D3578" s="23" t="inlineStr">
        <is>
          <t>Роу Э.Д., Ферлонг С.</t>
        </is>
      </c>
      <c r="E3578" s="23" t="inlineStr">
        <is>
          <t>Потерянный кронпринц Франции. Борьба за власть и тайна наследника Наполеона III</t>
        </is>
      </c>
      <c r="F3578" s="23" t="inlineStr">
        <is>
          <t>        </t>
        </is>
      </c>
      <c r="G3578" s="23" t="n">
        <v>593</v>
      </c>
      <c r="H3578" s="23" t="n">
        <v>10</v>
      </c>
      <c r="I3578" s="23" t="n">
        <v>16</v>
      </c>
      <c r="J3578" s="23" t="inlineStr">
        <is>
          <t>978-5-227-08757-7</t>
        </is>
      </c>
      <c r="K3578" s="23" t="inlineStr">
        <is>
          <t>84x108 1/32</t>
        </is>
      </c>
      <c r="L3578" s="23" t="inlineStr">
        <is>
          <t>тв</t>
        </is>
      </c>
      <c r="M3578" s="23" t="n">
        <v>320</v>
      </c>
      <c r="N3578" s="23" t="n">
        <v>2020</v>
      </c>
      <c r="O3578" s="23" t="n">
        <v>325</v>
      </c>
      <c r="P3578" s="23" t="n"/>
      <c r="Q3578" s="23" t="n"/>
      <c r="R3578" s="25" t="n"/>
      <c r="S3578" s="26">
        <f>HYPERLINK("http://www.cnpol.ru/covers/19078.jpg","фото на сайте")</f>
        <v/>
      </c>
    </row>
    <row r="3579" ht="50.1" customHeight="1" s="3">
      <c r="A3579" s="23" t="n"/>
      <c r="B3579" s="24" t="inlineStr">
        <is>
          <t>20431</t>
        </is>
      </c>
      <c r="C3579" s="23" t="inlineStr">
        <is>
          <t>ОИ ВИ</t>
        </is>
      </c>
      <c r="D3579" s="23" t="inlineStr">
        <is>
          <t>Фейс Г.</t>
        </is>
      </c>
      <c r="E3579" s="23" t="inlineStr">
        <is>
          <t>Потсдамская конференция. Как решалась послевоенная судьба Германии и других стран Европы</t>
        </is>
      </c>
      <c r="F3579" s="23" t="inlineStr">
        <is>
          <t>        </t>
        </is>
      </c>
      <c r="G3579" s="23" t="n">
        <v>593</v>
      </c>
      <c r="H3579" s="23" t="n">
        <v>10</v>
      </c>
      <c r="I3579" s="23" t="n">
        <v>12</v>
      </c>
      <c r="J3579" s="23" t="inlineStr">
        <is>
          <t>978-5-9524-5856-7</t>
        </is>
      </c>
      <c r="K3579" s="23" t="inlineStr">
        <is>
          <t>84x108 1/32</t>
        </is>
      </c>
      <c r="L3579" s="23" t="inlineStr">
        <is>
          <t>тв</t>
        </is>
      </c>
      <c r="M3579" s="23" t="n">
        <v>351</v>
      </c>
      <c r="N3579" s="23" t="n">
        <v>2022</v>
      </c>
      <c r="O3579" s="23" t="n">
        <v>380</v>
      </c>
      <c r="P3579" s="23" t="n"/>
      <c r="Q3579" s="23" t="n"/>
      <c r="R3579" s="25" t="inlineStr">
        <is>
          <t>В своей книге историк Герберт Фейс описывает события победного 1945 года, длительные переговоры, предшествовавшие Потсдамской конференции, и саму конференцию, опираясь на воспоминания ее участников — руководителей государств, военных лидеров и дипломатов, на документальные материалы Государственного и Военного департаментов США и другие источники. Автор знакомит читателя с составом участников конференции и с основными вопросами, поставленными на обсуждение на последней официальной встрече лидеров Большой тройки.</t>
        </is>
      </c>
      <c r="S3579" s="26">
        <f>HYPERLINK("http://www.cnpol.ru/covers/20431.jpg","фото на сайте")</f>
        <v/>
      </c>
    </row>
    <row r="3580" ht="50.1" customHeight="1" s="3">
      <c r="A3580" s="23" t="inlineStr">
        <is>
          <t>Д</t>
        </is>
      </c>
      <c r="B3580" s="24" t="inlineStr">
        <is>
          <t>21865</t>
        </is>
      </c>
      <c r="C3580" s="23" t="inlineStr">
        <is>
          <t>ОИ ВИ</t>
        </is>
      </c>
      <c r="D3580" s="23" t="inlineStr">
        <is>
          <t>Бизли Л., Грейси А</t>
        </is>
      </c>
      <c r="E3580" s="23" t="inlineStr">
        <is>
          <t>Правда о «Титанике». Участники драматических событий о величайшей морской катастрофе</t>
        </is>
      </c>
      <c r="F3580" s="23" t="inlineStr">
        <is>
          <t>        </t>
        </is>
      </c>
      <c r="G3580" s="23" t="n">
        <v>794</v>
      </c>
      <c r="H3580" s="23" t="n">
        <v>10</v>
      </c>
      <c r="I3580" s="23" t="n">
        <v>8</v>
      </c>
      <c r="J3580" s="23" t="inlineStr">
        <is>
          <t>978-5-9524-6467-4</t>
        </is>
      </c>
      <c r="K3580" s="23" t="inlineStr">
        <is>
          <t>84x108 1/32</t>
        </is>
      </c>
      <c r="L3580" s="23" t="inlineStr">
        <is>
          <t>тв</t>
        </is>
      </c>
      <c r="M3580" s="23" t="n">
        <v>431</v>
      </c>
      <c r="N3580" s="23" t="n">
        <v>2025</v>
      </c>
      <c r="O3580" s="23" t="n">
        <v>356</v>
      </c>
      <c r="P3580" s="23" t="n"/>
      <c r="Q3580" s="23" t="n"/>
      <c r="R3580" s="25" t="inlineStr">
        <is>
          <t>Гибель «Титаника» по-прежнему вызывает острый интерес. Для осмысления этой трагедии невероятно любопытны впечатления ее непосредственных очевидцев. В настоящей книге представлены воспоминания выживших в катастрофе пассажиров судна, рассказанные каждым со своей точки зрения. Что произошло на борту «непотопляемого» корабля, почему он так быстро затонул, в самом ли деле члены экипажа вели себя как герои, почему гибель «Титаника» так потрясла человечество?.. Эти и другие вопросы были подняты в развернувшейся в прессе громкой кампании и впоследствии опубликованы участниками трагедии.</t>
        </is>
      </c>
      <c r="S3580" s="26">
        <f>HYPERLINK("http://www.cnpol.ru/covers/21865.jpg","фото на сайте")</f>
        <v/>
      </c>
    </row>
    <row r="3581" ht="50.1" customHeight="1" s="3">
      <c r="A3581" s="23" t="inlineStr">
        <is>
          <t>Н</t>
        </is>
      </c>
      <c r="B3581" s="24" t="inlineStr">
        <is>
          <t>21444</t>
        </is>
      </c>
      <c r="C3581" s="23" t="inlineStr">
        <is>
          <t>ОИ ВИ</t>
        </is>
      </c>
      <c r="D3581" s="23" t="inlineStr">
        <is>
          <t>Бенневиль Д.</t>
        </is>
      </c>
      <c r="E3581" s="23" t="inlineStr">
        <is>
          <t>Предания о самураях</t>
        </is>
      </c>
      <c r="F3581" s="23" t="inlineStr">
        <is>
          <t>        </t>
        </is>
      </c>
      <c r="G3581" s="27" t="n">
        <v>1368</v>
      </c>
      <c r="H3581" s="23" t="n">
        <v>10</v>
      </c>
      <c r="I3581" s="23" t="n">
        <v>4</v>
      </c>
      <c r="J3581" s="23" t="inlineStr">
        <is>
          <t>978-5-9524-6300-4</t>
        </is>
      </c>
      <c r="K3581" s="23" t="inlineStr">
        <is>
          <t>84x108 1/32</t>
        </is>
      </c>
      <c r="L3581" s="23" t="inlineStr">
        <is>
          <t>тв</t>
        </is>
      </c>
      <c r="M3581" s="23" t="n">
        <v>510</v>
      </c>
      <c r="N3581" s="23" t="n">
        <v>2025</v>
      </c>
      <c r="O3581" s="23" t="n">
        <v>401</v>
      </c>
      <c r="P3581" s="23" t="n"/>
      <c r="Q3581" s="23" t="n"/>
      <c r="R3581" s="25" t="inlineStr">
        <is>
          <t>Захватывающие и выразительные предания о самураях — основанные на фактах хроники невероятных приключений знаменитого наследника правителей дома Огури героического воина Сукэсигэ и его самоотверженной красавицы жены Тэрутэ. Все добродетели истинного воина воплощают в себе Сукэсигэ и его отважные сподвижники. Их верность самурайскому кодексу и способность к милосердию вызывают уважение, а владение боевыми искусствами, благодаря которым они одерживают победу в любом бою, поражает воображение._x000D_
Представляя тексты преданий, известный ученый, писатель и переводчик, специалист по японской литературе Джеймс Бенневиль анализирует особенности быта, обрядов, обычаев и нравственных воззрений народа, сумевшего сохранить и передать их из поколения в поколение на протяжении многих веков._x000D_
Повествование сопровождают иллюстрации, выдержанные в традиционном стиле японского рисунка.</t>
        </is>
      </c>
      <c r="S3581" s="26">
        <f>HYPERLINK("http://www.cnpol.ru/covers/21444.jpg","фото на сайте")</f>
        <v/>
      </c>
    </row>
    <row r="3582" ht="50.1" customHeight="1" s="3">
      <c r="A3582" s="23" t="n"/>
      <c r="B3582" s="24" t="inlineStr">
        <is>
          <t>15795</t>
        </is>
      </c>
      <c r="C3582" s="23" t="inlineStr">
        <is>
          <t>ОИ ВИ</t>
        </is>
      </c>
      <c r="D3582" s="23" t="inlineStr">
        <is>
          <t>Кофанов А.</t>
        </is>
      </c>
      <c r="E3582" s="23" t="inlineStr">
        <is>
          <t>Предвечный трибунал: убийство Советского Союза</t>
        </is>
      </c>
      <c r="F3582" s="23" t="inlineStr">
        <is>
          <t>        </t>
        </is>
      </c>
      <c r="G3582" s="23" t="n">
        <v>712</v>
      </c>
      <c r="H3582" s="23" t="n">
        <v>10</v>
      </c>
      <c r="I3582" s="23" t="n">
        <v>12</v>
      </c>
      <c r="J3582" s="23" t="inlineStr">
        <is>
          <t>978-5-9524-5124-7</t>
        </is>
      </c>
      <c r="K3582" s="23" t="inlineStr">
        <is>
          <t>84x108 1/32</t>
        </is>
      </c>
      <c r="L3582" s="23" t="inlineStr">
        <is>
          <t>тв</t>
        </is>
      </c>
      <c r="M3582" s="23" t="n">
        <v>349</v>
      </c>
      <c r="N3582" s="23" t="n">
        <v>2015</v>
      </c>
      <c r="O3582" s="23" t="n">
        <v>362</v>
      </c>
      <c r="P3582" s="23" t="n"/>
      <c r="Q3582" s="23" t="n"/>
      <c r="R3582" s="25" t="n"/>
      <c r="S3582" s="26">
        <f>HYPERLINK("http://www.cnpol.ru/covers/15795.jpg","фото на сайте")</f>
        <v/>
      </c>
    </row>
    <row r="3583" ht="50.1" customHeight="1" s="3">
      <c r="A3583" s="23" t="n"/>
      <c r="B3583" s="24" t="inlineStr">
        <is>
          <t>20943</t>
        </is>
      </c>
      <c r="C3583" s="23" t="inlineStr">
        <is>
          <t>ОИ ВИ</t>
        </is>
      </c>
      <c r="D3583" s="23" t="inlineStr">
        <is>
          <t>Веджвуд С.В.</t>
        </is>
      </c>
      <c r="E3583" s="23" t="inlineStr">
        <is>
          <t>Принц Вильгельм I Оранский. В борьбе за независимость Нидерландов от Испанской короны</t>
        </is>
      </c>
      <c r="F3583" s="23" t="inlineStr">
        <is>
          <t>        </t>
        </is>
      </c>
      <c r="G3583" s="23" t="n">
        <v>593</v>
      </c>
      <c r="H3583" s="23" t="n">
        <v>10</v>
      </c>
      <c r="I3583" s="23" t="n">
        <v>12</v>
      </c>
      <c r="J3583" s="23" t="inlineStr">
        <is>
          <t>978-5-9524-5744-7</t>
        </is>
      </c>
      <c r="K3583" s="23" t="inlineStr">
        <is>
          <t>84x108 1/32</t>
        </is>
      </c>
      <c r="L3583" s="23" t="inlineStr">
        <is>
          <t>тв</t>
        </is>
      </c>
      <c r="M3583" s="23" t="n">
        <v>351</v>
      </c>
      <c r="N3583" s="23" t="n">
        <v>2024</v>
      </c>
      <c r="O3583" s="23" t="n">
        <v>295</v>
      </c>
      <c r="P3583" s="23" t="n"/>
      <c r="Q3583" s="23" t="n"/>
      <c r="R3583" s="25" t="inlineStr">
        <is>
          <t>Вильгельм Оранский (1533—1584) стал истинным отцом нации, создателем Объединенных провинций, будущей Голландской республики. В борьбе за независимость от Испании доблестному Вильгельму удалось объединить представителей разных классов, религий и взглядов, вернуть своим подданным свободу и самоуважение. Книга британского историка С.В. Веджвуд — это не только детальное описание жизни первого штатгальтера Голландии и Зеландии от рождения до гибели от рук испанского наемника, но и достоверный портрет эпохи — периода политического, религиозного и экономического брожения, который кардинально изменил историю Европы Нового времени.</t>
        </is>
      </c>
      <c r="S3583" s="26">
        <f>HYPERLINK("http://www.cnpol.ru/covers/20943.jpg","фото на сайте")</f>
        <v/>
      </c>
    </row>
    <row r="3584" ht="50.1" customHeight="1" s="3">
      <c r="A3584" s="23" t="inlineStr">
        <is>
          <t>Д</t>
        </is>
      </c>
      <c r="B3584" s="24" t="inlineStr">
        <is>
          <t>21898</t>
        </is>
      </c>
      <c r="C3584" s="23" t="inlineStr">
        <is>
          <t>ОИ ВИ</t>
        </is>
      </c>
      <c r="D3584" s="23" t="inlineStr">
        <is>
          <t>Клаузевиц К. фон</t>
        </is>
      </c>
      <c r="E3584" s="23" t="inlineStr">
        <is>
          <t>Принципы ведения войны</t>
        </is>
      </c>
      <c r="F3584" s="23" t="inlineStr">
        <is>
          <t>        </t>
        </is>
      </c>
      <c r="G3584" s="23" t="n">
        <v>849</v>
      </c>
      <c r="H3584" s="23" t="n">
        <v>10</v>
      </c>
      <c r="I3584" s="23" t="n">
        <v>10</v>
      </c>
      <c r="J3584" s="23" t="inlineStr">
        <is>
          <t>978-5-227-11196-8</t>
        </is>
      </c>
      <c r="K3584" s="23" t="inlineStr">
        <is>
          <t>84x108 1/32</t>
        </is>
      </c>
      <c r="L3584" s="23" t="inlineStr">
        <is>
          <t>тв</t>
        </is>
      </c>
      <c r="M3584" s="23" t="n">
        <v>220</v>
      </c>
      <c r="N3584" s="23" t="n">
        <v>2026</v>
      </c>
      <c r="O3584" s="23" t="n">
        <v>284</v>
      </c>
      <c r="P3584" s="23" t="n"/>
      <c r="Q3584" s="23" t="n"/>
      <c r="R3584" s="25" t="inlineStr">
        <is>
          <t>В своей книге автор всесторонне рассматривает природу войны, подчеркивая решающее значение военного гения в исходе сражения. Четко и ясно излагая важность плана войны, взаимосвязь войны и политики, стратегию и тактику ведения войны, включая организацию боя, виды и способы наступления и обороны, Клаузевиц определяет и поясняет термины профессионального военного языка, что придает его книге характер превосходного справочного руководства. Отводя значительную часть книги оценке моральных факторов ведения войны, он подчеркивает необходимость таких качеств, как  мужество, отвага и самопожертвование, обращает внимание на важность армейского кодекса чести, боевого духа и общественного мнения.</t>
        </is>
      </c>
      <c r="S3584" s="26">
        <f>HYPERLINK("http://www.cnpol.ru/covers/21898.jpg","фото на сайте")</f>
        <v/>
      </c>
    </row>
    <row r="3585" ht="50.1" customHeight="1" s="3">
      <c r="A3585" s="23" t="n"/>
      <c r="B3585" s="24" t="inlineStr">
        <is>
          <t>20403</t>
        </is>
      </c>
      <c r="C3585" s="23" t="inlineStr">
        <is>
          <t>ОИ ВИ</t>
        </is>
      </c>
      <c r="D3585" s="23" t="inlineStr">
        <is>
          <t>Авалов З.Д.</t>
        </is>
      </c>
      <c r="E3585" s="23" t="inlineStr">
        <is>
          <t>Присоединение Грузии к России. История сближения полуфеодальной страны и могущественной империи. 1801</t>
        </is>
      </c>
      <c r="F3585" s="23" t="inlineStr">
        <is>
          <t>        </t>
        </is>
      </c>
      <c r="G3585" s="23" t="n">
        <v>835</v>
      </c>
      <c r="H3585" s="23" t="n">
        <v>10</v>
      </c>
      <c r="I3585" s="23" t="n">
        <v>14</v>
      </c>
      <c r="J3585" s="23" t="inlineStr">
        <is>
          <t>978-5-227-10152-5</t>
        </is>
      </c>
      <c r="K3585" s="23" t="inlineStr">
        <is>
          <t>84x108 1/32</t>
        </is>
      </c>
      <c r="L3585" s="23" t="inlineStr">
        <is>
          <t>тв</t>
        </is>
      </c>
      <c r="M3585" s="23" t="n">
        <v>223</v>
      </c>
      <c r="N3585" s="23" t="n">
        <v>2022</v>
      </c>
      <c r="O3585" s="23" t="n">
        <v>105</v>
      </c>
      <c r="P3585" s="23" t="n"/>
      <c r="Q3585" s="23" t="n"/>
      <c r="R3585" s="25" t="inlineStr">
        <is>
          <t>«Присоединение Грузии к России» – главный труд выдающегося грузинского историка, дипломата и политического деятеля князя Зураба Давидовича Авалова (Авалишвили). Автор имел целью – обрисовать процесс присоединения Грузии к огромной единоверной империи и его особенности, указать на некоторые условия, вызвавшие необходимость этого шага и на обстановку, в которой совершалось событие. Объединение не было и не могло быть безболезненным, по мнению Авалова, этому событию предшествовал долгий путь, на котором постепенно теряли самостоятельность отдельные грузинские царства и владения. Ученый считал, что Россия не имела ни экономических, ни стратегических интересов в этом акте, в то время как Грузия нуждалась в помощи и поддержке могущественной империи. «Так или иначе, присоединение Грузии к России было для первой большим шагом вперед, для второй – крайне ценным приобретением, повлекшим за собой ряд новых успехов».</t>
        </is>
      </c>
      <c r="S3585" s="26">
        <f>HYPERLINK("http://www.cnpol.ru/covers/20403.jpg","фото на сайте")</f>
        <v/>
      </c>
    </row>
    <row r="3586" ht="50.1" customHeight="1" s="3">
      <c r="A3586" s="23" t="n"/>
      <c r="B3586" s="24" t="inlineStr">
        <is>
          <t>18030</t>
        </is>
      </c>
      <c r="C3586" s="23" t="inlineStr">
        <is>
          <t>ОИ ВИ</t>
        </is>
      </c>
      <c r="D3586" s="23" t="inlineStr">
        <is>
          <t>Платонов С.Ф.</t>
        </is>
      </c>
      <c r="E3586" s="23" t="inlineStr">
        <is>
          <t>Провалы во внешней политике России. От Венского конгресса до Минских соглашений</t>
        </is>
      </c>
      <c r="F3586" s="23" t="inlineStr">
        <is>
          <t>        </t>
        </is>
      </c>
      <c r="G3586" s="23" t="n">
        <v>534</v>
      </c>
      <c r="H3586" s="23" t="n">
        <v>10</v>
      </c>
      <c r="I3586" s="23" t="n">
        <v>12</v>
      </c>
      <c r="J3586" s="23" t="inlineStr">
        <is>
          <t>978-5-227-07814-8</t>
        </is>
      </c>
      <c r="K3586" s="23" t="inlineStr">
        <is>
          <t>84x108 1/32</t>
        </is>
      </c>
      <c r="L3586" s="23" t="inlineStr">
        <is>
          <t>тв</t>
        </is>
      </c>
      <c r="M3586" s="23" t="n">
        <v>352</v>
      </c>
      <c r="N3586" s="23" t="n">
        <v>2018</v>
      </c>
      <c r="O3586" s="23" t="n">
        <v>284</v>
      </c>
      <c r="P3586" s="23" t="n"/>
      <c r="Q3586" s="23" t="n"/>
      <c r="R3586" s="25" t="n"/>
      <c r="S3586" s="26">
        <f>HYPERLINK("http://www.cnpol.ru/covers/18030.jpg","фото на сайте")</f>
        <v/>
      </c>
    </row>
    <row r="3587" ht="50.1" customHeight="1" s="3">
      <c r="A3587" s="23" t="n"/>
      <c r="B3587" s="24" t="inlineStr">
        <is>
          <t>14173</t>
        </is>
      </c>
      <c r="C3587" s="23" t="inlineStr">
        <is>
          <t>ОИ ВИ</t>
        </is>
      </c>
      <c r="D3587" s="23" t="inlineStr">
        <is>
          <t>Лайнбарджер П.М.Э.</t>
        </is>
      </c>
      <c r="E3587" s="23" t="inlineStr">
        <is>
          <t>Психологическая война. Теория и практика обработки массового сознания</t>
        </is>
      </c>
      <c r="F3587" s="23" t="inlineStr">
        <is>
          <t>        </t>
        </is>
      </c>
      <c r="G3587" s="23" t="n">
        <v>672</v>
      </c>
      <c r="H3587" s="23" t="n">
        <v>10</v>
      </c>
      <c r="I3587" s="23" t="n">
        <v>10</v>
      </c>
      <c r="J3587" s="23" t="inlineStr">
        <is>
          <t>978-5-9524-5069-1</t>
        </is>
      </c>
      <c r="K3587" s="23" t="inlineStr">
        <is>
          <t>84x108 1/32</t>
        </is>
      </c>
      <c r="L3587" s="23" t="inlineStr">
        <is>
          <t>тв</t>
        </is>
      </c>
      <c r="M3587" s="23" t="n">
        <v>445</v>
      </c>
      <c r="N3587" s="23" t="n">
        <v>2013</v>
      </c>
      <c r="O3587" s="23" t="n">
        <v>346</v>
      </c>
      <c r="P3587" s="23" t="n"/>
      <c r="Q3587" s="23" t="n"/>
      <c r="R3587" s="25" t="n"/>
      <c r="S3587" s="26">
        <f>HYPERLINK("http://www.cnpol.ru/covers/14173.jpg","фото на сайте")</f>
        <v/>
      </c>
    </row>
    <row r="3588" ht="50.1" customHeight="1" s="3">
      <c r="A3588" s="23" t="inlineStr">
        <is>
          <t>Д</t>
        </is>
      </c>
      <c r="B3588" s="24" t="inlineStr">
        <is>
          <t>21675</t>
        </is>
      </c>
      <c r="C3588" s="23" t="inlineStr">
        <is>
          <t>ОИ ВИ</t>
        </is>
      </c>
      <c r="D3588" s="23" t="inlineStr">
        <is>
          <t>Лайнбарджер П.М.Э.</t>
        </is>
      </c>
      <c r="E3588" s="23" t="inlineStr">
        <is>
          <t>Психологическая война. Теория и практика обработки массового сознания</t>
        </is>
      </c>
      <c r="F3588" s="23" t="inlineStr">
        <is>
          <t>        </t>
        </is>
      </c>
      <c r="G3588" s="27" t="n">
        <v>1231</v>
      </c>
      <c r="H3588" s="23" t="n">
        <v>10</v>
      </c>
      <c r="I3588" s="23" t="n">
        <v>5</v>
      </c>
      <c r="J3588" s="23" t="inlineStr">
        <is>
          <t>978-5-9524-6429-2</t>
        </is>
      </c>
      <c r="K3588" s="23" t="inlineStr">
        <is>
          <t>84x108 1/32</t>
        </is>
      </c>
      <c r="L3588" s="23" t="inlineStr">
        <is>
          <t>тв</t>
        </is>
      </c>
      <c r="M3588" s="23" t="n">
        <v>445</v>
      </c>
      <c r="N3588" s="23" t="n">
        <v>2025</v>
      </c>
      <c r="O3588" s="23" t="n">
        <v>346</v>
      </c>
      <c r="P3588" s="23" t="n"/>
      <c r="Q3588" s="23" t="n"/>
      <c r="R3588" s="25" t="inlineStr">
        <is>
          <t>Видный американский ученый-политолог и психолог, ведущий специалист по психологической войне, разведчик и писатель Пол Лайнбарджер в своем основополагающем труде обобщает опыт своей работы в качестве гражданского эксперта в пропагандистских учреждениях США, занятых ведением психологических войн. На основе опыта двух мировых войн и войны в Корее автор излагает взгляды на содержание, формы и методы подрывной пропаганды в борьбе с противником наряду с мерами военного, политического и экономического характера.</t>
        </is>
      </c>
      <c r="S3588" s="26">
        <f>HYPERLINK("http://www.cnpol.ru/covers/21675.jpg","фото на сайте")</f>
        <v/>
      </c>
    </row>
    <row r="3589" ht="50.1" customHeight="1" s="3">
      <c r="A3589" s="23" t="n"/>
      <c r="B3589" s="24" t="inlineStr">
        <is>
          <t>17191</t>
        </is>
      </c>
      <c r="C3589" s="23" t="inlineStr">
        <is>
          <t>ОИ ВИ</t>
        </is>
      </c>
      <c r="D3589" s="23" t="inlineStr">
        <is>
          <t>Кузнечевский В.Д.</t>
        </is>
      </c>
      <c r="E3589" s="23" t="inlineStr">
        <is>
          <t>Путин. Кадровая политика. Не стреляйте в пианиста: он предлагает вам лучшее из возможного</t>
        </is>
      </c>
      <c r="F3589" s="23" t="inlineStr">
        <is>
          <t>        </t>
        </is>
      </c>
      <c r="G3589" s="23" t="n">
        <v>468</v>
      </c>
      <c r="H3589" s="23" t="n">
        <v>10</v>
      </c>
      <c r="I3589" s="23" t="n">
        <v>22</v>
      </c>
      <c r="J3589" s="23" t="inlineStr">
        <is>
          <t>978-5-227-06608-4</t>
        </is>
      </c>
      <c r="K3589" s="23" t="inlineStr">
        <is>
          <t>84x108 1/32</t>
        </is>
      </c>
      <c r="L3589" s="23" t="inlineStr">
        <is>
          <t>тв</t>
        </is>
      </c>
      <c r="M3589" s="23" t="n">
        <v>224</v>
      </c>
      <c r="N3589" s="23" t="n">
        <v>2016</v>
      </c>
      <c r="O3589" s="23" t="n">
        <v>260</v>
      </c>
      <c r="P3589" s="23" t="n"/>
      <c r="Q3589" s="23" t="n"/>
      <c r="R3589" s="25" t="n"/>
      <c r="S3589" s="26">
        <f>HYPERLINK("http://www.cnpol.ru/covers/17191.jpg","фото на сайте")</f>
        <v/>
      </c>
    </row>
    <row r="3590" ht="50.1" customHeight="1" s="3">
      <c r="A3590" s="23" t="n"/>
      <c r="B3590" s="24" t="inlineStr">
        <is>
          <t>19689</t>
        </is>
      </c>
      <c r="C3590" s="23" t="inlineStr">
        <is>
          <t>ОИ ВИ</t>
        </is>
      </c>
      <c r="D3590" s="23" t="inlineStr">
        <is>
          <t>Рокфеллер Д.Д.</t>
        </is>
      </c>
      <c r="E3590" s="23" t="inlineStr">
        <is>
          <t>Путь к богатству. Мемуары первого миллиардера (оф. 2)</t>
        </is>
      </c>
      <c r="F3590" s="23" t="inlineStr">
        <is>
          <t>        </t>
        </is>
      </c>
      <c r="G3590" s="23" t="n">
        <v>593</v>
      </c>
      <c r="H3590" s="23" t="n">
        <v>10</v>
      </c>
      <c r="I3590" s="23" t="n">
        <v>14</v>
      </c>
      <c r="J3590" s="23" t="inlineStr">
        <is>
          <t>978-5-227-09517-6</t>
        </is>
      </c>
      <c r="K3590" s="23" t="inlineStr">
        <is>
          <t>84x108 1/32</t>
        </is>
      </c>
      <c r="L3590" s="23" t="inlineStr">
        <is>
          <t>тв</t>
        </is>
      </c>
      <c r="M3590" s="23" t="n">
        <v>224</v>
      </c>
      <c r="N3590" s="23" t="n">
        <v>2021</v>
      </c>
      <c r="O3590" s="23" t="n">
        <v>220</v>
      </c>
      <c r="P3590" s="23" t="n"/>
      <c r="Q3590" s="23" t="n"/>
      <c r="R3590" s="25" t="n"/>
      <c r="S3590" s="26">
        <f>HYPERLINK("http://www.cnpol.ru/covers/19689.jpg","фото на сайте")</f>
        <v/>
      </c>
    </row>
    <row r="3591" ht="50.1" customHeight="1" s="3">
      <c r="A3591" s="23" t="inlineStr">
        <is>
          <t>Д</t>
        </is>
      </c>
      <c r="B3591" s="24" t="inlineStr">
        <is>
          <t>21810</t>
        </is>
      </c>
      <c r="C3591" s="23" t="inlineStr">
        <is>
          <t>ОИ ВИ</t>
        </is>
      </c>
      <c r="D3591" s="23" t="inlineStr">
        <is>
          <t>Ронге М.</t>
        </is>
      </c>
      <c r="E3591" s="23" t="inlineStr">
        <is>
          <t>Разведка и контрразведка. Практика и техника работы разведывательных органов</t>
        </is>
      </c>
      <c r="F3591" s="23" t="inlineStr">
        <is>
          <t>        </t>
        </is>
      </c>
      <c r="G3591" s="27" t="n">
        <v>1218</v>
      </c>
      <c r="H3591" s="23" t="n">
        <v>10</v>
      </c>
      <c r="I3591" s="23" t="n">
        <v>6</v>
      </c>
      <c r="J3591" s="23" t="inlineStr">
        <is>
          <t>978-5-9524-6521-3</t>
        </is>
      </c>
      <c r="K3591" s="23" t="inlineStr">
        <is>
          <t>84x108 1/32</t>
        </is>
      </c>
      <c r="L3591" s="23" t="inlineStr">
        <is>
          <t>тв</t>
        </is>
      </c>
      <c r="M3591" s="23" t="n">
        <v>415</v>
      </c>
      <c r="N3591" s="23" t="n">
        <v>2025</v>
      </c>
      <c r="O3591" s="23" t="n">
        <v>466</v>
      </c>
      <c r="P3591" s="23" t="n"/>
      <c r="Q3591" s="23" t="n"/>
      <c r="R3591" s="25" t="inlineStr">
        <is>
          <t>"Мемуары Макса Ронге, австрийского офицера, последнего руководителя разведывательного управления Генерального штаба австро-венгерской армии, профессионального разведчика высокого класса, представляют собой уникальный труд по истории международного шпионажа. Используя огромный фактический материал, автор объясняет цели и задачи шпионажа, знакомит с теорией и практикой шпионской диверсионной деятельности разведывательных органов, раскрывает их структуру и технологию повседневной службы. Наряду с описанием и анализом военных и политических событий Ронге представляет наиболее яркие эпизоды работы австрийской контрразведки, такие как разоблачение Велькерлинга, Редля и многие другие.
Карты, схемы и фотоматериалы дополняют и поясняют повествование."</t>
        </is>
      </c>
      <c r="S3591" s="26">
        <f>HYPERLINK("http://www.cnpol.ru/covers/21810.jpg","фото на сайте")</f>
        <v/>
      </c>
    </row>
    <row r="3592" ht="50.1" customHeight="1" s="3">
      <c r="A3592" s="23" t="inlineStr">
        <is>
          <t>Д</t>
        </is>
      </c>
      <c r="B3592" s="24" t="inlineStr">
        <is>
          <t>21150</t>
        </is>
      </c>
      <c r="C3592" s="23" t="inlineStr">
        <is>
          <t>ОИ ВИ</t>
        </is>
      </c>
      <c r="D3592" s="23" t="inlineStr">
        <is>
          <t>Боттеро Ж.</t>
        </is>
      </c>
      <c r="E3592" s="23" t="inlineStr">
        <is>
          <t>Ранние цивилизации Ближнего востока. История возникновения и развития древнейших государств на земле</t>
        </is>
      </c>
      <c r="F3592" s="23" t="inlineStr">
        <is>
          <t>        </t>
        </is>
      </c>
      <c r="G3592" s="27" t="n">
        <v>1286</v>
      </c>
      <c r="H3592" s="23" t="n">
        <v>10</v>
      </c>
      <c r="I3592" s="23" t="n">
        <v>8</v>
      </c>
      <c r="J3592" s="23" t="inlineStr">
        <is>
          <t>978-5-9524-6146-8</t>
        </is>
      </c>
      <c r="K3592" s="23" t="inlineStr">
        <is>
          <t>84x108 1/32</t>
        </is>
      </c>
      <c r="L3592" s="23" t="inlineStr">
        <is>
          <t>тв</t>
        </is>
      </c>
      <c r="M3592" s="23" t="n">
        <v>447</v>
      </c>
      <c r="N3592" s="23" t="n">
        <v>2024</v>
      </c>
      <c r="O3592" s="23" t="n">
        <v>510</v>
      </c>
      <c r="P3592" s="23" t="n"/>
      <c r="Q3592" s="23" t="n"/>
      <c r="R3592" s="25" t="inlineStr">
        <is>
          <t>Настоящая книга, написанная выдающимися учеными из Франции и Германии, подробно рассматривает один из ключевых периодов истории человечества, начинающийся с первого появления цивилизации в Египте и Месопотамии. Покрывая период от 10 000 до 1500 года до н. э., авторы освещают предысторию Ближнего Востока, следят за подъемом Шумерского, Аккадского и Вавилонского царств в Месопотамии и за их отношением с соседями, описывают историю Древнего Египта во время Древнего и Среднего царств. Здесь охвачены политические события, социальные и экономические предпосылки развития истории, а также ее интеллектуальные направления.</t>
        </is>
      </c>
      <c r="S3592" s="26">
        <f>HYPERLINK("http://www.cnpol.ru/covers/21150.jpg","фото на сайте")</f>
        <v/>
      </c>
    </row>
    <row r="3593" ht="50.1" customHeight="1" s="3">
      <c r="A3593" s="23" t="n"/>
      <c r="B3593" s="24" t="inlineStr">
        <is>
          <t>13599</t>
        </is>
      </c>
      <c r="C3593" s="23" t="inlineStr">
        <is>
          <t>ОИ ВИ</t>
        </is>
      </c>
      <c r="D3593" s="23" t="inlineStr">
        <is>
          <t>Чайлд Г.</t>
        </is>
      </c>
      <c r="E3593" s="23" t="inlineStr">
        <is>
          <t>Расцвет и падение древних цивилизаций</t>
        </is>
      </c>
      <c r="F3593" s="23" t="inlineStr">
        <is>
          <t>        </t>
        </is>
      </c>
      <c r="G3593" s="23" t="n">
        <v>574</v>
      </c>
      <c r="H3593" s="23" t="n">
        <v>10</v>
      </c>
      <c r="I3593" s="23" t="n">
        <v>10</v>
      </c>
      <c r="J3593" s="23" t="inlineStr">
        <is>
          <t>978-5-9524-5000-4</t>
        </is>
      </c>
      <c r="K3593" s="23" t="inlineStr">
        <is>
          <t>84x108 1/32</t>
        </is>
      </c>
      <c r="L3593" s="23" t="inlineStr">
        <is>
          <t>тв</t>
        </is>
      </c>
      <c r="M3593" s="23" t="n">
        <v>383</v>
      </c>
      <c r="N3593" s="23" t="n">
        <v>2012</v>
      </c>
      <c r="O3593" s="23" t="n">
        <v>318</v>
      </c>
      <c r="P3593" s="23" t="n"/>
      <c r="Q3593" s="23" t="n"/>
      <c r="R3593" s="25" t="n"/>
      <c r="S3593" s="26">
        <f>HYPERLINK("http://www.cnpol.ru/covers/13599.jpg","фото на сайте")</f>
        <v/>
      </c>
    </row>
    <row r="3594" ht="50.1" customHeight="1" s="3">
      <c r="A3594" s="23" t="inlineStr">
        <is>
          <t>Н</t>
        </is>
      </c>
      <c r="B3594" s="24" t="inlineStr">
        <is>
          <t>21412</t>
        </is>
      </c>
      <c r="C3594" s="23" t="inlineStr">
        <is>
          <t>ОИ ВИ</t>
        </is>
      </c>
      <c r="D3594" s="23" t="inlineStr">
        <is>
          <t>Чайлд Г.</t>
        </is>
      </c>
      <c r="E3594" s="23" t="inlineStr">
        <is>
          <t>Расцвет и падение древних цивилизаций. Далекое прошлое человечества</t>
        </is>
      </c>
      <c r="F3594" s="23" t="inlineStr">
        <is>
          <t>        </t>
        </is>
      </c>
      <c r="G3594" s="27" t="n">
        <v>1117</v>
      </c>
      <c r="H3594" s="23" t="n">
        <v>10</v>
      </c>
      <c r="I3594" s="23" t="n">
        <v>10</v>
      </c>
      <c r="J3594" s="23" t="inlineStr">
        <is>
          <t>978-5-9524-6259-5</t>
        </is>
      </c>
      <c r="K3594" s="23" t="inlineStr">
        <is>
          <t>84x108 1/32</t>
        </is>
      </c>
      <c r="L3594" s="23" t="inlineStr">
        <is>
          <t>тв</t>
        </is>
      </c>
      <c r="M3594" s="23" t="n">
        <v>383</v>
      </c>
      <c r="N3594" s="23" t="n">
        <v>2025</v>
      </c>
      <c r="O3594" s="23" t="n">
        <v>299</v>
      </c>
      <c r="P3594" s="23" t="n"/>
      <c r="Q3594" s="23" t="n"/>
      <c r="R3594" s="25" t="inlineStr">
        <is>
          <t>Крупнейший специалист по древней истории профессор Гордон Чайлд в этой наиболее значительной своей работе предлагает оригинальную концепцию ранней истории человечества. Она основана на европейской точке зрения, согласно которой «главная традиция», оказавшая влияние на эллинистическое Средиземноморье, связана с Египтом и Месопотамией. В соответствии с намерениями и поставленными задачами Чайлд открывает свою книгу периодом каменного века и заканчивает упадком Римской империи. Автор ярко описывает жизнь первобытных народов периода палеолита, мезолита и неолита, прослеживает подъем культур железного века вплоть до достижения кульминации в результате объединения значительной части Европы благодаря деяниям Александра Великого. Завершается рассказ главой, содержащей точку зрения автора на закат и падение Древнего мира.</t>
        </is>
      </c>
      <c r="S3594" s="26">
        <f>HYPERLINK("http://www.cnpol.ru/covers/21412.jpg","фото на сайте")</f>
        <v/>
      </c>
    </row>
    <row r="3595" ht="50.1" customHeight="1" s="3">
      <c r="A3595" s="23" t="n"/>
      <c r="B3595" s="24" t="inlineStr">
        <is>
          <t>20236</t>
        </is>
      </c>
      <c r="C3595" s="23" t="inlineStr">
        <is>
          <t>ОИ ВИ</t>
        </is>
      </c>
      <c r="D3595" s="23" t="inlineStr">
        <is>
          <t>Хокинс Дж.</t>
        </is>
      </c>
      <c r="E3595" s="23" t="inlineStr">
        <is>
          <t>Расшифрованный Стоунхендж. Обсерватория каменного века</t>
        </is>
      </c>
      <c r="F3595" s="23" t="inlineStr">
        <is>
          <t>        </t>
        </is>
      </c>
      <c r="G3595" s="23" t="n">
        <v>870</v>
      </c>
      <c r="H3595" s="23" t="n">
        <v>10</v>
      </c>
      <c r="I3595" s="23" t="n">
        <v>14</v>
      </c>
      <c r="J3595" s="23" t="inlineStr">
        <is>
          <t>978-5-9524-5704-1</t>
        </is>
      </c>
      <c r="K3595" s="23" t="inlineStr">
        <is>
          <t>84x108 1/32</t>
        </is>
      </c>
      <c r="L3595" s="23" t="inlineStr">
        <is>
          <t>тв</t>
        </is>
      </c>
      <c r="M3595" s="23" t="n">
        <v>255</v>
      </c>
      <c r="N3595" s="23" t="n">
        <v>2022</v>
      </c>
      <c r="O3595" s="23" t="n">
        <v>267</v>
      </c>
      <c r="P3595" s="23" t="n"/>
      <c r="Q3595" s="23" t="n"/>
      <c r="R3595" s="25" t="n"/>
      <c r="S3595" s="26">
        <f>HYPERLINK("http://www.cnpol.ru/covers/20236.jpg","фото на сайте")</f>
        <v/>
      </c>
    </row>
    <row r="3596" ht="50.1" customHeight="1" s="3">
      <c r="A3596" s="23" t="inlineStr">
        <is>
          <t>Д</t>
        </is>
      </c>
      <c r="B3596" s="24" t="inlineStr">
        <is>
          <t>22091</t>
        </is>
      </c>
      <c r="C3596" s="23" t="inlineStr">
        <is>
          <t>ОИ ВИ</t>
        </is>
      </c>
      <c r="D3596" s="23" t="inlineStr">
        <is>
          <t>Кантакузина Ю.Ф.</t>
        </is>
      </c>
      <c r="E3596" s="23" t="inlineStr">
        <is>
          <t>Революционные дни. Воспоминания русской княгини, внучки президента США. 1876—1918</t>
        </is>
      </c>
      <c r="F3596" s="23" t="inlineStr">
        <is>
          <t>        </t>
        </is>
      </c>
      <c r="G3596" s="27" t="n">
        <v>1004</v>
      </c>
      <c r="H3596" s="23" t="n">
        <v>10</v>
      </c>
      <c r="I3596" s="23" t="n">
        <v>10</v>
      </c>
      <c r="J3596" s="23" t="inlineStr">
        <is>
          <t>978-5-9524-6678-4</t>
        </is>
      </c>
      <c r="K3596" s="23" t="inlineStr">
        <is>
          <t>84x108 1/32</t>
        </is>
      </c>
      <c r="L3596" s="23" t="inlineStr">
        <is>
          <t>тв</t>
        </is>
      </c>
      <c r="M3596" s="23" t="n">
        <v>287</v>
      </c>
      <c r="N3596" s="23" t="n">
        <v>2026</v>
      </c>
      <c r="O3596" s="23" t="n">
        <v>360</v>
      </c>
      <c r="P3596" s="23" t="n"/>
      <c r="Q3596" s="23" t="n"/>
      <c r="R3596" s="25" t="inlineStr">
        <is>
          <t>Внучка героя Гражданской войны в США, легендарного генерала Улисса Гранта, дочь генерал-майора Фредерика Гранта, Юлия вышла замуж за потомка знаменитого рода византийских императоров Михаила Кантакузина. Даже самые тяжелые революционные дни и выпавшие на ее долю испытания княгиня встречала с присущей ей деятельной энергией. Внимательный взгляд Юлии зафиксировал важные, но никем ранее не отмеченные черты меняющегося облика страны, которую она успела полюбить. В начале 1918 года после множества приключений княгине с мужем удалось выбраться из России.</t>
        </is>
      </c>
      <c r="S3596" s="26">
        <f>HYPERLINK("http://www.cnpol.ru/covers/22091.jpg","фото на сайте")</f>
        <v/>
      </c>
    </row>
    <row r="3597" ht="50.1" customHeight="1" s="3">
      <c r="A3597" s="23" t="n"/>
      <c r="B3597" s="24" t="inlineStr">
        <is>
          <t>20410</t>
        </is>
      </c>
      <c r="C3597" s="23" t="inlineStr">
        <is>
          <t>ОИ ВИ</t>
        </is>
      </c>
      <c r="D3597" s="23" t="inlineStr">
        <is>
          <t>Видеман А.</t>
        </is>
      </c>
      <c r="E3597" s="23" t="inlineStr">
        <is>
          <t>Религия древних египтян</t>
        </is>
      </c>
      <c r="F3597" s="23" t="inlineStr">
        <is>
          <t>        </t>
        </is>
      </c>
      <c r="G3597" s="23" t="n">
        <v>888</v>
      </c>
      <c r="H3597" s="23" t="n">
        <v>10</v>
      </c>
      <c r="I3597" s="23" t="n">
        <v>16</v>
      </c>
      <c r="J3597" s="23" t="inlineStr">
        <is>
          <t>978-5-9524-5776-8</t>
        </is>
      </c>
      <c r="K3597" s="23" t="inlineStr">
        <is>
          <t>84x108 1/32</t>
        </is>
      </c>
      <c r="L3597" s="23" t="inlineStr">
        <is>
          <t>тв</t>
        </is>
      </c>
      <c r="M3597" s="23" t="n">
        <v>255</v>
      </c>
      <c r="N3597" s="23" t="n">
        <v>2022</v>
      </c>
      <c r="O3597" s="23" t="n">
        <v>270</v>
      </c>
      <c r="P3597" s="23" t="n"/>
      <c r="Q3597" s="23" t="n"/>
      <c r="R3597" s="25" t="inlineStr">
        <is>
          <t>В своей книге известный немецкий египтолог Альфред Видеман рассматривает одну из самых загадочных религий в мире. В Египте религия главенствовала над всеми сферами жизни. Каждый предмет обихода египтян был так или иначе связан с поклонением высшим силам. Древние египтяне верили в бессмертие души. Храмы и гробницы расписывали сценами вечной загробной жизни, отсюда их название — «дома вечности». Крест с петлей — анкх — символизировал будущую жизнь с тремя ее атрибутами: мир, блаженство и безмятежность. Из Древнего Египта дошли до нас отголоски различных ритуалов посвящения в тайные знания. Автор подробнейшим образом анализирует их основные составляющие: учение о бессмертии, культ солнца, поклонение животным, а также толкование снов, магия и колдовство.</t>
        </is>
      </c>
      <c r="S3597" s="26">
        <f>HYPERLINK("http://www.cnpol.ru/covers/20410.jpg","фото на сайте")</f>
        <v/>
      </c>
    </row>
    <row r="3598" ht="50.1" customHeight="1" s="3">
      <c r="A3598" s="23" t="inlineStr">
        <is>
          <t>Н</t>
        </is>
      </c>
      <c r="B3598" s="24" t="inlineStr">
        <is>
          <t>21113</t>
        </is>
      </c>
      <c r="C3598" s="23" t="inlineStr">
        <is>
          <t>ОИ ВИ</t>
        </is>
      </c>
      <c r="D3598" s="23" t="inlineStr">
        <is>
          <t>Маккалох Джон Арнотт</t>
        </is>
      </c>
      <c r="E3598" s="23" t="inlineStr">
        <is>
          <t>Религия древних кельтов. Магические обряды и языческие культы самого загадочного народа Европы</t>
        </is>
      </c>
      <c r="F3598" s="23" t="inlineStr">
        <is>
          <t>        </t>
        </is>
      </c>
      <c r="G3598" s="27" t="n">
        <v>1031</v>
      </c>
      <c r="H3598" s="23" t="n">
        <v>10</v>
      </c>
      <c r="I3598" s="23" t="n">
        <v>12</v>
      </c>
      <c r="J3598" s="23" t="inlineStr">
        <is>
          <t>978-5-9524-5989-2</t>
        </is>
      </c>
      <c r="K3598" s="23" t="inlineStr">
        <is>
          <t>84x108 1/32</t>
        </is>
      </c>
      <c r="L3598" s="23" t="inlineStr">
        <is>
          <t>тв</t>
        </is>
      </c>
      <c r="M3598" s="23" t="n">
        <v>334</v>
      </c>
      <c r="N3598" s="23" t="n">
        <v>2024</v>
      </c>
      <c r="O3598" s="23" t="n">
        <v>383</v>
      </c>
      <c r="P3598" s="23" t="n"/>
      <c r="Q3598" s="23" t="n"/>
      <c r="R3598" s="25" t="inlineStr">
        <is>
          <t>Джон Маккалох исследует историю, культуру, общественный строй и военное искусство древних кельтов в аспекте воссоздания внутреннего уклада жизни этого самого таинственного народа Европы. На основе огромного исторического материала, обзора исторических источников, версий и гипотез современных ученых автор ярко и образно рисует единство черт, создающих особенность верований кельтов.</t>
        </is>
      </c>
      <c r="S3598" s="26">
        <f>HYPERLINK("http://www.cnpol.ru/covers/21113.jpg","фото на сайте")</f>
        <v/>
      </c>
    </row>
    <row r="3599" ht="50.1" customHeight="1" s="3">
      <c r="A3599" s="23" t="inlineStr">
        <is>
          <t>Д</t>
        </is>
      </c>
      <c r="B3599" s="24" t="inlineStr">
        <is>
          <t>21255</t>
        </is>
      </c>
      <c r="C3599" s="23" t="inlineStr">
        <is>
          <t>ОИ ВИ</t>
        </is>
      </c>
      <c r="D3599" s="23" t="inlineStr">
        <is>
          <t>Лиддел-Гарт Б.Г.</t>
        </is>
      </c>
      <c r="E3599" s="23" t="inlineStr">
        <is>
          <t>Решающие войны в истории. Развитие военного искусства от сражений в Древней Греции до Первой мировой войны</t>
        </is>
      </c>
      <c r="F3599" s="23" t="inlineStr">
        <is>
          <t>        </t>
        </is>
      </c>
      <c r="G3599" s="23" t="n">
        <v>936</v>
      </c>
      <c r="H3599" s="23" t="n">
        <v>10</v>
      </c>
      <c r="I3599" s="23" t="n">
        <v>14</v>
      </c>
      <c r="J3599" s="23" t="inlineStr">
        <is>
          <t>978-5-9524-6208-3</t>
        </is>
      </c>
      <c r="K3599" s="23" t="inlineStr">
        <is>
          <t>84x108 1/32</t>
        </is>
      </c>
      <c r="L3599" s="23" t="inlineStr">
        <is>
          <t>тв</t>
        </is>
      </c>
      <c r="M3599" s="23" t="n">
        <v>287</v>
      </c>
      <c r="N3599" s="23" t="n">
        <v>2024</v>
      </c>
      <c r="O3599" s="23" t="n">
        <v>270</v>
      </c>
      <c r="P3599" s="23" t="n"/>
      <c r="Q3599" s="23" t="n"/>
      <c r="R3599" s="25" t="inlineStr">
        <is>
          <t>Английский военный историк и теоретик капитан Бэзил Генри Лиддел-Гарт, будучи редактором энциклопедии «Британника» и вынужденно копаясь в различных периодах военной истории, пришел к выводу, что решающие результаты в какой бы то ни было кампании достигались только в том случае, если действия полководцев были противоположны ожиданиям противника, «непрямыми», как он их назвал. Его стратегия «долгого пути вокруг», поиск верной военной доктрины исследуются в настоящей книге на примере войн, кардинально повлиявших на развитие мировой истории.</t>
        </is>
      </c>
      <c r="S3599" s="26">
        <f>HYPERLINK("http://www.cnpol.ru/covers/21255.jpg","фото на сайте")</f>
        <v/>
      </c>
    </row>
    <row r="3600" ht="50.1" customHeight="1" s="3">
      <c r="A3600" s="23" t="inlineStr">
        <is>
          <t>Н</t>
        </is>
      </c>
      <c r="B3600" s="24" t="inlineStr">
        <is>
          <t>21179</t>
        </is>
      </c>
      <c r="C3600" s="23" t="inlineStr">
        <is>
          <t>ОИ ВИ</t>
        </is>
      </c>
      <c r="D3600" s="23" t="inlineStr">
        <is>
          <t>Кеннан Д.</t>
        </is>
      </c>
      <c r="E3600" s="23" t="inlineStr">
        <is>
          <t>Решение об интервенции. Советско-американские отношения, 1918–1920</t>
        </is>
      </c>
      <c r="F3600" s="23" t="inlineStr">
        <is>
          <t>        </t>
        </is>
      </c>
      <c r="G3600" s="23" t="n">
        <v>647</v>
      </c>
      <c r="H3600" s="23" t="n">
        <v>10</v>
      </c>
      <c r="I3600" s="23" t="n">
        <v>8</v>
      </c>
      <c r="J3600" s="23" t="inlineStr">
        <is>
          <t>978-5-9524-6131-4</t>
        </is>
      </c>
      <c r="K3600" s="23" t="inlineStr">
        <is>
          <t>84x108 1/32</t>
        </is>
      </c>
      <c r="L3600" s="23" t="inlineStr">
        <is>
          <t>тв</t>
        </is>
      </c>
      <c r="M3600" s="23" t="n">
        <v>511</v>
      </c>
      <c r="N3600" s="23" t="n">
        <v>2024</v>
      </c>
      <c r="O3600" s="23" t="n">
        <v>396</v>
      </c>
      <c r="P3600" s="23" t="n"/>
      <c r="Q3600" s="23" t="n"/>
      <c r="R3600" s="25" t="inlineStr">
        <is>
          <t>В книге американского историка и политолога Джорджа Кеннана всесторонне рассмотрены причины военного вторжения США и их союзников в Советскую Россию и проанализированы последствия рискованных дипломатических маневров, в результате которых усугубилось противостояние двух великих держав. Автор детально воссоздает события 1918—1920 годов: высадку британских морских пехотинцев на Севере России, восстание Чехословацкого корпуса, оккупацию японцами Дальнего Востока и Забайкалья, в результате которых правительством В. Вильсона было принято решение о вмешательстве и отправке войск в Сибирь._x000D_
События, предшествующие иностранной интервенции, описаны в книге Дж. Кеннана «Россия выходит из войны».</t>
        </is>
      </c>
      <c r="S3600" s="26">
        <f>HYPERLINK("http://www.cnpol.ru/covers/21179.jpg","фото на сайте")</f>
        <v/>
      </c>
    </row>
    <row r="3601" ht="50.1" customHeight="1" s="3">
      <c r="A3601" s="23" t="inlineStr">
        <is>
          <t>Н</t>
        </is>
      </c>
      <c r="B3601" s="24" t="inlineStr">
        <is>
          <t>21746</t>
        </is>
      </c>
      <c r="C3601" s="23" t="inlineStr">
        <is>
          <t>ОИ ВИ</t>
        </is>
      </c>
      <c r="D3601" s="23" t="inlineStr">
        <is>
          <t>Мертц Р., Мертц Б.</t>
        </is>
      </c>
      <c r="E3601" s="23" t="inlineStr">
        <is>
          <t>Рим. Две тысячи лет истории</t>
        </is>
      </c>
      <c r="F3601" s="23" t="inlineStr">
        <is>
          <t>        </t>
        </is>
      </c>
      <c r="G3601" s="27" t="n">
        <v>1084</v>
      </c>
      <c r="H3601" s="23" t="n">
        <v>10</v>
      </c>
      <c r="I3601" s="23" t="n">
        <v>5</v>
      </c>
      <c r="J3601" s="23" t="inlineStr">
        <is>
          <t>978-5-9524-6260-1</t>
        </is>
      </c>
      <c r="K3601" s="23" t="inlineStr">
        <is>
          <t>84x108 1/32</t>
        </is>
      </c>
      <c r="L3601" s="23" t="inlineStr">
        <is>
          <t>тв</t>
        </is>
      </c>
      <c r="M3601" s="23" t="n">
        <v>351</v>
      </c>
      <c r="N3601" s="23" t="n">
        <v>2025</v>
      </c>
      <c r="O3601" s="23" t="n">
        <v>401</v>
      </c>
      <c r="P3601" s="23" t="n"/>
      <c r="Q3601" s="23" t="n"/>
      <c r="R3601" s="25" t="inlineStr">
        <is>
          <t>Книга Ричарда и Барбары Мертц способна удовлетворить любопытство самого взыскательного путешественника и любителя истории. С ее помощью можно разобраться в хитросплетении улиц Рима, познакомиться со всеми основными достопримечательностями, окунуться в мир его культурных традиций и совершить экскурс в удивительное и богатое событиями прошлое нынешней столицы Италии и убедиться в том, что все дороги действительно ведут в этот Вечный город.</t>
        </is>
      </c>
      <c r="S3601" s="26">
        <f>HYPERLINK("http://www.cnpol.ru/covers/21746.jpg","фото на сайте")</f>
        <v/>
      </c>
    </row>
    <row r="3602" ht="50.1" customHeight="1" s="3">
      <c r="A3602" s="23" t="inlineStr">
        <is>
          <t>Н</t>
        </is>
      </c>
      <c r="B3602" s="24" t="inlineStr">
        <is>
          <t>21917</t>
        </is>
      </c>
      <c r="C3602" s="23" t="inlineStr">
        <is>
          <t>ОИ ВИ</t>
        </is>
      </c>
      <c r="D3602" s="23" t="inlineStr">
        <is>
          <t>Пикар Ж.Ш.</t>
        </is>
      </c>
      <c r="E3602" s="23" t="inlineStr">
        <is>
          <t>Римская Африка. Процветающая провинция великой империи на руинах Карфагена</t>
        </is>
      </c>
      <c r="F3602" s="23" t="inlineStr">
        <is>
          <t>        </t>
        </is>
      </c>
      <c r="G3602" s="23" t="n">
        <v>633</v>
      </c>
      <c r="H3602" s="23" t="n">
        <v>10</v>
      </c>
      <c r="I3602" s="23" t="n">
        <v>10</v>
      </c>
      <c r="J3602" s="23" t="inlineStr">
        <is>
          <t>978-5-9524-6355-4</t>
        </is>
      </c>
      <c r="K3602" s="23" t="inlineStr">
        <is>
          <t>84x108 1/32</t>
        </is>
      </c>
      <c r="L3602" s="23" t="inlineStr">
        <is>
          <t>тв</t>
        </is>
      </c>
      <c r="M3602" s="23" t="n">
        <v>351</v>
      </c>
      <c r="N3602" s="23" t="n">
        <v>2026</v>
      </c>
      <c r="O3602" s="23" t="n">
        <v>313</v>
      </c>
      <c r="P3602" s="23" t="n"/>
      <c r="Q3602" s="23" t="n"/>
      <c r="R3602" s="25" t="inlineStr">
        <is>
          <t>Французский историк и археолог, специалист по античной Северной Африке Жильбер Шарль-Пикар посвятил свой труд провинции Древнего Рима, занимавшей территорию бывшего Карфагена и современного северного Туниса. В результате 15 лет раскопок в Римской Африке ученый собрал и изучил предметы цивилизации того времени и составил представление об образе жизни представителей ее среды, внесших свой вклад в развитие человечества. Автор описывает быт разных слоев общества в городах и на периферии, изучает проблемы расовых, религиозных и социальных противоречий, касается нравов горожан, мелочей их быта, искусства, образования и в целом экономических вопросов населения.</t>
        </is>
      </c>
      <c r="S3602" s="26">
        <f>HYPERLINK("http://www.cnpol.ru/covers/21917.jpg","фото на сайте")</f>
        <v/>
      </c>
    </row>
    <row r="3603" ht="50.1" customHeight="1" s="3">
      <c r="A3603" s="23" t="inlineStr">
        <is>
          <t>Н</t>
        </is>
      </c>
      <c r="B3603" s="24" t="inlineStr">
        <is>
          <t>21264</t>
        </is>
      </c>
      <c r="C3603" s="23" t="inlineStr">
        <is>
          <t>ОИ ВИ</t>
        </is>
      </c>
      <c r="D3603" s="23" t="inlineStr">
        <is>
          <t>Мэхэн А.Т.</t>
        </is>
      </c>
      <c r="E3603" s="23" t="inlineStr">
        <is>
          <t>Роль морских сил в мировой истории. Противостояние флотов в XVII—XVIII веках</t>
        </is>
      </c>
      <c r="F3603" s="23" t="inlineStr">
        <is>
          <t>        </t>
        </is>
      </c>
      <c r="G3603" s="27" t="n">
        <v>1533</v>
      </c>
      <c r="H3603" s="23" t="n">
        <v>10</v>
      </c>
      <c r="I3603" s="23" t="n">
        <v>6</v>
      </c>
      <c r="J3603" s="23" t="inlineStr">
        <is>
          <t>978-5-9524-5956-4</t>
        </is>
      </c>
      <c r="K3603" s="23" t="inlineStr">
        <is>
          <t>84x108 1/32</t>
        </is>
      </c>
      <c r="L3603" s="23" t="inlineStr">
        <is>
          <t>тв</t>
        </is>
      </c>
      <c r="M3603" s="23" t="n">
        <v>606</v>
      </c>
      <c r="N3603" s="23" t="n">
        <v>2024</v>
      </c>
      <c r="O3603" s="23" t="n">
        <v>401</v>
      </c>
      <c r="P3603" s="23" t="n"/>
      <c r="Q3603" s="23" t="n"/>
      <c r="R3603" s="25" t="inlineStr">
        <is>
          <t>Известный историк и морской офицер Альфред Мэхэн подвергает глубокому анализу значительные события эпохи мореплавания, произошедшие с 1660 по 1783 год. В качестве теоретической базы он избрал наиболее успешные морские стратегии прошлого — от Древней Греции и Рима до Франции эпохи Наполеона. Мэхэн обращает пристальное внимание на тактически значимые качества каждого типа судна (галер, брандер, миноносцев), пункты сосредоточения кораблей, их боевой порядок. Перечислены также недостатки в обороне и искусстве управления флотом. В книге цитируются редчайшие документы и карты. Этот классический труд оказал сильнейшее влияние на умы государственных деятелей многих мировых держав.</t>
        </is>
      </c>
      <c r="S3603" s="26">
        <f>HYPERLINK("http://www.cnpol.ru/covers/21264.jpg","фото на сайте")</f>
        <v/>
      </c>
    </row>
    <row r="3604" ht="50.1" customHeight="1" s="3">
      <c r="A3604" s="23" t="n"/>
      <c r="B3604" s="24" t="inlineStr">
        <is>
          <t>20772</t>
        </is>
      </c>
      <c r="C3604" s="23" t="inlineStr">
        <is>
          <t>ОИ ВИ</t>
        </is>
      </c>
      <c r="D3604" s="23" t="inlineStr">
        <is>
          <t>Незелоф П.</t>
        </is>
      </c>
      <c r="E3604" s="23" t="inlineStr">
        <is>
          <t>Роскошная и трагическая жизнь Марии-Антуанетты. Из королевских покоев на эшафот</t>
        </is>
      </c>
      <c r="F3604" s="23" t="inlineStr">
        <is>
          <t>        </t>
        </is>
      </c>
      <c r="G3604" s="23" t="n">
        <v>593</v>
      </c>
      <c r="H3604" s="23" t="n">
        <v>10</v>
      </c>
      <c r="I3604" s="23" t="n">
        <v>14</v>
      </c>
      <c r="J3604" s="23" t="inlineStr">
        <is>
          <t>978-5-9524-5995-3</t>
        </is>
      </c>
      <c r="K3604" s="23" t="inlineStr">
        <is>
          <t>84x108 1/32</t>
        </is>
      </c>
      <c r="L3604" s="23" t="inlineStr">
        <is>
          <t>тв</t>
        </is>
      </c>
      <c r="M3604" s="23" t="n">
        <v>383</v>
      </c>
      <c r="N3604" s="23" t="n">
        <v>2023</v>
      </c>
      <c r="O3604" s="23" t="n">
        <v>462</v>
      </c>
      <c r="P3604" s="23" t="n"/>
      <c r="Q3604" s="23" t="n"/>
      <c r="R3604" s="25" t="inlineStr">
        <is>
          <t>Мария-Антуанетта вошла в историю как самая беспечная королева Франции, чьи очарование и изящество были столь же неоспоримы и примечательны, сколь ее расточительность и безрассудство. Из этой книги вы узнаете, как проходили дни и ночи юной дофины, а затем и королевы, — влюбчивой и азартной, неутомимой на выдумки в устроении праздников и увеселений, полной страсти и жаждущей любви, — жизнь которой оборвалась на эшафоте под оскорбительные выкрики кровожадной толпы. Пьер Незелоф повествует о недолгой, но столь увлекательной жизни австрийской эрцгерцогини с рождения до последних минут с искренним восхищением ее великодушием и мужеством, проявленным перед лицом смерти.</t>
        </is>
      </c>
      <c r="S3604" s="26">
        <f>HYPERLINK("http://www.cnpol.ru/covers/20772.jpg","фото на сайте")</f>
        <v/>
      </c>
    </row>
    <row r="3605" ht="50.1" customHeight="1" s="3">
      <c r="A3605" s="23" t="inlineStr">
        <is>
          <t>Н</t>
        </is>
      </c>
      <c r="B3605" s="24" t="inlineStr">
        <is>
          <t>21154</t>
        </is>
      </c>
      <c r="C3605" s="23" t="inlineStr">
        <is>
          <t>ОИ ВИ</t>
        </is>
      </c>
      <c r="D3605" s="23" t="inlineStr">
        <is>
          <t>Кеннан Д.</t>
        </is>
      </c>
      <c r="E3605" s="23" t="inlineStr">
        <is>
          <t>Россия выходит из войны. Советско-американские отношения, 1917–1918</t>
        </is>
      </c>
      <c r="F3605" s="23" t="inlineStr">
        <is>
          <t>        </t>
        </is>
      </c>
      <c r="G3605" s="23" t="n">
        <v>704</v>
      </c>
      <c r="H3605" s="23" t="n">
        <v>10</v>
      </c>
      <c r="I3605" s="23" t="n">
        <v>8</v>
      </c>
      <c r="J3605" s="23" t="inlineStr">
        <is>
          <t>978-5-9524-6126-0</t>
        </is>
      </c>
      <c r="K3605" s="23" t="inlineStr">
        <is>
          <t>84x108 1/32</t>
        </is>
      </c>
      <c r="L3605" s="23" t="inlineStr">
        <is>
          <t>тв</t>
        </is>
      </c>
      <c r="M3605" s="23" t="n">
        <v>543</v>
      </c>
      <c r="N3605" s="23" t="n">
        <v>2024</v>
      </c>
      <c r="O3605" s="23" t="n">
        <v>415</v>
      </c>
      <c r="P3605" s="23" t="n"/>
      <c r="Q3605" s="23" t="n"/>
      <c r="R3605" s="25" t="inlineStr">
        <is>
          <t>Книга американского дипломата Джорджа Кеннана посвящена взаимоотношениям двух великих держав и установлению дипломатических связей в первые годы советской власти. Автор детально воссоздает события 1917–1918 гг. с точки зрения иностранца, опираясь на дневники, личную и деловую переписку представителей дипкорпуса, работников посольств Великобритании и США, а также частных лиц, оказавшихся в охваченном революцией Петрограде. Рассматривая обстоятельства выхода России из Первой мировой войны, Кеннан рассказывает о дипломатических играх, направленных на затягивание военных действий, а также отражает реакцию Запада на смену политического строя в России и утверждение правительства большевиков._x000D_
Дальнейшее развитие событий описано в книге Дж. Кеннана «Решение об интервенции».</t>
        </is>
      </c>
      <c r="S3605" s="26">
        <f>HYPERLINK("http://www.cnpol.ru/covers/21154.jpg","фото на сайте")</f>
        <v/>
      </c>
    </row>
    <row r="3606" ht="50.1" customHeight="1" s="3">
      <c r="A3606" s="23" t="inlineStr">
        <is>
          <t>Н</t>
        </is>
      </c>
      <c r="B3606" s="24" t="inlineStr">
        <is>
          <t>22072</t>
        </is>
      </c>
      <c r="C3606" s="23" t="inlineStr">
        <is>
          <t>ОИ ВИ</t>
        </is>
      </c>
      <c r="D3606" s="23" t="inlineStr">
        <is>
          <t>Россос Э.</t>
        </is>
      </c>
      <c r="E3606" s="23" t="inlineStr">
        <is>
          <t>Россия и Балканы, 1908–1914 гг. Новый взгляд на историю соперничества Балканских стран и участие в нем России</t>
        </is>
      </c>
      <c r="F3606" s="23" t="inlineStr">
        <is>
          <t>        </t>
        </is>
      </c>
      <c r="G3606" s="27" t="n">
        <v>1009</v>
      </c>
      <c r="H3606" s="23" t="n">
        <v>10</v>
      </c>
      <c r="I3606" s="23" t="n">
        <v>10</v>
      </c>
      <c r="J3606" s="23" t="inlineStr">
        <is>
          <t>978-5-9524-6649-4</t>
        </is>
      </c>
      <c r="K3606" s="23" t="inlineStr">
        <is>
          <t>84x108 1/32</t>
        </is>
      </c>
      <c r="L3606" s="23" t="inlineStr">
        <is>
          <t>тв</t>
        </is>
      </c>
      <c r="M3606" s="23" t="n">
        <v>319</v>
      </c>
      <c r="N3606" s="23" t="n">
        <v>2026</v>
      </c>
      <c r="O3606" s="23" t="n">
        <v>378</v>
      </c>
      <c r="P3606" s="23" t="n"/>
      <c r="Q3606" s="23" t="n"/>
      <c r="R3606" s="25" t="inlineStr">
        <is>
          <t>В настоящей книге профессор Эндрю Россос представляет историю отношений между Россией и Балканскими государствами на протяжении пяти лет, начиная с Боснийского кризиса 1908—1909 гг. и до Первой мировой войны. Основное внимание он уделяет попыткам Балканских стран нанести Турции «удар милосердия» и воспрепятствовать продвижению Австро-Венгрии на юг. Другая важная тема — соперничество на Балканах Тройственного союза и Антанты. Однако созданная Балканская система союзов за господство в регионе Османской империи была разрушена, и автор исследует непримиримые противоречия конфликта, указывая политическую линию России, вынужденной сотрудничать со своими соперниками на Балканах.</t>
        </is>
      </c>
      <c r="S3606" s="26">
        <f>HYPERLINK("http://www.cnpol.ru/covers/22072.jpg","фото на сайте")</f>
        <v/>
      </c>
    </row>
    <row r="3607" ht="50.1" customHeight="1" s="3">
      <c r="A3607" s="23" t="n"/>
      <c r="B3607" s="24" t="inlineStr">
        <is>
          <t>16259</t>
        </is>
      </c>
      <c r="C3607" s="23" t="inlineStr">
        <is>
          <t>ОИ ВИ</t>
        </is>
      </c>
      <c r="D3607" s="23" t="inlineStr">
        <is>
          <t>Елькин Д.</t>
        </is>
      </c>
      <c r="E3607" s="23" t="inlineStr">
        <is>
          <t>Россия переворачивает страницу. Исторические зарисовки конца постсоветского периода. 2007-2014</t>
        </is>
      </c>
      <c r="F3607" s="23" t="inlineStr">
        <is>
          <t>        </t>
        </is>
      </c>
      <c r="G3607" s="23" t="n">
        <v>672</v>
      </c>
      <c r="H3607" s="23" t="n">
        <v>10</v>
      </c>
      <c r="I3607" s="23" t="n">
        <v>8</v>
      </c>
      <c r="J3607" s="23" t="inlineStr">
        <is>
          <t>978-5-227-05965-9</t>
        </is>
      </c>
      <c r="K3607" s="23" t="inlineStr">
        <is>
          <t>84x108 1/32</t>
        </is>
      </c>
      <c r="L3607" s="23" t="inlineStr">
        <is>
          <t>тв</t>
        </is>
      </c>
      <c r="M3607" s="23" t="n">
        <v>575</v>
      </c>
      <c r="N3607" s="23" t="n">
        <v>2015</v>
      </c>
      <c r="O3607" s="23" t="n">
        <v>428</v>
      </c>
      <c r="P3607" s="23" t="n"/>
      <c r="Q3607" s="23" t="n"/>
      <c r="R3607" s="25" t="n"/>
      <c r="S3607" s="26">
        <f>HYPERLINK("http://www.cnpol.ru/covers/16259.jpg","фото на сайте")</f>
        <v/>
      </c>
    </row>
    <row r="3608" ht="50.1" customHeight="1" s="3">
      <c r="A3608" s="23" t="n"/>
      <c r="B3608" s="24" t="inlineStr">
        <is>
          <t>16570</t>
        </is>
      </c>
      <c r="C3608" s="23" t="inlineStr">
        <is>
          <t>ОИ ВИ</t>
        </is>
      </c>
      <c r="D3608" s="23" t="inlineStr">
        <is>
          <t>Примаков Е.М.</t>
        </is>
      </c>
      <c r="E3608" s="23" t="inlineStr">
        <is>
          <t>Россия. Надежды и тревоги</t>
        </is>
      </c>
      <c r="F3608" s="23" t="inlineStr">
        <is>
          <t>        </t>
        </is>
      </c>
      <c r="G3608" s="23" t="n">
        <v>763</v>
      </c>
      <c r="H3608" s="23" t="n">
        <v>10</v>
      </c>
      <c r="I3608" s="23" t="n">
        <v>20</v>
      </c>
      <c r="J3608" s="23" t="inlineStr">
        <is>
          <t>978-5-227-05799-0</t>
        </is>
      </c>
      <c r="K3608" s="23" t="inlineStr">
        <is>
          <t>60x90 1/16</t>
        </is>
      </c>
      <c r="L3608" s="23" t="inlineStr">
        <is>
          <t>тв</t>
        </is>
      </c>
      <c r="M3608" s="23" t="n">
        <v>224</v>
      </c>
      <c r="N3608" s="23" t="n">
        <v>2016</v>
      </c>
      <c r="O3608" s="23" t="n">
        <v>322</v>
      </c>
      <c r="P3608" s="23" t="n"/>
      <c r="Q3608" s="23" t="n"/>
      <c r="R3608" s="25" t="n"/>
      <c r="S3608" s="26">
        <f>HYPERLINK("http://www.cnpol.ru/covers/16570.jpg","фото на сайте")</f>
        <v/>
      </c>
    </row>
    <row r="3609" ht="50.1" customHeight="1" s="3">
      <c r="A3609" s="23" t="n"/>
      <c r="B3609" s="24" t="inlineStr">
        <is>
          <t>16598</t>
        </is>
      </c>
      <c r="C3609" s="23" t="inlineStr">
        <is>
          <t>ОИ ВИ</t>
        </is>
      </c>
      <c r="D3609" s="23" t="inlineStr">
        <is>
          <t>Аллворт Э.</t>
        </is>
      </c>
      <c r="E3609" s="23" t="inlineStr">
        <is>
          <t>Россия: прорыв на Восток</t>
        </is>
      </c>
      <c r="F3609" s="23" t="inlineStr">
        <is>
          <t>        </t>
        </is>
      </c>
      <c r="G3609" s="23" t="n">
        <v>554</v>
      </c>
      <c r="H3609" s="23" t="n">
        <v>10</v>
      </c>
      <c r="I3609" s="23" t="n">
        <v>12</v>
      </c>
      <c r="J3609" s="23" t="inlineStr">
        <is>
          <t>978-5-9524-5196-4</t>
        </is>
      </c>
      <c r="K3609" s="23" t="inlineStr">
        <is>
          <t>84x108 1/32</t>
        </is>
      </c>
      <c r="L3609" s="23" t="inlineStr">
        <is>
          <t>тв</t>
        </is>
      </c>
      <c r="M3609" s="23" t="n">
        <v>384</v>
      </c>
      <c r="N3609" s="23" t="n">
        <v>2016</v>
      </c>
      <c r="O3609" s="23" t="n">
        <v>306</v>
      </c>
      <c r="P3609" s="23" t="n"/>
      <c r="Q3609" s="23" t="n"/>
      <c r="R3609" s="25" t="n"/>
      <c r="S3609" s="26">
        <f>HYPERLINK("http://www.cnpol.ru/covers/16598.jpg","фото на сайте")</f>
        <v/>
      </c>
    </row>
    <row r="3610" ht="50.1" customHeight="1" s="3">
      <c r="A3610" s="23" t="inlineStr">
        <is>
          <t>Д</t>
        </is>
      </c>
      <c r="B3610" s="24" t="inlineStr">
        <is>
          <t>22117</t>
        </is>
      </c>
      <c r="C3610" s="23" t="inlineStr">
        <is>
          <t>ОИ ВИ</t>
        </is>
      </c>
      <c r="D3610" s="23" t="inlineStr">
        <is>
          <t>Мортон Ф.</t>
        </is>
      </c>
      <c r="E3610" s="23" t="inlineStr">
        <is>
          <t>Ротшильды. История династии могущественных финансистов</t>
        </is>
      </c>
      <c r="F3610" s="23" t="inlineStr">
        <is>
          <t>        </t>
        </is>
      </c>
      <c r="G3610" s="27" t="n">
        <v>1031</v>
      </c>
      <c r="H3610" s="23" t="n">
        <v>10</v>
      </c>
      <c r="I3610" s="23" t="n">
        <v>10</v>
      </c>
      <c r="J3610" s="23" t="inlineStr">
        <is>
          <t>978-5-9524-6669-2</t>
        </is>
      </c>
      <c r="K3610" s="23" t="inlineStr">
        <is>
          <t>84x108 1/32</t>
        </is>
      </c>
      <c r="L3610" s="23" t="inlineStr">
        <is>
          <t>тв</t>
        </is>
      </c>
      <c r="M3610" s="23" t="n">
        <v>303</v>
      </c>
      <c r="N3610" s="23" t="n">
        <v>2026</v>
      </c>
      <c r="O3610" s="23" t="n">
        <v>383</v>
      </c>
      <c r="P3610" s="23" t="n"/>
      <c r="Q3610" s="23" t="n"/>
      <c r="R3610" s="25" t="inlineStr">
        <is>
          <t>Книга Фредерика Мортона - это увлекательная история клана могущественных финансистов. Их фамилия давно стала символом богатства, успеха и процветания. Члены этого семейства внесли огромный вклад в культуру и прославили свои имена на ниве благотворительности. В книге присутствует множество забавных, трагических и поучительных историй, в которых участвуют колоритнейшие персонажи: особы королевской крови, государственные мужи, поэты, художники.</t>
        </is>
      </c>
      <c r="S3610" s="26">
        <f>HYPERLINK("http://www.cnpol.ru/covers/22117.jpg","фото на сайте")</f>
        <v/>
      </c>
    </row>
    <row r="3611" ht="50.1" customHeight="1" s="3">
      <c r="A3611" s="23" t="inlineStr">
        <is>
          <t>Д</t>
        </is>
      </c>
      <c r="B3611" s="24" t="inlineStr">
        <is>
          <t>21734</t>
        </is>
      </c>
      <c r="C3611" s="23" t="inlineStr">
        <is>
          <t>ОИ ВИ</t>
        </is>
      </c>
      <c r="D3611" s="23" t="inlineStr">
        <is>
          <t>Кавана Д.</t>
        </is>
      </c>
      <c r="E3611" s="23" t="inlineStr">
        <is>
          <t>Рудольф Нуреев. Жизнь</t>
        </is>
      </c>
      <c r="F3611" s="23" t="inlineStr">
        <is>
          <t>        </t>
        </is>
      </c>
      <c r="G3611" s="27" t="n">
        <v>2149</v>
      </c>
      <c r="H3611" s="23" t="n">
        <v>10</v>
      </c>
      <c r="I3611" s="23" t="n">
        <v>3</v>
      </c>
      <c r="J3611" s="23" t="inlineStr">
        <is>
          <t>978-5-9524-6457-5</t>
        </is>
      </c>
      <c r="K3611" s="23" t="inlineStr">
        <is>
          <t>60x90 1/16</t>
        </is>
      </c>
      <c r="L3611" s="23" t="inlineStr">
        <is>
          <t>тв</t>
        </is>
      </c>
      <c r="M3611" s="23" t="n">
        <v>831</v>
      </c>
      <c r="N3611" s="23" t="n">
        <v>2025</v>
      </c>
      <c r="O3611" s="23" t="n">
        <v>1056</v>
      </c>
      <c r="P3611" s="23" t="n"/>
      <c r="Q3611" s="23" t="n"/>
      <c r="R3611" s="25" t="inlineStr">
        <is>
          <t>Балерина в прошлом, а в дальнейшем журналист и балетный критик, Джули Кавана написала великолепную, исчерпывающую биографию Рудольфа Нуреева на основе огромного фактографического, архивного и эпистолярного материала. Она правдиво и одновременно с огромным чувством такта отобразила душу гения на фоне сложнейших поворотов его жизни и борьбы за свое уникальное место в искусстве.</t>
        </is>
      </c>
      <c r="S3611" s="26">
        <f>HYPERLINK("http://www.cnpol.ru/covers/21734.jpg","фото на сайте")</f>
        <v/>
      </c>
    </row>
    <row r="3612" ht="50.1" customHeight="1" s="3">
      <c r="A3612" s="23" t="n"/>
      <c r="B3612" s="24" t="inlineStr">
        <is>
          <t>16252</t>
        </is>
      </c>
      <c r="C3612" s="23" t="inlineStr">
        <is>
          <t>ОИ ВИ</t>
        </is>
      </c>
      <c r="D3612" s="23" t="inlineStr">
        <is>
          <t>Поликарпов В.В.</t>
        </is>
      </c>
      <c r="E3612" s="23" t="inlineStr">
        <is>
          <t>Русская военно-промышленная политика</t>
        </is>
      </c>
      <c r="F3612" s="23" t="inlineStr">
        <is>
          <t>        </t>
        </is>
      </c>
      <c r="G3612" s="23" t="n">
        <v>743</v>
      </c>
      <c r="H3612" s="23" t="n">
        <v>10</v>
      </c>
      <c r="I3612" s="23" t="n">
        <v>14</v>
      </c>
      <c r="J3612" s="23" t="inlineStr">
        <is>
          <t>978-5-227-06136-2</t>
        </is>
      </c>
      <c r="K3612" s="23" t="inlineStr">
        <is>
          <t>84x108 1/32</t>
        </is>
      </c>
      <c r="L3612" s="23" t="inlineStr">
        <is>
          <t>тв</t>
        </is>
      </c>
      <c r="M3612" s="23" t="n">
        <v>384</v>
      </c>
      <c r="N3612" s="23" t="n">
        <v>2015</v>
      </c>
      <c r="O3612" s="23" t="n">
        <v>403</v>
      </c>
      <c r="P3612" s="23" t="n"/>
      <c r="Q3612" s="23" t="n"/>
      <c r="R3612" s="25" t="n"/>
      <c r="S3612" s="26">
        <f>HYPERLINK("http://www.cnpol.ru/covers/16252.jpg","фото на сайте")</f>
        <v/>
      </c>
    </row>
    <row r="3613" ht="50.1" customHeight="1" s="3">
      <c r="A3613" s="23" t="inlineStr">
        <is>
          <t>Д</t>
        </is>
      </c>
      <c r="B3613" s="24" t="inlineStr">
        <is>
          <t>21887</t>
        </is>
      </c>
      <c r="C3613" s="23" t="inlineStr">
        <is>
          <t>ОИ ВИ</t>
        </is>
      </c>
      <c r="D3613" s="23" t="inlineStr">
        <is>
          <t>Сергеев С.М.</t>
        </is>
      </c>
      <c r="E3613" s="23" t="inlineStr">
        <is>
          <t>Русская нация, или Рассказ об истории ее отсутствия</t>
        </is>
      </c>
      <c r="F3613" s="23" t="inlineStr">
        <is>
          <t>        </t>
        </is>
      </c>
      <c r="G3613" s="27" t="n">
        <v>1459</v>
      </c>
      <c r="H3613" s="23" t="n">
        <v>10</v>
      </c>
      <c r="I3613" s="23" t="n">
        <v>6</v>
      </c>
      <c r="J3613" s="23" t="inlineStr">
        <is>
          <t>978-5-227-11178-4</t>
        </is>
      </c>
      <c r="K3613" s="23" t="inlineStr">
        <is>
          <t>84x108 1/32</t>
        </is>
      </c>
      <c r="L3613" s="23" t="inlineStr">
        <is>
          <t>тв</t>
        </is>
      </c>
      <c r="M3613" s="23" t="n">
        <v>575</v>
      </c>
      <c r="N3613" s="23" t="n">
        <v>2026</v>
      </c>
      <c r="O3613" s="23" t="n">
        <v>587</v>
      </c>
      <c r="P3613" s="23" t="n"/>
      <c r="Q3613" s="23" t="n"/>
      <c r="R3613" s="25" t="inlineStr">
        <is>
          <t>Предлагаемая книга, ставшая завершением многолетних исследований автора, не является очередной историей России. Это именно история русской нации. Поэтому читателю, думающему почерпнуть здесь элементарные сведения об отечественном прошлом, лучше обратиться к другим работам, благо их множество. Судя по электронному каталогу Российской государственной библиотеки, на русском языке не существует ни одной книги с названием «История русской нации». На первый взгляд это кажется досадной нелепостью, очередной грустной иллюстрацией к пушкинскому: «Мы ленивы и нелюбопытны». На самом же деле за этим фактом стоит сама логика русской истории. Ибо вовсе не случайно отечественная историография предпочитает описывать историю государства Российского, а не историю русского народа.</t>
        </is>
      </c>
      <c r="S3613" s="26">
        <f>HYPERLINK("http://www.cnpol.ru/covers/21887.jpg","фото на сайте")</f>
        <v/>
      </c>
    </row>
    <row r="3614" ht="50.1" customHeight="1" s="3">
      <c r="A3614" s="23" t="n"/>
      <c r="B3614" s="24" t="inlineStr">
        <is>
          <t>17635</t>
        </is>
      </c>
      <c r="C3614" s="23" t="inlineStr">
        <is>
          <t>ОИ ВИ</t>
        </is>
      </c>
      <c r="D3614" s="23" t="inlineStr">
        <is>
          <t>Сергеев С.М.</t>
        </is>
      </c>
      <c r="E3614" s="23" t="inlineStr">
        <is>
          <t>Русская нация. Национализм и его враги</t>
        </is>
      </c>
      <c r="F3614" s="23" t="inlineStr">
        <is>
          <t>        </t>
        </is>
      </c>
      <c r="G3614" s="23" t="n">
        <v>653</v>
      </c>
      <c r="H3614" s="23" t="n">
        <v>10</v>
      </c>
      <c r="I3614" s="23" t="n">
        <v>16</v>
      </c>
      <c r="J3614" s="23" t="inlineStr">
        <is>
          <t>978-5-227-07513-0</t>
        </is>
      </c>
      <c r="K3614" s="23" t="inlineStr">
        <is>
          <t>84x108 1/32</t>
        </is>
      </c>
      <c r="L3614" s="23" t="inlineStr">
        <is>
          <t>тв</t>
        </is>
      </c>
      <c r="M3614" s="23" t="n">
        <v>352</v>
      </c>
      <c r="N3614" s="23" t="n">
        <v>2017</v>
      </c>
      <c r="O3614" s="23" t="n">
        <v>292</v>
      </c>
      <c r="P3614" s="23" t="n"/>
      <c r="Q3614" s="23" t="n"/>
      <c r="R3614" s="25" t="n"/>
      <c r="S3614" s="26">
        <f>HYPERLINK("http://www.cnpol.ru/covers/17635.jpg","фото на сайте")</f>
        <v/>
      </c>
    </row>
    <row r="3615" ht="50.1" customHeight="1" s="3">
      <c r="A3615" s="23" t="n"/>
      <c r="B3615" s="24" t="inlineStr">
        <is>
          <t>16083</t>
        </is>
      </c>
      <c r="C3615" s="23" t="inlineStr">
        <is>
          <t>ОИ ВИ</t>
        </is>
      </c>
      <c r="D3615" s="23" t="inlineStr">
        <is>
          <t>Мудрова И.А.</t>
        </is>
      </c>
      <c r="E3615" s="23" t="inlineStr">
        <is>
          <t>Русские предприниматели. Двигатели прогресса</t>
        </is>
      </c>
      <c r="F3615" s="23" t="inlineStr">
        <is>
          <t>        </t>
        </is>
      </c>
      <c r="G3615" s="23" t="n">
        <v>468</v>
      </c>
      <c r="H3615" s="23" t="n">
        <v>10</v>
      </c>
      <c r="I3615" s="23" t="n">
        <v>18</v>
      </c>
      <c r="J3615" s="23" t="inlineStr">
        <is>
          <t>978-5-227-05982-6</t>
        </is>
      </c>
      <c r="K3615" s="23" t="inlineStr">
        <is>
          <t>84x108 1/32</t>
        </is>
      </c>
      <c r="L3615" s="23" t="inlineStr">
        <is>
          <t>тв</t>
        </is>
      </c>
      <c r="M3615" s="23" t="n">
        <v>222</v>
      </c>
      <c r="N3615" s="23" t="n">
        <v>2015</v>
      </c>
      <c r="O3615" s="23" t="n">
        <v>218</v>
      </c>
      <c r="P3615" s="23" t="n"/>
      <c r="Q3615" s="23" t="n"/>
      <c r="R3615" s="25" t="n"/>
      <c r="S3615" s="26">
        <f>HYPERLINK("http://www.cnpol.ru/covers/16083.jpg","фото на сайте")</f>
        <v/>
      </c>
    </row>
    <row r="3616" ht="50.1" customHeight="1" s="3">
      <c r="A3616" s="23" t="n"/>
      <c r="B3616" s="24" t="inlineStr">
        <is>
          <t>17800</t>
        </is>
      </c>
      <c r="C3616" s="23" t="inlineStr">
        <is>
          <t>ОИ ВИ</t>
        </is>
      </c>
      <c r="D3616" s="23" t="inlineStr">
        <is>
          <t>Ковалевский П</t>
        </is>
      </c>
      <c r="E3616" s="23" t="inlineStr">
        <is>
          <t>Русский национализм</t>
        </is>
      </c>
      <c r="F3616" s="23" t="inlineStr">
        <is>
          <t>        </t>
        </is>
      </c>
      <c r="G3616" s="23" t="n">
        <v>615</v>
      </c>
      <c r="H3616" s="23" t="n">
        <v>10</v>
      </c>
      <c r="I3616" s="23" t="n">
        <v>10</v>
      </c>
      <c r="J3616" s="23" t="inlineStr">
        <is>
          <t>978-5-227-07517-8</t>
        </is>
      </c>
      <c r="K3616" s="23" t="inlineStr">
        <is>
          <t>84x108 1/32</t>
        </is>
      </c>
      <c r="L3616" s="23" t="inlineStr">
        <is>
          <t>тв</t>
        </is>
      </c>
      <c r="M3616" s="23" t="n">
        <v>416</v>
      </c>
      <c r="N3616" s="23" t="n">
        <v>2017</v>
      </c>
      <c r="O3616" s="23" t="n">
        <v>214</v>
      </c>
      <c r="P3616" s="23" t="n"/>
      <c r="Q3616" s="23" t="n"/>
      <c r="R3616" s="25" t="n"/>
      <c r="S3616" s="26">
        <f>HYPERLINK("http://www.cnpol.ru/covers/17800.jpg","фото на сайте")</f>
        <v/>
      </c>
    </row>
    <row r="3617" ht="50.1" customHeight="1" s="3">
      <c r="A3617" s="23" t="inlineStr">
        <is>
          <t>Д</t>
        </is>
      </c>
      <c r="B3617" s="24" t="inlineStr">
        <is>
          <t>21847</t>
        </is>
      </c>
      <c r="C3617" s="23" t="inlineStr">
        <is>
          <t>ОИ ВИ</t>
        </is>
      </c>
      <c r="D3617" s="23" t="inlineStr">
        <is>
          <t>Мартин К.</t>
        </is>
      </c>
      <c r="E3617" s="23" t="inlineStr">
        <is>
          <t>Русско­японская война. 1904—1905</t>
        </is>
      </c>
      <c r="F3617" s="23" t="inlineStr">
        <is>
          <t>        </t>
        </is>
      </c>
      <c r="G3617" s="23" t="n">
        <v>806</v>
      </c>
      <c r="H3617" s="23" t="n">
        <v>10</v>
      </c>
      <c r="I3617" s="23" t="n">
        <v>10</v>
      </c>
      <c r="J3617" s="23" t="inlineStr">
        <is>
          <t>978-5-9524-6539-8</t>
        </is>
      </c>
      <c r="K3617" s="23" t="inlineStr">
        <is>
          <t>84x108 1/32</t>
        </is>
      </c>
      <c r="L3617" s="23" t="inlineStr">
        <is>
          <t>тв</t>
        </is>
      </c>
      <c r="M3617" s="23" t="n">
        <v>220</v>
      </c>
      <c r="N3617" s="23" t="n">
        <v>2025</v>
      </c>
      <c r="O3617" s="23" t="n">
        <v>418</v>
      </c>
      <c r="P3617" s="23" t="n"/>
      <c r="Q3617" s="23" t="n"/>
      <c r="R3617" s="25" t="inlineStr">
        <is>
          <t>В книге подробно и ярко описывается ход военных действий между Россией и Японией в 1904–1905 годах. Автор исследует предпосылки вооруженного конфликта двух мощных держав, анализирует причины поражения русских войск, а также описывает важнейшие, имеющие поворотное значение в Русско-японской войне, сражения – осаду и капитуляцию Порт-Артура, бои на Желтом и Японском морях.</t>
        </is>
      </c>
      <c r="S3617" s="26">
        <f>HYPERLINK("http://www.cnpol.ru/covers/21847.jpg","фото на сайте")</f>
        <v/>
      </c>
    </row>
    <row r="3618" ht="50.1" customHeight="1" s="3">
      <c r="A3618" s="23" t="n"/>
      <c r="B3618" s="24" t="inlineStr">
        <is>
          <t>19884</t>
        </is>
      </c>
      <c r="C3618" s="23" t="inlineStr">
        <is>
          <t>ОИ ВИ</t>
        </is>
      </c>
      <c r="D3618" s="23" t="inlineStr">
        <is>
          <t>Райли-Смит Д.</t>
        </is>
      </c>
      <c r="E3618" s="23" t="inlineStr">
        <is>
          <t>Рыцари­госпитальеры в Иерусалиме и на Кипре. Становление и развитие могущественного военно-религиозного ордена</t>
        </is>
      </c>
      <c r="F3618" s="23" t="inlineStr">
        <is>
          <t>        </t>
        </is>
      </c>
      <c r="G3618" s="23" t="n">
        <v>593</v>
      </c>
      <c r="H3618" s="23" t="n">
        <v>10</v>
      </c>
      <c r="I3618" s="23" t="n">
        <v>12</v>
      </c>
      <c r="J3618" s="23" t="inlineStr">
        <is>
          <t>978-5-9524-5601-3</t>
        </is>
      </c>
      <c r="K3618" s="23" t="inlineStr">
        <is>
          <t>84x108 1/32</t>
        </is>
      </c>
      <c r="L3618" s="23" t="inlineStr">
        <is>
          <t>тв</t>
        </is>
      </c>
      <c r="M3618" s="23" t="n">
        <v>383</v>
      </c>
      <c r="N3618" s="23" t="n">
        <v>2021</v>
      </c>
      <c r="O3618" s="23" t="n">
        <v>382</v>
      </c>
      <c r="P3618" s="23" t="n"/>
      <c r="Q3618" s="23" t="n"/>
      <c r="R3618" s="25" t="n"/>
      <c r="S3618" s="26">
        <f>HYPERLINK("http://www.cnpol.ru/covers/19884.jpg","фото на сайте")</f>
        <v/>
      </c>
    </row>
    <row r="3619" ht="50.1" customHeight="1" s="3">
      <c r="A3619" s="23" t="inlineStr">
        <is>
          <t>Н</t>
        </is>
      </c>
      <c r="B3619" s="24" t="inlineStr">
        <is>
          <t>21267</t>
        </is>
      </c>
      <c r="C3619" s="23" t="inlineStr">
        <is>
          <t>ОИ ВИ</t>
        </is>
      </c>
      <c r="D3619" s="23" t="inlineStr">
        <is>
          <t>Брук К.</t>
        </is>
      </c>
      <c r="E3619" s="23" t="inlineStr">
        <is>
          <t>Саксонские и нормандские короли. 450—1154</t>
        </is>
      </c>
      <c r="F3619" s="23" t="inlineStr">
        <is>
          <t>        </t>
        </is>
      </c>
      <c r="G3619" s="23" t="n">
        <v>834</v>
      </c>
      <c r="H3619" s="23" t="n">
        <v>10</v>
      </c>
      <c r="I3619" s="23" t="n">
        <v>14</v>
      </c>
      <c r="J3619" s="23" t="inlineStr">
        <is>
          <t>978-5-9524-6165-9</t>
        </is>
      </c>
      <c r="K3619" s="23" t="inlineStr">
        <is>
          <t>84x108 1/32</t>
        </is>
      </c>
      <c r="L3619" s="23" t="inlineStr">
        <is>
          <t>тв</t>
        </is>
      </c>
      <c r="M3619" s="23" t="n">
        <v>255</v>
      </c>
      <c r="N3619" s="23" t="n">
        <v>2024</v>
      </c>
      <c r="O3619" s="23" t="n">
        <v>222</v>
      </c>
      <c r="P3619" s="23" t="n"/>
      <c r="Q3619" s="23" t="n"/>
      <c r="R3619" s="25" t="inlineStr">
        <is>
          <t>Кристофер Брук, историк, профессор Лондонского университета, посвятил свою книгу истории королевской власти в Англии. Наблюдая за сменой королей на престоле, автор сообщает не только даты их правления и сражений, он дает представление о том, какими они были: их вкусы, интересы и достижения. Почему король Этельстан был таким знатоком «реликвий», был ли Вильгельм II атеистом, участвовал ли Генрих I в убийстве Вильгельма II? Отвечая на эти вопросы, Брук изучает природу монархической власти, стараясь освободиться от современных предрассудков и мнений тех историков, которые видели в королевской власти лишь источник тирании._x000D_
Книга снабжена иллюстрациями, генеалогическими таблицами и картами.</t>
        </is>
      </c>
      <c r="S3619" s="26">
        <f>HYPERLINK("http://www.cnpol.ru/covers/21267.jpg","фото на сайте")</f>
        <v/>
      </c>
    </row>
    <row r="3620" ht="50.1" customHeight="1" s="3">
      <c r="A3620" s="23" t="n"/>
      <c r="B3620" s="24" t="inlineStr">
        <is>
          <t>19284</t>
        </is>
      </c>
      <c r="C3620" s="23" t="inlineStr">
        <is>
          <t>ОИ ВИ</t>
        </is>
      </c>
      <c r="D3620" s="23" t="inlineStr">
        <is>
          <t>Лейн­Пул С.</t>
        </is>
      </c>
      <c r="E3620" s="23" t="inlineStr">
        <is>
          <t>Саладин. Всемогущий султан и победитель крестоносцев</t>
        </is>
      </c>
      <c r="F3620" s="23" t="inlineStr">
        <is>
          <t>        </t>
        </is>
      </c>
      <c r="G3620" s="23" t="n">
        <v>516</v>
      </c>
      <c r="H3620" s="23" t="n">
        <v>10</v>
      </c>
      <c r="I3620" s="23" t="n">
        <v>12</v>
      </c>
      <c r="J3620" s="23" t="inlineStr">
        <is>
          <t>978-5-227-09164-2</t>
        </is>
      </c>
      <c r="K3620" s="23" t="inlineStr">
        <is>
          <t>84x108 1/32</t>
        </is>
      </c>
      <c r="L3620" s="23" t="inlineStr">
        <is>
          <t>тв</t>
        </is>
      </c>
      <c r="M3620" s="23" t="n">
        <v>288</v>
      </c>
      <c r="N3620" s="23" t="n">
        <v>2020</v>
      </c>
      <c r="O3620" s="23" t="n">
        <v>260</v>
      </c>
      <c r="P3620" s="23" t="n"/>
      <c r="Q3620" s="23" t="n"/>
      <c r="R3620" s="25" t="n"/>
      <c r="S3620" s="26">
        <f>HYPERLINK("http://www.cnpol.ru/covers/19284.jpg","фото на сайте")</f>
        <v/>
      </c>
    </row>
    <row r="3621" ht="50.1" customHeight="1" s="3">
      <c r="A3621" s="23" t="inlineStr">
        <is>
          <t>Н</t>
        </is>
      </c>
      <c r="B3621" s="24" t="inlineStr">
        <is>
          <t>21994</t>
        </is>
      </c>
      <c r="C3621" s="23" t="inlineStr">
        <is>
          <t>ОИ ВИ</t>
        </is>
      </c>
      <c r="D3621" s="23" t="inlineStr">
        <is>
          <t>Демидов С.И.</t>
        </is>
      </c>
      <c r="E3621" s="23" t="inlineStr">
        <is>
          <t>Самые громкие преступления последних веков. XVI—XXI вв.</t>
        </is>
      </c>
      <c r="F3621" s="23" t="inlineStr">
        <is>
          <t>        </t>
        </is>
      </c>
      <c r="G3621" s="23" t="n">
        <v>533</v>
      </c>
      <c r="H3621" s="23" t="n">
        <v>10</v>
      </c>
      <c r="I3621" s="23" t="n">
        <v>12</v>
      </c>
      <c r="J3621" s="23" t="inlineStr">
        <is>
          <t>978-5-9524-6485-8</t>
        </is>
      </c>
      <c r="K3621" s="23" t="inlineStr">
        <is>
          <t>84x108 1/32</t>
        </is>
      </c>
      <c r="L3621" s="23" t="inlineStr">
        <is>
          <t>тв</t>
        </is>
      </c>
      <c r="M3621" s="23" t="n">
        <v>286</v>
      </c>
      <c r="N3621" s="23" t="n">
        <v>2026</v>
      </c>
      <c r="O3621" s="23" t="n">
        <v>260</v>
      </c>
      <c r="P3621" s="23" t="n"/>
      <c r="Q3621" s="23" t="n"/>
      <c r="R3621" s="25" t="inlineStr">
        <is>
          <t>История преступлений и история человечества имеют одинаковый возраст. Во все времена люди воровали, убивали и изменяли Родине… Эта книга расскажет вам о самых ярких преступлениях последних столетий. Вы узнаете имена и биографии предателей России, таких как Иван Мазепа, Евгений Думбадзе и Борис Бажанов. Прочтёте трагические истории убийств российских и зарубежных помазанников Божиих от Марии Стюарт до принцессы Уэльской Дианы. А также вас ждут громкие политические убийства, жестокие маньяки, наркобароны, кражи на мировом уровне и преступления против человечества… Легендарные преступники: Джек-потрошитель, Бонни и Клайд, Сонька Золотая Ручка, Алессандро Калиостро, Пабло Эскобар, Аль Капоне — навсегда внесены в чёрные списки личностей, которые прославились отнюдь не добрыми деяниями. Завершит книгу рассказ о насильственных и преждевременных смертях известных творческих людей: Винсент Ван Гог, Джон Леннон, Игорь Тальков, Михаил Круг, Тупак Шакур — все они стали жертвами преступлений.</t>
        </is>
      </c>
      <c r="S3621" s="26">
        <f>HYPERLINK("http://www.cnpol.ru/covers/21994.jpg","фото на сайте")</f>
        <v/>
      </c>
    </row>
    <row r="3622" ht="50.1" customHeight="1" s="3">
      <c r="A3622" s="23" t="n"/>
      <c r="B3622" s="24" t="inlineStr">
        <is>
          <t>20776</t>
        </is>
      </c>
      <c r="C3622" s="23" t="inlineStr">
        <is>
          <t>ОИ ВИ</t>
        </is>
      </c>
      <c r="D3622" s="23" t="inlineStr">
        <is>
          <t>Эбон М.</t>
        </is>
      </c>
      <c r="E3622" s="23" t="inlineStr">
        <is>
          <t>Светлана, дочь Сталина. Судьба Светланы Аллилуевой, скрытая за сенсационными газетными заголовками</t>
        </is>
      </c>
      <c r="F3622" s="23" t="inlineStr">
        <is>
          <t>        </t>
        </is>
      </c>
      <c r="G3622" s="23" t="n">
        <v>432</v>
      </c>
      <c r="H3622" s="23" t="n">
        <v>10</v>
      </c>
      <c r="I3622" s="23" t="n">
        <v>20</v>
      </c>
      <c r="J3622" s="23" t="inlineStr">
        <is>
          <t>978-5-9524-5994-6</t>
        </is>
      </c>
      <c r="K3622" s="23" t="inlineStr">
        <is>
          <t>84x108 1/32</t>
        </is>
      </c>
      <c r="L3622" s="23" t="inlineStr">
        <is>
          <t>тв</t>
        </is>
      </c>
      <c r="M3622" s="23" t="n">
        <v>191</v>
      </c>
      <c r="N3622" s="23" t="n">
        <v>2023</v>
      </c>
      <c r="O3622" s="23" t="n">
        <v>245</v>
      </c>
      <c r="P3622" s="23" t="n"/>
      <c r="Q3622" s="23" t="n"/>
      <c r="R3622" s="25" t="inlineStr">
        <is>
          <t>Немецко-американский журналист, писатель Мартин Эбон, рассказывает о драматических событиях жизни дочери Иосифа Сталина, Светланы Аллилуевой. Одинокое детство в Кремле, потеря матери, совершившей самоубийство, смерть отца, три распавшихся брака, бегство за границу в надежде обрести там покой и счастье и неудачная попытка снова жить на родине. Автор не только описывает территориальные, политические и религиозные метания Аллилуевой, переполох, который она произвела в СССР, в Индии и в Европе, но и предлагает разные точки зрения на ее взгляды и поступки.</t>
        </is>
      </c>
      <c r="S3622" s="26">
        <f>HYPERLINK("http://www.cnpol.ru/covers/20776.jpg","фото на сайте")</f>
        <v/>
      </c>
    </row>
    <row r="3623" ht="50.1" customHeight="1" s="3">
      <c r="A3623" s="23" t="inlineStr">
        <is>
          <t>Д</t>
        </is>
      </c>
      <c r="B3623" s="24" t="inlineStr">
        <is>
          <t>22090</t>
        </is>
      </c>
      <c r="C3623" s="23" t="inlineStr">
        <is>
          <t>ОИ ВИ</t>
        </is>
      </c>
      <c r="D3623" s="23" t="inlineStr">
        <is>
          <t>Хеер Ф.</t>
        </is>
      </c>
      <c r="E3623" s="23" t="inlineStr">
        <is>
          <t>Священная Римская империя. История союза европейских государств от зарождения до распада</t>
        </is>
      </c>
      <c r="F3623" s="23" t="inlineStr">
        <is>
          <t>        </t>
        </is>
      </c>
      <c r="G3623" s="27" t="n">
        <v>1238</v>
      </c>
      <c r="H3623" s="23" t="n">
        <v>10</v>
      </c>
      <c r="I3623" s="23" t="n">
        <v>10</v>
      </c>
      <c r="J3623" s="23" t="inlineStr">
        <is>
          <t>978-5-9524-6673-9</t>
        </is>
      </c>
      <c r="K3623" s="23" t="inlineStr">
        <is>
          <t>84x108 1/32</t>
        </is>
      </c>
      <c r="L3623" s="23" t="inlineStr">
        <is>
          <t>тв</t>
        </is>
      </c>
      <c r="M3623" s="23" t="n">
        <v>447</v>
      </c>
      <c r="N3623" s="23" t="n">
        <v>2026</v>
      </c>
      <c r="O3623" s="23" t="n">
        <v>493</v>
      </c>
      <c r="P3623" s="23" t="n"/>
      <c r="Q3623" s="23" t="n"/>
      <c r="R3623" s="25" t="inlineStr">
        <is>
          <t>Выдающийся австрийский писатель и публицист Фридрих Хеер прослеживает тысячелетнюю историю Священной Римской империи, начиная с коронации Карла Великого в 800 г. и заканчивая упразднением империи Францем II Габсбургом в ходе Наполеоновских войн. Автор прослеживает, как сменялись правящие династии, перемещались центры силы и с ними границы многонационального государства, описывает многовековое противостояние с Ватиканом, странами Запада и Востока, а также указывает на высокую степень политической и религиозной терпимости и неизменное стремление ее правителей к созданию объединенной Европы.</t>
        </is>
      </c>
      <c r="S3623" s="26">
        <f>HYPERLINK("http://www.cnpol.ru/covers/22090.jpg","фото на сайте")</f>
        <v/>
      </c>
    </row>
    <row r="3624" ht="50.1" customHeight="1" s="3">
      <c r="A3624" s="23" t="n"/>
      <c r="B3624" s="24" t="inlineStr">
        <is>
          <t>16663</t>
        </is>
      </c>
      <c r="C3624" s="23" t="inlineStr">
        <is>
          <t>ОИ ВИ</t>
        </is>
      </c>
      <c r="D3624" s="23" t="inlineStr">
        <is>
          <t>Слифкин Н</t>
        </is>
      </c>
      <c r="E3624" s="23" t="inlineStr">
        <is>
          <t>Священные чудовища. Загадочные и мифические существа из Писания, Талмуда и мидрашей</t>
        </is>
      </c>
      <c r="F3624" s="23" t="inlineStr">
        <is>
          <t>        </t>
        </is>
      </c>
      <c r="G3624" s="27" t="n">
        <v>1036</v>
      </c>
      <c r="H3624" s="23" t="n">
        <v>10</v>
      </c>
      <c r="I3624" s="23" t="n">
        <v>8</v>
      </c>
      <c r="J3624" s="23" t="inlineStr">
        <is>
          <t>978-5-227-06722-7</t>
        </is>
      </c>
      <c r="K3624" s="23" t="inlineStr">
        <is>
          <t>70x100 1/16</t>
        </is>
      </c>
      <c r="L3624" s="23" t="inlineStr">
        <is>
          <t>тв</t>
        </is>
      </c>
      <c r="M3624" s="23" t="n">
        <v>416</v>
      </c>
      <c r="N3624" s="23" t="n">
        <v>2016</v>
      </c>
      <c r="O3624" s="23" t="n">
        <v>582</v>
      </c>
      <c r="P3624" s="23" t="n"/>
      <c r="Q3624" s="23" t="n"/>
      <c r="R3624" s="25" t="n"/>
      <c r="S3624" s="26">
        <f>HYPERLINK("http://www.cnpol.ru/covers/16663.jpg","фото на сайте")</f>
        <v/>
      </c>
    </row>
    <row r="3625" ht="50.1" customHeight="1" s="3">
      <c r="A3625" s="23" t="inlineStr">
        <is>
          <t>Н</t>
        </is>
      </c>
      <c r="B3625" s="24" t="inlineStr">
        <is>
          <t>22069</t>
        </is>
      </c>
      <c r="C3625" s="23" t="inlineStr">
        <is>
          <t>ОИ ВИ</t>
        </is>
      </c>
      <c r="D3625" s="23" t="inlineStr">
        <is>
          <t>Фрост Р.</t>
        </is>
      </c>
      <c r="E3625" s="23" t="inlineStr">
        <is>
          <t>Северные войны. 1558–1721. Соперничество за земли между Шведской империей, Российским царством, Польско-Литовским государством и Данией–Норвегией</t>
        </is>
      </c>
      <c r="F3625" s="23" t="inlineStr">
        <is>
          <t>        </t>
        </is>
      </c>
      <c r="G3625" s="27" t="n">
        <v>1238</v>
      </c>
      <c r="H3625" s="23" t="n">
        <v>10</v>
      </c>
      <c r="I3625" s="23" t="n">
        <v>10</v>
      </c>
      <c r="J3625" s="23" t="inlineStr">
        <is>
          <t>978-5-9524-6636-4</t>
        </is>
      </c>
      <c r="K3625" s="23" t="inlineStr">
        <is>
          <t>84x108 1/32</t>
        </is>
      </c>
      <c r="L3625" s="23" t="inlineStr">
        <is>
          <t>тв</t>
        </is>
      </c>
      <c r="M3625" s="23" t="n">
        <v>447</v>
      </c>
      <c r="N3625" s="23" t="n">
        <v>2026</v>
      </c>
      <c r="O3625" s="23" t="n">
        <v>485</v>
      </c>
      <c r="P3625" s="23" t="n"/>
      <c r="Q3625" s="23" t="n"/>
      <c r="R3625" s="25" t="inlineStr">
        <is>
          <t>Книга британского историка Роберта Фроста посвящена важному периоду истории XVI—XVIII веков — ряду войн, которые велись между территориальными соперниками — Шведской империей, Российским царством, Польско-Литовским государством и Данией—Норвегией за контроль над Балтийским морем и Северо-Восточной Европой. Автор рассматривает влияние этих конфликтов на социальные и политические системы стран-соседей и объясняет, почему Швеция пришла в упадок, а Россия вышла победителем и стала главной державой в рассматриваемом регионе.</t>
        </is>
      </c>
      <c r="S3625" s="26">
        <f>HYPERLINK("http://www.cnpol.ru/covers/22069.jpg","фото на сайте")</f>
        <v/>
      </c>
    </row>
    <row r="3626" ht="50.1" customHeight="1" s="3">
      <c r="A3626" s="23" t="inlineStr">
        <is>
          <t>Н</t>
        </is>
      </c>
      <c r="B3626" s="24" t="inlineStr">
        <is>
          <t>22293</t>
        </is>
      </c>
      <c r="C3626" s="23" t="inlineStr">
        <is>
          <t>ОИ ВИ</t>
        </is>
      </c>
      <c r="D3626" s="23" t="inlineStr">
        <is>
          <t>Кристиансен Э.</t>
        </is>
      </c>
      <c r="E3626" s="23" t="inlineStr">
        <is>
          <t>Северные крестовые походы. Священная война за католическую Восточную Прибалтику. 1100–1525</t>
        </is>
      </c>
      <c r="F3626" s="23" t="inlineStr">
        <is>
          <t>        </t>
        </is>
      </c>
      <c r="G3626" s="27" t="n">
        <v>1057</v>
      </c>
      <c r="H3626" s="23" t="n">
        <v>10</v>
      </c>
      <c r="I3626" s="23" t="n">
        <v>5</v>
      </c>
      <c r="J3626" s="23" t="inlineStr">
        <is>
          <t>978-5-9524-6746-0</t>
        </is>
      </c>
      <c r="K3626" s="23" t="inlineStr">
        <is>
          <t>84x108 1/32</t>
        </is>
      </c>
      <c r="L3626" s="23" t="inlineStr">
        <is>
          <t>тв</t>
        </is>
      </c>
      <c r="M3626" s="23" t="n">
        <v>351</v>
      </c>
      <c r="N3626" s="23" t="n">
        <v>2026</v>
      </c>
      <c r="O3626" s="23" t="n">
        <v>402</v>
      </c>
      <c r="P3626" s="23" t="n"/>
      <c r="Q3626" s="23" t="n"/>
      <c r="R3626" s="25" t="inlineStr">
        <is>
          <t>В исследовании британского историка-медиевиста Эрика Кристиансена рассказывается о малоизвестной части общей истории крестоносцев – о Северных крестовых походах, направленных на распространение христианства на северо-востоке Европы и оказавшихся успешными. Вдохновляемые призывом папы священные войны велись на берегах Балтийского моря в XII—XVI веках и сыграли немаловажную роль в преобразовании северных стран. Став связующим звеном между севером и Западной Европой, эти крестовые походы помогли распространению средневековой цивилизации.</t>
        </is>
      </c>
      <c r="S3626" s="26">
        <f>HYPERLINK("http://www.cnpol.ru/covers/22293.jpg","фото на сайте")</f>
        <v/>
      </c>
    </row>
    <row r="3627" ht="50.1" customHeight="1" s="3">
      <c r="A3627" s="23" t="n"/>
      <c r="B3627" s="24" t="inlineStr">
        <is>
          <t>19651</t>
        </is>
      </c>
      <c r="C3627" s="23" t="inlineStr">
        <is>
          <t>ОИ ВИ</t>
        </is>
      </c>
      <c r="D3627" s="23" t="inlineStr">
        <is>
          <t>Льюис А.Р.</t>
        </is>
      </c>
      <c r="E3627" s="23" t="inlineStr">
        <is>
          <t>Северные моря в истории средневековой Европы. Эра викингов и эпоха Оттонов. 300–1100 годы</t>
        </is>
      </c>
      <c r="F3627" s="23" t="inlineStr">
        <is>
          <t>        </t>
        </is>
      </c>
      <c r="G3627" s="23" t="n">
        <v>693</v>
      </c>
      <c r="H3627" s="23" t="n">
        <v>10</v>
      </c>
      <c r="I3627" s="23" t="n">
        <v>12</v>
      </c>
      <c r="J3627" s="23" t="inlineStr">
        <is>
          <t>978-5-9524-5536-8</t>
        </is>
      </c>
      <c r="K3627" s="23" t="inlineStr">
        <is>
          <t>84x108 1/32</t>
        </is>
      </c>
      <c r="L3627" s="23" t="inlineStr">
        <is>
          <t>тв</t>
        </is>
      </c>
      <c r="M3627" s="23" t="n">
        <v>480</v>
      </c>
      <c r="N3627" s="23" t="n">
        <v>2021</v>
      </c>
      <c r="O3627" s="23" t="n">
        <v>416</v>
      </c>
      <c r="P3627" s="23" t="n"/>
      <c r="Q3627" s="23" t="n"/>
      <c r="R3627" s="25" t="n"/>
      <c r="S3627" s="26">
        <f>HYPERLINK("http://www.cnpol.ru/covers/19651.jpg","фото на сайте")</f>
        <v/>
      </c>
    </row>
    <row r="3628" ht="50.1" customHeight="1" s="3">
      <c r="A3628" s="23" t="n"/>
      <c r="B3628" s="24" t="inlineStr">
        <is>
          <t>20982</t>
        </is>
      </c>
      <c r="C3628" s="23" t="inlineStr">
        <is>
          <t>ОИ ВИ</t>
        </is>
      </c>
      <c r="D3628" s="23" t="inlineStr">
        <is>
          <t>Райле О.</t>
        </is>
      </c>
      <c r="E3628" s="23" t="inlineStr">
        <is>
          <t>Секретные операции абвера. Тайная война немецкой разведки на Востоке и Западе. 1921—1945</t>
        </is>
      </c>
      <c r="F3628" s="23" t="inlineStr">
        <is>
          <t>        </t>
        </is>
      </c>
      <c r="G3628" s="27" t="n">
        <v>1359</v>
      </c>
      <c r="H3628" s="23" t="n">
        <v>10</v>
      </c>
      <c r="I3628" s="23" t="n">
        <v>8</v>
      </c>
      <c r="J3628" s="23" t="inlineStr">
        <is>
          <t>978-5-9524-5999-1</t>
        </is>
      </c>
      <c r="K3628" s="23" t="inlineStr">
        <is>
          <t>84x108 1/32</t>
        </is>
      </c>
      <c r="L3628" s="23" t="inlineStr">
        <is>
          <t>тв</t>
        </is>
      </c>
      <c r="M3628" s="23" t="n">
        <v>510</v>
      </c>
      <c r="N3628" s="23" t="n">
        <v>2024</v>
      </c>
      <c r="O3628" s="23" t="n">
        <v>520</v>
      </c>
      <c r="P3628" s="23" t="n"/>
      <c r="Q3628" s="23" t="n"/>
      <c r="R3628" s="25" t="inlineStr">
        <is>
          <t>Книга Оскара Райле, личного помощника адмирала Канариса, — наиболее полное издание о том, как создавался, набирал силу и потерпел крушение абвер — знаменитая германская служба военной разведки. Автор приводит малоизвестные подробности операций против Советского Союза, стран Восточной и Западной Европы, Соединенных Штатов Америки и Великобритании. В книге дан объективный анализ успехов и неудач военной разведслужбы Германии и конкурирующих разведок.</t>
        </is>
      </c>
      <c r="S3628" s="26">
        <f>HYPERLINK("http://www.cnpol.ru/covers/20982.jpg","фото на сайте")</f>
        <v/>
      </c>
    </row>
    <row r="3629" ht="50.1" customHeight="1" s="3">
      <c r="A3629" s="23" t="n"/>
      <c r="B3629" s="24" t="inlineStr">
        <is>
          <t>20322</t>
        </is>
      </c>
      <c r="C3629" s="23" t="inlineStr">
        <is>
          <t>ОИ ВИ</t>
        </is>
      </c>
      <c r="D3629" s="23" t="inlineStr">
        <is>
          <t>Хеттль В.</t>
        </is>
      </c>
      <c r="E3629" s="23" t="inlineStr">
        <is>
          <t>Секретный фронт. Воспоминания сотрудника политической разведки Третьего рейха. 1938—1945</t>
        </is>
      </c>
      <c r="F3629" s="23" t="inlineStr">
        <is>
          <t>        </t>
        </is>
      </c>
      <c r="G3629" s="27" t="n">
        <v>1152</v>
      </c>
      <c r="H3629" s="23" t="n">
        <v>10</v>
      </c>
      <c r="I3629" s="23" t="n">
        <v>10</v>
      </c>
      <c r="J3629" s="23" t="inlineStr">
        <is>
          <t>978-5-9524-5823-9</t>
        </is>
      </c>
      <c r="K3629" s="23" t="inlineStr">
        <is>
          <t>84x108 1/32</t>
        </is>
      </c>
      <c r="L3629" s="23" t="inlineStr">
        <is>
          <t>тв</t>
        </is>
      </c>
      <c r="M3629" s="23" t="n">
        <v>399</v>
      </c>
      <c r="N3629" s="23" t="n">
        <v>2022</v>
      </c>
      <c r="O3629" s="23" t="n">
        <v>388</v>
      </c>
      <c r="P3629" s="23" t="n"/>
      <c r="Q3629" s="23" t="n"/>
      <c r="R3629" s="25" t="inlineStr">
        <is>
          <t>Вильгельм Хёттль — разведчик-аналитик, организатор и участник многих специальных операций, раскрывает историю создания могущественного управления имперской безопасности Третьего рейха, дает яркие психологические портреты Гиммлера, Гейдриха, Шелленберга, Мюллера, Эйхмана и других. В книге собраны уникальные материалы о методах работы германских секретных служб на территории Центральной, Юго-Восточной и Южной Европы, полностью публикуются уникальные записки Муссолини, сделанные им на островах Понца и Маддалена в августе 1943 года.</t>
        </is>
      </c>
      <c r="S3629" s="26">
        <f>HYPERLINK("http://www.cnpol.ru/covers/20322.jpg","фото на сайте")</f>
        <v/>
      </c>
    </row>
    <row r="3630" ht="50.1" customHeight="1" s="3">
      <c r="A3630" s="23" t="n"/>
      <c r="B3630" s="24" t="inlineStr">
        <is>
          <t>20493</t>
        </is>
      </c>
      <c r="C3630" s="23" t="inlineStr">
        <is>
          <t>ОИ ВИ</t>
        </is>
      </c>
      <c r="D3630" s="23" t="inlineStr">
        <is>
          <t>Кифер О.</t>
        </is>
      </c>
      <c r="E3630" s="23" t="inlineStr">
        <is>
          <t>Сексуальная жизнь в Древнем Риме</t>
        </is>
      </c>
      <c r="F3630" s="23" t="inlineStr">
        <is>
          <t>        </t>
        </is>
      </c>
      <c r="G3630" s="27" t="n">
        <v>1238</v>
      </c>
      <c r="H3630" s="23" t="n">
        <v>10</v>
      </c>
      <c r="I3630" s="23" t="n">
        <v>8</v>
      </c>
      <c r="J3630" s="23" t="inlineStr">
        <is>
          <t>978-5-9524-5901-4</t>
        </is>
      </c>
      <c r="K3630" s="23" t="inlineStr">
        <is>
          <t>84x108 1/32</t>
        </is>
      </c>
      <c r="L3630" s="23" t="inlineStr">
        <is>
          <t>тв</t>
        </is>
      </c>
      <c r="M3630" s="23" t="n">
        <v>431</v>
      </c>
      <c r="N3630" s="23" t="n">
        <v>2023</v>
      </c>
      <c r="O3630" s="23" t="n">
        <v>408</v>
      </c>
      <c r="P3630" s="23" t="n"/>
      <c r="Q3630" s="23" t="n"/>
      <c r="R3630" s="25" t="inlineStr">
        <is>
          <t>В книге исследуется национальный характер древних римлян, на основании анализа взаимоотношения полов в Римской империи во времена правлений Цезаря, Августа, Калигулы, Нерона. Автор приводит интересные сведения о положении женщин в государстве, о брачных ритуалах и традициях истории костюма и украшений, косметики и красок. Также даны литературные портреты наиболее знаменитых римлян, раскрываются причины упадка древней цивилизации.</t>
        </is>
      </c>
      <c r="S3630" s="26">
        <f>HYPERLINK("http://www.cnpol.ru/covers/20493.jpg","фото на сайте")</f>
        <v/>
      </c>
    </row>
    <row r="3631" ht="50.1" customHeight="1" s="3">
      <c r="A3631" s="23" t="inlineStr">
        <is>
          <t>Д</t>
        </is>
      </c>
      <c r="B3631" s="24" t="inlineStr">
        <is>
          <t>21683</t>
        </is>
      </c>
      <c r="C3631" s="23" t="inlineStr">
        <is>
          <t>ОИ ВИ</t>
        </is>
      </c>
      <c r="D3631" s="23" t="inlineStr">
        <is>
          <t>Москати С.</t>
        </is>
      </c>
      <c r="E3631" s="23" t="inlineStr">
        <is>
          <t>Семитские народы Древнего Востока: вавилоняне, ассирийцы, хананеи, евреи, арамеи, арабы, эфиопы</t>
        </is>
      </c>
      <c r="F3631" s="23" t="inlineStr">
        <is>
          <t>        </t>
        </is>
      </c>
      <c r="G3631" s="23" t="n">
        <v>915</v>
      </c>
      <c r="H3631" s="23" t="n">
        <v>10</v>
      </c>
      <c r="I3631" s="23" t="n">
        <v>14</v>
      </c>
      <c r="J3631" s="23" t="inlineStr">
        <is>
          <t>978-5-9524-6439-1</t>
        </is>
      </c>
      <c r="K3631" s="23" t="inlineStr">
        <is>
          <t>84x108 1/32</t>
        </is>
      </c>
      <c r="L3631" s="23" t="inlineStr">
        <is>
          <t>тв</t>
        </is>
      </c>
      <c r="M3631" s="23" t="n">
        <v>255</v>
      </c>
      <c r="N3631" s="23" t="n">
        <v>2025</v>
      </c>
      <c r="O3631" s="23" t="n">
        <v>301</v>
      </c>
      <c r="P3631" s="23" t="n"/>
      <c r="Q3631" s="23" t="n"/>
      <c r="R3631" s="25" t="inlineStr">
        <is>
          <t>Итальянский археолог и лингвист, профессор семитской филологии Римского университета Сабатино Москати в своей книге описывает основные формы и отличительные черты древних семитских цивилизаций (вавилоняне, ассирийцы, хананеи), концентрируя внимание читателя на наиболее интересных фактах и характерных особенностях жизни и мышления людей. Это попытка реконструировать политическую, экономическую и религиозную сферы жизни этого общества, по жизненным обстоятельствам разведенного по разным землям.</t>
        </is>
      </c>
      <c r="S3631" s="26">
        <f>HYPERLINK("http://www.cnpol.ru/covers/21683.jpg","фото на сайте")</f>
        <v/>
      </c>
    </row>
    <row r="3632" ht="50.1" customHeight="1" s="3">
      <c r="A3632" s="23" t="n"/>
      <c r="B3632" s="24" t="inlineStr">
        <is>
          <t>15377</t>
        </is>
      </c>
      <c r="C3632" s="23" t="inlineStr">
        <is>
          <t>ОИ ВИ</t>
        </is>
      </c>
      <c r="D3632" s="23" t="inlineStr">
        <is>
          <t>Шевченко М.Л.</t>
        </is>
      </c>
      <c r="E3632" s="23" t="inlineStr">
        <is>
          <t>Сквозь мутное время</t>
        </is>
      </c>
      <c r="F3632" s="23" t="inlineStr">
        <is>
          <t>        </t>
        </is>
      </c>
      <c r="G3632" s="23" t="n">
        <v>781</v>
      </c>
      <c r="H3632" s="23" t="n">
        <v>10</v>
      </c>
      <c r="I3632" s="23" t="n">
        <v>18</v>
      </c>
      <c r="J3632" s="23" t="inlineStr">
        <is>
          <t>978-5-227-05398-5</t>
        </is>
      </c>
      <c r="K3632" s="23" t="inlineStr">
        <is>
          <t>84x108 1/32</t>
        </is>
      </c>
      <c r="L3632" s="23" t="inlineStr">
        <is>
          <t>тв</t>
        </is>
      </c>
      <c r="M3632" s="23" t="n">
        <v>319</v>
      </c>
      <c r="N3632" s="23" t="n">
        <v>2014</v>
      </c>
      <c r="O3632" s="23" t="n">
        <v>350</v>
      </c>
      <c r="P3632" s="23" t="n"/>
      <c r="Q3632" s="23" t="n"/>
      <c r="R3632" s="25" t="n"/>
      <c r="S3632" s="26">
        <f>HYPERLINK("http://www.cnpol.ru/covers/15377.jpg","фото на сайте")</f>
        <v/>
      </c>
    </row>
    <row r="3633" ht="50.1" customHeight="1" s="3">
      <c r="A3633" s="23" t="n"/>
      <c r="B3633" s="24" t="inlineStr">
        <is>
          <t>20099</t>
        </is>
      </c>
      <c r="C3633" s="23" t="inlineStr">
        <is>
          <t>ОИ ВИ</t>
        </is>
      </c>
      <c r="D3633" s="23" t="inlineStr">
        <is>
          <t>Грэм Ф.</t>
        </is>
      </c>
      <c r="E3633" s="23" t="inlineStr">
        <is>
          <t>Скифские империи</t>
        </is>
      </c>
      <c r="F3633" s="23" t="inlineStr">
        <is>
          <t>        </t>
        </is>
      </c>
      <c r="G3633" s="27" t="n">
        <v>1291</v>
      </c>
      <c r="H3633" s="23" t="n">
        <v>10</v>
      </c>
      <c r="I3633" s="23" t="n">
        <v>10</v>
      </c>
      <c r="J3633" s="23" t="inlineStr">
        <is>
          <t>978-5-9524-5716-4</t>
        </is>
      </c>
      <c r="K3633" s="23" t="inlineStr">
        <is>
          <t>84x108 1/32</t>
        </is>
      </c>
      <c r="L3633" s="23" t="inlineStr">
        <is>
          <t>тв</t>
        </is>
      </c>
      <c r="M3633" s="23" t="n">
        <v>480</v>
      </c>
      <c r="N3633" s="23" t="n">
        <v>2022</v>
      </c>
      <c r="O3633" s="23" t="n">
        <v>564</v>
      </c>
      <c r="P3633" s="23" t="n"/>
      <c r="Q3633" s="23" t="n"/>
      <c r="R3633" s="25" t="n"/>
      <c r="S3633" s="26">
        <f>HYPERLINK("http://www.cnpol.ru/covers/20099.jpg","фото на сайте")</f>
        <v/>
      </c>
    </row>
    <row r="3634" ht="50.1" customHeight="1" s="3">
      <c r="A3634" s="23" t="inlineStr">
        <is>
          <t>Д</t>
        </is>
      </c>
      <c r="B3634" s="24" t="inlineStr">
        <is>
          <t>22103</t>
        </is>
      </c>
      <c r="C3634" s="23" t="inlineStr">
        <is>
          <t>ОИ ВИ</t>
        </is>
      </c>
      <c r="D3634" s="23" t="inlineStr">
        <is>
          <t>Напп Р</t>
        </is>
      </c>
      <c r="E3634" s="23" t="inlineStr">
        <is>
          <t>Скрытая Жизнь Древнего Рима. Рабы и гладиаторы, преступники и проститутки, плебеи и легионеры... Жит</t>
        </is>
      </c>
      <c r="F3634" s="23" t="inlineStr">
        <is>
          <t>        </t>
        </is>
      </c>
      <c r="G3634" s="27" t="n">
        <v>1117</v>
      </c>
      <c r="H3634" s="23" t="n">
        <v>10</v>
      </c>
      <c r="I3634" s="23" t="n">
        <v>10</v>
      </c>
      <c r="J3634" s="23" t="inlineStr">
        <is>
          <t>978-5-227-07230-6</t>
        </is>
      </c>
      <c r="K3634" s="23" t="inlineStr">
        <is>
          <t>84x108 1/32</t>
        </is>
      </c>
      <c r="L3634" s="23" t="inlineStr">
        <is>
          <t>тв</t>
        </is>
      </c>
      <c r="M3634" s="23" t="n">
        <v>382</v>
      </c>
      <c r="N3634" s="23" t="n">
        <v>2026</v>
      </c>
      <c r="O3634" s="23" t="n">
        <v>433</v>
      </c>
      <c r="P3634" s="23" t="n"/>
      <c r="Q3634" s="23" t="n"/>
      <c r="R3634" s="25" t="inlineStr">
        <is>
          <t>Крупный американский историк Роберт Напп, более 30 лет преподававший в Калифорнийском университете в Беркли историю и культуру Древнего Рима, делает героями своего исследования простых, «незаметных» жителей Римской империи: рабочих, домохозяек, нищих, рабов, солдат, гладиаторов, грабителей, проституток, тех, о чьей жизни известно гораздо меньше, в отличие от императоров, философов, сенаторов, то есть видных представителей государства. Автор охватывает период римской истории от императора Октавиана Августа до императора Константина Великого, создавая более ясную и полную картину повседневной жизни низов империи, ее негативных сторон.</t>
        </is>
      </c>
      <c r="S3634" s="26">
        <f>HYPERLINK("http://www.cnpol.ru/covers/22103.jpg","фото на сайте")</f>
        <v/>
      </c>
    </row>
    <row r="3635" ht="50.1" customHeight="1" s="3">
      <c r="A3635" s="23" t="inlineStr">
        <is>
          <t>Д</t>
        </is>
      </c>
      <c r="B3635" s="24" t="inlineStr">
        <is>
          <t>22186</t>
        </is>
      </c>
      <c r="C3635" s="23" t="inlineStr">
        <is>
          <t>ОИ ВИ</t>
        </is>
      </c>
      <c r="D3635" s="23" t="inlineStr">
        <is>
          <t>Энгл Э., Паананен Л.</t>
        </is>
      </c>
      <c r="E3635" s="23" t="inlineStr">
        <is>
          <t>Советско­финская война. Прорыв линии Маннергейма. 1939—1940</t>
        </is>
      </c>
      <c r="F3635" s="23" t="inlineStr">
        <is>
          <t>        </t>
        </is>
      </c>
      <c r="G3635" s="23" t="n">
        <v>888</v>
      </c>
      <c r="H3635" s="23" t="n">
        <v>10</v>
      </c>
      <c r="I3635" s="23" t="n">
        <v>10</v>
      </c>
      <c r="J3635" s="23" t="inlineStr">
        <is>
          <t>978-5-9524-6712-5</t>
        </is>
      </c>
      <c r="K3635" s="23" t="inlineStr">
        <is>
          <t>84x108 1/32</t>
        </is>
      </c>
      <c r="L3635" s="23" t="inlineStr">
        <is>
          <t>тв</t>
        </is>
      </c>
      <c r="M3635" s="23" t="n">
        <v>239</v>
      </c>
      <c r="N3635" s="23" t="n">
        <v>2026</v>
      </c>
      <c r="O3635" s="23" t="n">
        <v>317</v>
      </c>
      <c r="P3635" s="23" t="n"/>
      <c r="Q3635" s="23" t="n"/>
      <c r="R3635" s="25" t="inlineStr">
        <is>
          <t>В этой книге описана Советско-финская война, которая началась в ноябре 1939 года. Советский Союз не рассчитывал встретить сопротивление финнов, но они оказались достойными противниками, и началась одна из самых тяжелых военных кампаний Второй мировой войны.</t>
        </is>
      </c>
      <c r="S3635" s="26">
        <f>HYPERLINK("http://www.cnpol.ru/covers/22186.jpg","фото на сайте")</f>
        <v/>
      </c>
    </row>
    <row r="3636" ht="50.1" customHeight="1" s="3">
      <c r="A3636" s="23" t="inlineStr">
        <is>
          <t>Д</t>
        </is>
      </c>
      <c r="B3636" s="24" t="inlineStr">
        <is>
          <t>21525</t>
        </is>
      </c>
      <c r="C3636" s="23" t="inlineStr">
        <is>
          <t>ОИ ВИ</t>
        </is>
      </c>
      <c r="D3636" s="23" t="inlineStr">
        <is>
          <t>Фландерс Дж.</t>
        </is>
      </c>
      <c r="E3636" s="23" t="inlineStr">
        <is>
          <t>Сотворение дома</t>
        </is>
      </c>
      <c r="F3636" s="23" t="inlineStr">
        <is>
          <t>        </t>
        </is>
      </c>
      <c r="G3636" s="27" t="n">
        <v>1221</v>
      </c>
      <c r="H3636" s="23" t="n">
        <v>10</v>
      </c>
      <c r="I3636" s="23" t="n">
        <v>7</v>
      </c>
      <c r="J3636" s="23" t="inlineStr">
        <is>
          <t>978-5-9524-6278-6</t>
        </is>
      </c>
      <c r="K3636" s="23" t="inlineStr">
        <is>
          <t>60x90 1/16</t>
        </is>
      </c>
      <c r="L3636" s="23" t="inlineStr">
        <is>
          <t>тв</t>
        </is>
      </c>
      <c r="M3636" s="23" t="n">
        <v>319</v>
      </c>
      <c r="N3636" s="23" t="n">
        <v>2025</v>
      </c>
      <c r="O3636" s="23" t="n">
        <v>412</v>
      </c>
      <c r="P3636" s="23" t="n"/>
      <c r="Q3636" s="23" t="n"/>
      <c r="R3636" s="25" t="inlineStr">
        <is>
          <t>Джудит Фландерс, историк и автор бестселлеров о викторианских постройках и викторианском городе, размышляет о том, какие изменения за последние 500 лет претерпел дом и само понятие о нем. На примере Европы и Америки автор прослеживает, как, постепенно совершенствуя свое жилище, человек обрастал все новыми и новыми предметами и наконец пришел к тому дому, в котором с теми или иными особенностями живут наши современники. По «пути следования» от XVI к XXI веку Фландерс живо и увлекательно рассказывает о том, когда и как появились первые столы, стулья и туалеты, где изначально «жили» кровати и почему люди ввели в обиход шторы и скатерти, а также о многих других бытовых предметах. Особое внимание автор уделяет тому, как заключались браки и строились семейные отношения, как растили детей и во что их одевали. Ну а главная мысль автора заключается в том, что дом – это совершенно особое, отдельное место, где мы принадлежим только самим себе и можем быть только собой.</t>
        </is>
      </c>
      <c r="S3636" s="26">
        <f>HYPERLINK("http://www.cnpol.ru/covers/21525.jpg","фото на сайте")</f>
        <v/>
      </c>
    </row>
    <row r="3637" ht="50.1" customHeight="1" s="3">
      <c r="A3637" s="23" t="inlineStr">
        <is>
          <t>Н</t>
        </is>
      </c>
      <c r="B3637" s="24" t="inlineStr">
        <is>
          <t>21272</t>
        </is>
      </c>
      <c r="C3637" s="23" t="inlineStr">
        <is>
          <t>ОИ ВИ</t>
        </is>
      </c>
      <c r="D3637" s="23" t="inlineStr">
        <is>
          <t>Мюррей А.</t>
        </is>
      </c>
      <c r="E3637" s="23" t="inlineStr">
        <is>
          <t>Справочник по мировой мифологии. Боги и герои Греции, Рима, Скандинавии, Германии, Индии и Египта</t>
        </is>
      </c>
      <c r="F3637" s="23" t="inlineStr">
        <is>
          <t>        </t>
        </is>
      </c>
      <c r="G3637" s="27" t="n">
        <v>1110</v>
      </c>
      <c r="H3637" s="23" t="n">
        <v>10</v>
      </c>
      <c r="I3637" s="23" t="n">
        <v>10</v>
      </c>
      <c r="J3637" s="23" t="inlineStr">
        <is>
          <t>978-5-227-10787-9</t>
        </is>
      </c>
      <c r="K3637" s="23" t="inlineStr">
        <is>
          <t>84x108 1/32</t>
        </is>
      </c>
      <c r="L3637" s="23" t="inlineStr">
        <is>
          <t>тв</t>
        </is>
      </c>
      <c r="M3637" s="23" t="n">
        <v>383</v>
      </c>
      <c r="N3637" s="23" t="n">
        <v>2024</v>
      </c>
      <c r="O3637" s="23" t="n">
        <v>234</v>
      </c>
      <c r="P3637" s="23" t="n"/>
      <c r="Q3637" s="23" t="n"/>
      <c r="R3637" s="25" t="inlineStr">
        <is>
          <t>Этот универсальный справочник по мифологии народов мира погрузит вас в таинственные глубины всемирной культуры. Мифы и легенды древних вобрали в себя все многообразие окружающего мира. Характеры их богов и героев легли в основу наших представлений о добре и зле, стали источником, многие века питавшим вдохновение художников и поэтов, превратились в названия созвездий и континентов.</t>
        </is>
      </c>
      <c r="S3637" s="26">
        <f>HYPERLINK("http://www.cnpol.ru/covers/21272.jpg","фото на сайте")</f>
        <v/>
      </c>
    </row>
    <row r="3638" ht="50.1" customHeight="1" s="3">
      <c r="A3638" s="23" t="inlineStr">
        <is>
          <t>Н</t>
        </is>
      </c>
      <c r="B3638" s="24" t="inlineStr">
        <is>
          <t>22173</t>
        </is>
      </c>
      <c r="C3638" s="23" t="inlineStr">
        <is>
          <t>ОИ ВИ</t>
        </is>
      </c>
      <c r="D3638" s="23" t="inlineStr">
        <is>
          <t>Плутарх</t>
        </is>
      </c>
      <c r="E3638" s="23" t="inlineStr">
        <is>
          <t>Сравнительные жизнеописания. В 2 т. Том I</t>
        </is>
      </c>
      <c r="F3638" s="23" t="n">
        <v>1</v>
      </c>
      <c r="G3638" s="27" t="n">
        <v>1795</v>
      </c>
      <c r="H3638" s="23" t="n">
        <v>10</v>
      </c>
      <c r="I3638" s="23" t="n">
        <v>6</v>
      </c>
      <c r="J3638" s="23" t="inlineStr">
        <is>
          <t>978-5-227-11133-3</t>
        </is>
      </c>
      <c r="K3638" s="23" t="inlineStr">
        <is>
          <t>60x90 1/16</t>
        </is>
      </c>
      <c r="L3638" s="23" t="inlineStr">
        <is>
          <t>тв</t>
        </is>
      </c>
      <c r="M3638" s="23" t="n">
        <v>703</v>
      </c>
      <c r="N3638" s="23" t="n">
        <v>2026</v>
      </c>
      <c r="O3638" s="23" t="n">
        <v>793</v>
      </c>
      <c r="P3638" s="23" t="n"/>
      <c r="Q3638" s="23" t="n"/>
      <c r="R3638" s="25" t="inlineStr">
        <is>
          <t>В исторический труд древнегреческого писателя римской эпохи Луция Местрия Плутарха (ок. 45—125 гг. н. э.) вошли биографии пятидесяти выдающихся греков и римлян — легендарных правителей и основателей городов-полисов Эллады и Рима, государственных деятелей и полководцев. Большую часть сочинения составляют парные очерки — диады, герои которых объединены по принципу сходства исторических ролей, обстоятельств и характеров. В очерках изложены биографические сведения, описаны и сопоставлены деяния, отмечены общие черты и различия в судьбах. В первом томе представлены четырнадцать парных жизнеописаний прославленных героев Античности от Тесея и Ромула до Никия и Красса.</t>
        </is>
      </c>
      <c r="S3638" s="26">
        <f>HYPERLINK("http://www.cnpol.ru/covers/22173.jpg","фото на сайте")</f>
        <v/>
      </c>
    </row>
    <row r="3639" ht="50.1" customHeight="1" s="3">
      <c r="A3639" s="23" t="inlineStr">
        <is>
          <t>Н</t>
        </is>
      </c>
      <c r="B3639" s="24" t="inlineStr">
        <is>
          <t>22182</t>
        </is>
      </c>
      <c r="C3639" s="23" t="inlineStr">
        <is>
          <t>ОИ ВИ</t>
        </is>
      </c>
      <c r="D3639" s="23" t="inlineStr">
        <is>
          <t>Плутарх</t>
        </is>
      </c>
      <c r="E3639" s="23" t="inlineStr">
        <is>
          <t>Сравнительные жизнеописания. В 2 т. Том II</t>
        </is>
      </c>
      <c r="F3639" s="23" t="n">
        <v>2</v>
      </c>
      <c r="G3639" s="27" t="n">
        <v>1795</v>
      </c>
      <c r="H3639" s="23" t="n">
        <v>10</v>
      </c>
      <c r="I3639" s="23" t="n">
        <v>6</v>
      </c>
      <c r="J3639" s="23" t="inlineStr">
        <is>
          <t>978-5-227-11134-0</t>
        </is>
      </c>
      <c r="K3639" s="23" t="inlineStr">
        <is>
          <t>60x90 1/16</t>
        </is>
      </c>
      <c r="L3639" s="23" t="inlineStr">
        <is>
          <t>тв</t>
        </is>
      </c>
      <c r="M3639" s="23" t="n">
        <v>639</v>
      </c>
      <c r="N3639" s="23" t="n">
        <v>2026</v>
      </c>
      <c r="O3639" s="23" t="n">
        <v>727</v>
      </c>
      <c r="P3639" s="23" t="n"/>
      <c r="Q3639" s="23" t="n"/>
      <c r="R3639" s="25" t="inlineStr">
        <is>
          <t>В исторический труд древнегреческого писателя римской эпохи Луция Местрия Плутарха (ок. 45—125 гг. н. э.) вошли биографии пятидесяти выдающихся греков и римлян — легендарных правителей и основателей городов-полисов Эллады и Рима, государственных деятелей и полководцев. Большую часть сочинения составляют парные очерки — диады, герои которых объединены по принципу сходства исторических ролей, обстоятельств и характеров. В очерках изложены биографические сведения, описаны и сопоставлены деяния, отмечены общие черты и различия в судьбах. Во втором томе представлены восемь парных жизнеописаний героев Античности от Сертория и Эвмена до Диона и Брута и биографические портреты Артаксеркса II, Арата, Гальбы и Отона.</t>
        </is>
      </c>
      <c r="S3639" s="26">
        <f>HYPERLINK("http://www.cnpol.ru/covers/22182.jpg","фото на сайте")</f>
        <v/>
      </c>
    </row>
    <row r="3640" ht="50.1" customHeight="1" s="3">
      <c r="A3640" s="23" t="inlineStr">
        <is>
          <t>Н</t>
        </is>
      </c>
      <c r="B3640" s="24" t="inlineStr">
        <is>
          <t>21344</t>
        </is>
      </c>
      <c r="C3640" s="23" t="inlineStr">
        <is>
          <t>ОИ ВИ</t>
        </is>
      </c>
      <c r="D3640" s="23" t="inlineStr">
        <is>
          <t>Хаупт В.</t>
        </is>
      </c>
      <c r="E3640" s="23" t="inlineStr">
        <is>
          <t>Сражение за Берлин. Штурм нацистской цитадели. 1945</t>
        </is>
      </c>
      <c r="F3640" s="23" t="inlineStr">
        <is>
          <t>        </t>
        </is>
      </c>
      <c r="G3640" s="23" t="n">
        <v>888</v>
      </c>
      <c r="H3640" s="23" t="n">
        <v>10</v>
      </c>
      <c r="I3640" s="23" t="n">
        <v>16</v>
      </c>
      <c r="J3640" s="23" t="inlineStr">
        <is>
          <t>978-5-227-10812-8</t>
        </is>
      </c>
      <c r="K3640" s="23" t="inlineStr">
        <is>
          <t>84x108 1/32</t>
        </is>
      </c>
      <c r="L3640" s="23" t="inlineStr">
        <is>
          <t>тв</t>
        </is>
      </c>
      <c r="M3640" s="23" t="n">
        <v>221</v>
      </c>
      <c r="N3640" s="23" t="n">
        <v>2024</v>
      </c>
      <c r="O3640" s="23" t="n">
        <v>301</v>
      </c>
      <c r="P3640" s="23" t="n"/>
      <c r="Q3640" s="23" t="n"/>
      <c r="R3640" s="25" t="inlineStr">
        <is>
          <t>Книга известного специалиста по военной истории Вернера ¬Хаупта посвящена последним дням апреля 1945 года, когда советские войска приступили к решающему штурму столицы рейха. Автор детально описывает бои, операции и битвы, события, происходящие в отдельных воинских частях, на командных пунктах и в бункере фюрера. В центре драматических событий — последний военный комендант Берлина, генерал Гельмут Вейдлинг. Сохранившиеся письма, записки очевидцев, протоколы обсуждений положения на фронте и другие документы позволили автору лучше понять генерала, оказавшегося в конфликте со своей совестью, когда пришлось выбирать между понятием безусловной солдатской дисциплины и состраданием к людям.</t>
        </is>
      </c>
      <c r="S3640" s="26">
        <f>HYPERLINK("http://www.cnpol.ru/covers/21344.jpg","фото на сайте")</f>
        <v/>
      </c>
    </row>
    <row r="3641" ht="50.1" customHeight="1" s="3">
      <c r="A3641" s="23" t="n"/>
      <c r="B3641" s="24" t="inlineStr">
        <is>
          <t>19523</t>
        </is>
      </c>
      <c r="C3641" s="23" t="inlineStr">
        <is>
          <t>ОИ ВИ</t>
        </is>
      </c>
      <c r="D3641" s="23" t="inlineStr">
        <is>
          <t>Андерсон Р.Ч</t>
        </is>
      </c>
      <c r="E3641" s="23" t="inlineStr">
        <is>
          <t>Сражения великих держав в Средиземном море. Три века побед и поражений парусных флотов Западной Европы,Турции и России</t>
        </is>
      </c>
      <c r="F3641" s="23" t="inlineStr">
        <is>
          <t>        </t>
        </is>
      </c>
      <c r="G3641" s="23" t="n">
        <v>791</v>
      </c>
      <c r="H3641" s="23" t="n">
        <v>10</v>
      </c>
      <c r="I3641" s="23" t="n">
        <v>6</v>
      </c>
      <c r="J3641" s="23" t="inlineStr">
        <is>
          <t>978-5-9524-5463-7</t>
        </is>
      </c>
      <c r="K3641" s="23" t="inlineStr">
        <is>
          <t>84x108 1/32</t>
        </is>
      </c>
      <c r="L3641" s="23" t="inlineStr">
        <is>
          <t>тв</t>
        </is>
      </c>
      <c r="M3641" s="23" t="n">
        <v>640</v>
      </c>
      <c r="N3641" s="23" t="n">
        <v>2021</v>
      </c>
      <c r="O3641" s="23" t="n">
        <v>466</v>
      </c>
      <c r="P3641" s="23" t="n"/>
      <c r="Q3641" s="23" t="n"/>
      <c r="R3641" s="25" t="n"/>
      <c r="S3641" s="26">
        <f>HYPERLINK("http://www.cnpol.ru/covers/19523.jpg","фото на сайте")</f>
        <v/>
      </c>
    </row>
    <row r="3642" ht="50.1" customHeight="1" s="3">
      <c r="A3642" s="23" t="n"/>
      <c r="B3642" s="24" t="inlineStr">
        <is>
          <t>17509</t>
        </is>
      </c>
      <c r="C3642" s="23" t="inlineStr">
        <is>
          <t>ОИ ВИ</t>
        </is>
      </c>
      <c r="D3642" s="23" t="inlineStr">
        <is>
          <t>Кузнечевский В.Д.</t>
        </is>
      </c>
      <c r="E3642" s="23" t="inlineStr">
        <is>
          <t>Сталин. Феномен вождя</t>
        </is>
      </c>
      <c r="F3642" s="23" t="inlineStr">
        <is>
          <t>        </t>
        </is>
      </c>
      <c r="G3642" s="23" t="n">
        <v>653</v>
      </c>
      <c r="H3642" s="23" t="n">
        <v>10</v>
      </c>
      <c r="I3642" s="23" t="n">
        <v>18</v>
      </c>
      <c r="J3642" s="23" t="inlineStr">
        <is>
          <t>978-5-227-07494-2</t>
        </is>
      </c>
      <c r="K3642" s="23" t="inlineStr">
        <is>
          <t>84x108 1/32</t>
        </is>
      </c>
      <c r="L3642" s="23" t="inlineStr">
        <is>
          <t>тв</t>
        </is>
      </c>
      <c r="M3642" s="23" t="n">
        <v>288</v>
      </c>
      <c r="N3642" s="23" t="n">
        <v>2017</v>
      </c>
      <c r="O3642" s="23" t="n">
        <v>314</v>
      </c>
      <c r="P3642" s="23" t="n"/>
      <c r="Q3642" s="23" t="n"/>
      <c r="R3642" s="25" t="n"/>
      <c r="S3642" s="26">
        <f>HYPERLINK("http://www.cnpol.ru/covers/17509.jpg","фото на сайте")</f>
        <v/>
      </c>
    </row>
    <row r="3643" ht="50.1" customHeight="1" s="3">
      <c r="A3643" s="23" t="inlineStr">
        <is>
          <t>Н</t>
        </is>
      </c>
      <c r="B3643" s="24" t="inlineStr">
        <is>
          <t>21885</t>
        </is>
      </c>
      <c r="C3643" s="23" t="inlineStr">
        <is>
          <t>ОИ ВИ</t>
        </is>
      </c>
      <c r="D3643" s="23" t="inlineStr">
        <is>
          <t>Отт В.</t>
        </is>
      </c>
      <c r="E3643" s="23" t="inlineStr">
        <is>
          <t>Стальная акула. Немецкая субмарина и ее команда в годы войны. 1939—1945</t>
        </is>
      </c>
      <c r="F3643" s="23" t="inlineStr">
        <is>
          <t>        </t>
        </is>
      </c>
      <c r="G3643" s="27" t="n">
        <v>1218</v>
      </c>
      <c r="H3643" s="23" t="n">
        <v>10</v>
      </c>
      <c r="I3643" s="23" t="n">
        <v>8</v>
      </c>
      <c r="J3643" s="23" t="inlineStr">
        <is>
          <t>978-5-9524-6532-9</t>
        </is>
      </c>
      <c r="K3643" s="23" t="inlineStr">
        <is>
          <t>84x108 1/32</t>
        </is>
      </c>
      <c r="L3643" s="23" t="inlineStr">
        <is>
          <t>тв</t>
        </is>
      </c>
      <c r="M3643" s="23" t="n">
        <v>431</v>
      </c>
      <c r="N3643" s="23" t="n">
        <v>2026</v>
      </c>
      <c r="O3643" s="23" t="n">
        <v>468</v>
      </c>
      <c r="P3643" s="23" t="n"/>
      <c r="Q3643" s="23" t="n"/>
      <c r="R3643" s="25" t="inlineStr">
        <is>
          <t>Этот мировой бестселлер посвящен самому антигуманному оружию в военно-морской истории — немецкой субмарине. Автор точно воссоздает технические тонкости стратегии и тактики ведения морского боя, достоверно передает сложную психологическую атмосферу тяжелых будней подводников. В захватывающем повествовании отражена вся правда о войне, вся грязь и мерзость ужасающей бойни...</t>
        </is>
      </c>
      <c r="S3643" s="26">
        <f>HYPERLINK("http://www.cnpol.ru/covers/21885.jpg","фото на сайте")</f>
        <v/>
      </c>
    </row>
    <row r="3644" ht="50.1" customHeight="1" s="3">
      <c r="A3644" s="23" t="n"/>
      <c r="B3644" s="24" t="inlineStr">
        <is>
          <t>20124</t>
        </is>
      </c>
      <c r="C3644" s="23" t="inlineStr">
        <is>
          <t>ОИ ВИ</t>
        </is>
      </c>
      <c r="D3644" s="23" t="inlineStr">
        <is>
          <t>Манчестер У.</t>
        </is>
      </c>
      <c r="E3644" s="23" t="inlineStr">
        <is>
          <t>Стальная империя Круппов. История легендарной оружейной династии</t>
        </is>
      </c>
      <c r="F3644" s="23" t="inlineStr">
        <is>
          <t>        </t>
        </is>
      </c>
      <c r="G3644" s="27" t="n">
        <v>2003</v>
      </c>
      <c r="H3644" s="23" t="n">
        <v>10</v>
      </c>
      <c r="I3644" s="23" t="n">
        <v>6</v>
      </c>
      <c r="J3644" s="23" t="inlineStr">
        <is>
          <t>978-5-9524-5624-2</t>
        </is>
      </c>
      <c r="K3644" s="23" t="inlineStr">
        <is>
          <t>84x108 1/32</t>
        </is>
      </c>
      <c r="L3644" s="23" t="inlineStr">
        <is>
          <t>тв</t>
        </is>
      </c>
      <c r="M3644" s="23" t="n">
        <v>702</v>
      </c>
      <c r="N3644" s="23" t="n">
        <v>2022</v>
      </c>
      <c r="O3644" s="23" t="n">
        <v>664</v>
      </c>
      <c r="P3644" s="23" t="n"/>
      <c r="Q3644" s="23" t="n"/>
      <c r="R3644" s="25" t="n"/>
      <c r="S3644" s="26">
        <f>HYPERLINK("http://www.cnpol.ru/covers/20124.jpg","фото на сайте")</f>
        <v/>
      </c>
    </row>
    <row r="3645" ht="50.1" customHeight="1" s="3">
      <c r="A3645" s="23" t="n"/>
      <c r="B3645" s="24" t="inlineStr">
        <is>
          <t>20775</t>
        </is>
      </c>
      <c r="C3645" s="23" t="inlineStr">
        <is>
          <t>ОИ ВИ</t>
        </is>
      </c>
      <c r="D3645" s="23" t="inlineStr">
        <is>
          <t>Кимхи Д.</t>
        </is>
      </c>
      <c r="E3645" s="23" t="inlineStr">
        <is>
          <t>Странная война 1939 года. Как западные союзники предали Польшу</t>
        </is>
      </c>
      <c r="F3645" s="23" t="inlineStr">
        <is>
          <t>        </t>
        </is>
      </c>
      <c r="G3645" s="23" t="n">
        <v>432</v>
      </c>
      <c r="H3645" s="23" t="n">
        <v>10</v>
      </c>
      <c r="I3645" s="23" t="n">
        <v>20</v>
      </c>
      <c r="J3645" s="23" t="inlineStr">
        <is>
          <t>978-5-9524-5615-0</t>
        </is>
      </c>
      <c r="K3645" s="23" t="inlineStr">
        <is>
          <t>84x108 1/32</t>
        </is>
      </c>
      <c r="L3645" s="23" t="inlineStr">
        <is>
          <t>тв</t>
        </is>
      </c>
      <c r="M3645" s="23" t="n">
        <v>191</v>
      </c>
      <c r="N3645" s="23" t="n">
        <v>2023</v>
      </c>
      <c r="O3645" s="23" t="n">
        <v>206</v>
      </c>
      <c r="P3645" s="23" t="n"/>
      <c r="Q3645" s="23" t="n"/>
      <c r="R3645" s="25" t="inlineStr">
        <is>
          <t>В своем исследовании английский историк-публицист Джон Кимхи разоблачает общепринятый тезис о том, что осенью 1939 года Британия и Франция не были в состоянии дать вооруженный отпор фашистской агрессии. Кимхи скрупулезно анализирует документальные материалы и убедительно доказывает нежелание британских и французских правящих кругов выполнить свои обязательства в отношении стран, которым угрожала фашистская Германия. Изучив соответствующие документы об англо-французских «гарантиях» Польше, автор наглядно продемонстрировал, как повели себя правительства этих стран, когда дело дошло до выполнения данных ими обещаний. Историк подчеркивает, что именно двурушничество Запада по отношению к Польше позволило Гитлеру извлечь максимальную выгоду из проводимой им политики умиротворения._x000D_
В книге приведены сенсационные факты, подтвержденные подлинными документами.</t>
        </is>
      </c>
      <c r="S3645" s="26">
        <f>HYPERLINK("http://www.cnpol.ru/covers/20775.jpg","фото на сайте")</f>
        <v/>
      </c>
    </row>
    <row r="3646" ht="50.1" customHeight="1" s="3">
      <c r="A3646" s="23" t="inlineStr">
        <is>
          <t>Д</t>
        </is>
      </c>
      <c r="B3646" s="24" t="inlineStr">
        <is>
          <t>21368</t>
        </is>
      </c>
      <c r="C3646" s="23" t="inlineStr">
        <is>
          <t>ОИ ВИ</t>
        </is>
      </c>
      <c r="D3646" s="23" t="inlineStr">
        <is>
          <t>Жомини Генрих</t>
        </is>
      </c>
      <c r="E3646" s="23" t="inlineStr">
        <is>
          <t>Стратегия и тактика в военном искусстве. Фундаментальные принципы ведения сражений</t>
        </is>
      </c>
      <c r="F3646" s="23" t="inlineStr">
        <is>
          <t>        </t>
        </is>
      </c>
      <c r="G3646" s="27" t="n">
        <v>1184</v>
      </c>
      <c r="H3646" s="23" t="n">
        <v>10</v>
      </c>
      <c r="I3646" s="23" t="n">
        <v>10</v>
      </c>
      <c r="J3646" s="23" t="inlineStr">
        <is>
          <t>978-5-227-10843-2</t>
        </is>
      </c>
      <c r="K3646" s="23" t="inlineStr">
        <is>
          <t>84x108 1/32</t>
        </is>
      </c>
      <c r="L3646" s="23" t="inlineStr">
        <is>
          <t>тв</t>
        </is>
      </c>
      <c r="M3646" s="23" t="n">
        <v>414</v>
      </c>
      <c r="N3646" s="23" t="n">
        <v>2024</v>
      </c>
      <c r="O3646" s="23" t="n">
        <v>455</v>
      </c>
      <c r="P3646" s="23" t="n"/>
      <c r="Q3646" s="23" t="n"/>
      <c r="R3646" s="25" t="inlineStr">
        <is>
          <t>Барон Генрих Жомини начал военную карьеру в Швейцарии, затем поступил во французскую армию, участвовал в наполеоновских походах, был начальником штаба маршала Нея, а в 1813 г. перешел на службу в русскую армию. _x000D_
Подробно рассматривая все аспекты, присущие теории и практике войны, Жомини предлагает анализ стратегических проблем, сопутствующих различным театрам и полям боевых действий, тактики наступления и обороны, неожиданных маневров, специальных операций, уделяет внимание важности разведки и развертывания сил, организации тыла и снабжения, роли инженерных сооружений и влиянию на ход военных событий дипломатии._x000D_
Классический труд Жомини не только неоценимый исторический памятник, но и непревзойденное фундаментальное исследование по стратегии и тактике ведения войны, высоко оцененное специалистами и, безусловно, интересное для всех, кого волнует история развития военной мысли.</t>
        </is>
      </c>
      <c r="S3646" s="26">
        <f>HYPERLINK("http://www.cnpol.ru/covers/21368.jpg","фото на сайте")</f>
        <v/>
      </c>
    </row>
    <row r="3647" ht="50.1" customHeight="1" s="3">
      <c r="A3647" s="23" t="inlineStr">
        <is>
          <t>Н</t>
        </is>
      </c>
      <c r="B3647" s="24" t="inlineStr">
        <is>
          <t>21229</t>
        </is>
      </c>
      <c r="C3647" s="23" t="inlineStr">
        <is>
          <t>ОИ ВИ</t>
        </is>
      </c>
      <c r="D3647" s="23" t="inlineStr">
        <is>
          <t>Барти Т.</t>
        </is>
      </c>
      <c r="E3647" s="23" t="inlineStr">
        <is>
          <t>Тайная дипломатия западных держав и России в годы Первой мировой войны. Дневники посла Великобритании во Франции. 1914—1918 годы</t>
        </is>
      </c>
      <c r="F3647" s="23" t="inlineStr">
        <is>
          <t>        </t>
        </is>
      </c>
      <c r="G3647" s="27" t="n">
        <v>1466</v>
      </c>
      <c r="H3647" s="23" t="n">
        <v>10</v>
      </c>
      <c r="I3647" s="23" t="n">
        <v>8</v>
      </c>
      <c r="J3647" s="23" t="inlineStr">
        <is>
          <t>978-5-9524-6170-3</t>
        </is>
      </c>
      <c r="K3647" s="23" t="inlineStr">
        <is>
          <t>84x108 1/32</t>
        </is>
      </c>
      <c r="L3647" s="23" t="inlineStr">
        <is>
          <t>тв</t>
        </is>
      </c>
      <c r="M3647" s="23" t="n">
        <v>575</v>
      </c>
      <c r="N3647" s="23" t="n">
        <v>2024</v>
      </c>
      <c r="O3647" s="23" t="n">
        <v>580</v>
      </c>
      <c r="P3647" s="23" t="n"/>
      <c r="Q3647" s="23" t="n"/>
      <c r="R3647" s="25" t="inlineStr">
        <is>
          <t>Лорд Френсис Барти, Откровенный Барти, как называли его друзья, — выдающийся дипломат, посол Великобритании во Франции в 1914—1918 годах, верой и правдой служил своей стране и делал это виртуозно, доведя до совершенства искусство дипломатии. Дневники, которые он вел в течение всей своей службы во Франции в тяжелые годы Первой мировой войны, — ценнейший документ, раскрывающий истинные мотивы политики Великобритании в Европе, на Ближнем Востоке, в Палестине, на Балканах и в других регионах. Всегда основываясь на здравом смысле и понимании сути происходящего, Барти раскрывает секреты дипломатической кухни, где царит холодный расчет в достижении далеко не всегда благовидных целей.</t>
        </is>
      </c>
      <c r="S3647" s="26">
        <f>HYPERLINK("http://www.cnpol.ru/covers/21229.jpg","фото на сайте")</f>
        <v/>
      </c>
    </row>
    <row r="3648" ht="50.1" customHeight="1" s="3">
      <c r="A3648" s="23" t="n"/>
      <c r="B3648" s="24" t="inlineStr">
        <is>
          <t>15980</t>
        </is>
      </c>
      <c r="C3648" s="23" t="inlineStr">
        <is>
          <t>ОИ ВИ</t>
        </is>
      </c>
      <c r="D3648" s="23" t="inlineStr">
        <is>
          <t>Санчес Х.Р., Гильден А</t>
        </is>
      </c>
      <c r="E3648" s="23" t="inlineStr">
        <is>
          <t>Тайная жизнь Фиделя Кастро. Шокирующие откровения личного телохранителя кубинского лидера</t>
        </is>
      </c>
      <c r="F3648" s="23" t="inlineStr">
        <is>
          <t>        </t>
        </is>
      </c>
      <c r="G3648" s="23" t="n">
        <v>633</v>
      </c>
      <c r="H3648" s="23" t="n">
        <v>10</v>
      </c>
      <c r="I3648" s="23" t="n">
        <v>20</v>
      </c>
      <c r="J3648" s="23" t="inlineStr">
        <is>
          <t>978-5-227-05935-2</t>
        </is>
      </c>
      <c r="K3648" s="23" t="inlineStr">
        <is>
          <t>84x108 1/32</t>
        </is>
      </c>
      <c r="L3648" s="23" t="inlineStr">
        <is>
          <t>тв</t>
        </is>
      </c>
      <c r="M3648" s="23" t="n">
        <v>255</v>
      </c>
      <c r="N3648" s="23" t="n">
        <v>2015</v>
      </c>
      <c r="O3648" s="23" t="n">
        <v>268</v>
      </c>
      <c r="P3648" s="23" t="n"/>
      <c r="Q3648" s="23" t="n"/>
      <c r="R3648" s="25" t="n"/>
      <c r="S3648" s="26">
        <f>HYPERLINK("http://www.cnpol.ru/covers/15980.jpg","фото на сайте")</f>
        <v/>
      </c>
    </row>
    <row r="3649" ht="50.1" customHeight="1" s="3">
      <c r="A3649" s="23" t="inlineStr">
        <is>
          <t>Д</t>
        </is>
      </c>
      <c r="B3649" s="24" t="inlineStr">
        <is>
          <t>21590</t>
        </is>
      </c>
      <c r="C3649" s="23" t="inlineStr">
        <is>
          <t>ОИ ВИ</t>
        </is>
      </c>
      <c r="D3649" s="23" t="inlineStr">
        <is>
          <t>Спенс Л.</t>
        </is>
      </c>
      <c r="E3649" s="23" t="inlineStr">
        <is>
          <t>Таинства Египта. Обряды, традиции, ритуалы</t>
        </is>
      </c>
      <c r="F3649" s="23" t="inlineStr">
        <is>
          <t>        </t>
        </is>
      </c>
      <c r="G3649" s="23" t="n">
        <v>855</v>
      </c>
      <c r="H3649" s="23" t="n">
        <v>10</v>
      </c>
      <c r="I3649" s="23" t="n">
        <v>5</v>
      </c>
      <c r="J3649" s="23" t="inlineStr">
        <is>
          <t>978-5-9524-6389-9</t>
        </is>
      </c>
      <c r="K3649" s="23" t="inlineStr">
        <is>
          <t>84x108 1/32</t>
        </is>
      </c>
      <c r="L3649" s="23" t="inlineStr">
        <is>
          <t>тв</t>
        </is>
      </c>
      <c r="M3649" s="23" t="n">
        <v>222</v>
      </c>
      <c r="N3649" s="23" t="n">
        <v>2025</v>
      </c>
      <c r="O3649" s="23" t="n">
        <v>297</v>
      </c>
      <c r="P3649" s="23" t="n"/>
      <c r="Q3649" s="23" t="n"/>
      <c r="R3649" s="25" t="inlineStr">
        <is>
          <t>В книге известного антрополога и фольклориста Льюиса Спенса описано все многообразие мистической и оккультной мысли Древнего Египта, выраженное в тайных магических обрядах. Приводится описание ритуалов, которые отправлялись в египетских храмах, а также сведения о том, как элементы египетских культов были перенесены в другие культуры и в каком виде они сохранились до наших дней.</t>
        </is>
      </c>
      <c r="S3649" s="26">
        <f>HYPERLINK("http://www.cnpol.ru/covers/21590.jpg","фото на сайте")</f>
        <v/>
      </c>
    </row>
    <row r="3650" ht="50.1" customHeight="1" s="3">
      <c r="A3650" s="23" t="inlineStr">
        <is>
          <t>Д</t>
        </is>
      </c>
      <c r="B3650" s="24" t="inlineStr">
        <is>
          <t>22188</t>
        </is>
      </c>
      <c r="C3650" s="23" t="inlineStr">
        <is>
          <t>ОИ ВИ</t>
        </is>
      </c>
      <c r="D3650" s="23" t="inlineStr">
        <is>
          <t>Чамовиц Д</t>
        </is>
      </c>
      <c r="E3650" s="23" t="inlineStr">
        <is>
          <t>Тайные знания растений. Что видят, слышат и помнят цветы и деревья</t>
        </is>
      </c>
      <c r="F3650" s="23" t="inlineStr">
        <is>
          <t>        </t>
        </is>
      </c>
      <c r="G3650" s="23" t="n">
        <v>835</v>
      </c>
      <c r="H3650" s="23" t="n">
        <v>10</v>
      </c>
      <c r="I3650" s="23" t="n">
        <v>10</v>
      </c>
      <c r="J3650" s="23" t="inlineStr">
        <is>
          <t>978-5-227-11349-8</t>
        </is>
      </c>
      <c r="K3650" s="23" t="inlineStr">
        <is>
          <t>84x108 1/32</t>
        </is>
      </c>
      <c r="L3650" s="23" t="inlineStr">
        <is>
          <t>тв</t>
        </is>
      </c>
      <c r="M3650" s="23" t="n">
        <v>223</v>
      </c>
      <c r="N3650" s="23" t="n">
        <v>2026</v>
      </c>
      <c r="O3650" s="23" t="n">
        <v>290</v>
      </c>
      <c r="P3650" s="23" t="n"/>
      <c r="Q3650" s="23" t="n"/>
      <c r="R3650" s="25" t="inlineStr">
        <is>
          <t>Как и все живое на планете, растения имеют тонко развитые сенсорную и регуляторную системы, которые позволяют им видоизменяться и приспосабливаться к изменениям окружающей среды. А могут ли растения чувствовать: различать цвета, ощущать вкус и аромат, ориентироваться в пространстве и испытывать эмоции? Какая музыка по вкусу мимозе и бархатцам? Какой механизм заставляет сомкнуться «челюсти» венериной мухоловки? Какие ароматы провоцируют ускоренное созревание груш и авокадо? Ответ на эти и другие вопросы вы узнаете из книги известного биолога Дэниела Чамовица. Опираясь на результаты новейших исследований современных ученых, Чамовиц объясняет принципы работы одного из чувств человека и сравнивает этот механизм с аналогичным, присутствующим у растений. Загляните в удивительный мир живых, чувствующих растений — вас ожидают интригующие открытия!</t>
        </is>
      </c>
      <c r="S3650" s="26">
        <f>HYPERLINK("http://www.cnpol.ru/covers/22188.jpg","фото на сайте")</f>
        <v/>
      </c>
    </row>
    <row r="3651" ht="50.1" customHeight="1" s="3">
      <c r="A3651" s="23" t="inlineStr">
        <is>
          <t>Н</t>
        </is>
      </c>
      <c r="B3651" s="24" t="inlineStr">
        <is>
          <t>21361</t>
        </is>
      </c>
      <c r="C3651" s="23" t="inlineStr">
        <is>
          <t>ОИ ВИ</t>
        </is>
      </c>
      <c r="D3651" s="23" t="inlineStr">
        <is>
          <t>Энгус С</t>
        </is>
      </c>
      <c r="E3651" s="23" t="inlineStr">
        <is>
          <t>Тайные культы древних. Мистические практики, посвященные богам</t>
        </is>
      </c>
      <c r="F3651" s="23" t="inlineStr">
        <is>
          <t>        </t>
        </is>
      </c>
      <c r="G3651" s="27" t="n">
        <v>1184</v>
      </c>
      <c r="H3651" s="23" t="n">
        <v>10</v>
      </c>
      <c r="I3651" s="23" t="n">
        <v>5</v>
      </c>
      <c r="J3651" s="23" t="inlineStr">
        <is>
          <t>978-5-9524-6224-3</t>
        </is>
      </c>
      <c r="K3651" s="23" t="inlineStr">
        <is>
          <t>84x108 1/32</t>
        </is>
      </c>
      <c r="L3651" s="23" t="inlineStr">
        <is>
          <t>тв</t>
        </is>
      </c>
      <c r="M3651" s="23" t="n">
        <v>414</v>
      </c>
      <c r="N3651" s="23" t="n">
        <v>2024</v>
      </c>
      <c r="O3651" s="23" t="n">
        <v>451</v>
      </c>
      <c r="P3651" s="23" t="n"/>
      <c r="Q3651" s="23" t="n"/>
      <c r="R3651" s="25" t="inlineStr">
        <is>
          <t>В своей работе С. Энгус рассматривает древние религиозные культы, исследует их своеобразие и в итоге крах перед христианством. Он затрагивает элевсинские мистерии — религиозные таинства Древней Греции, культ азиатской Кибелы, Великой Матери и Аттиса, египетских Осириса и Исиды, дионисийские обряды, митраизм в эллинистическом мире и другие темы дохристианского вероисповедания.</t>
        </is>
      </c>
      <c r="S3651" s="26">
        <f>HYPERLINK("http://www.cnpol.ru/covers/21361.jpg","фото на сайте")</f>
        <v/>
      </c>
    </row>
    <row r="3652" ht="50.1" customHeight="1" s="3">
      <c r="A3652" s="23" t="inlineStr">
        <is>
          <t>Д</t>
        </is>
      </c>
      <c r="B3652" s="24" t="inlineStr">
        <is>
          <t>21155</t>
        </is>
      </c>
      <c r="C3652" s="23" t="inlineStr">
        <is>
          <t>ОИ ВИ</t>
        </is>
      </c>
      <c r="D3652" s="23" t="inlineStr">
        <is>
          <t>Гекертон Ч.У.</t>
        </is>
      </c>
      <c r="E3652" s="23" t="inlineStr">
        <is>
          <t>Тайные общества всех веков и стран</t>
        </is>
      </c>
      <c r="F3652" s="23" t="inlineStr">
        <is>
          <t>        </t>
        </is>
      </c>
      <c r="G3652" s="23" t="n">
        <v>633</v>
      </c>
      <c r="H3652" s="23" t="n">
        <v>10</v>
      </c>
      <c r="I3652" s="23" t="n">
        <v>10</v>
      </c>
      <c r="J3652" s="23" t="inlineStr">
        <is>
          <t>978-5-227-10675-9</t>
        </is>
      </c>
      <c r="K3652" s="23" t="inlineStr">
        <is>
          <t>84x108 1/32</t>
        </is>
      </c>
      <c r="L3652" s="23" t="inlineStr">
        <is>
          <t>тв</t>
        </is>
      </c>
      <c r="M3652" s="23" t="n">
        <v>447</v>
      </c>
      <c r="N3652" s="23" t="n">
        <v>2024</v>
      </c>
      <c r="O3652" s="23" t="n">
        <v>350</v>
      </c>
      <c r="P3652" s="23" t="n"/>
      <c r="Q3652" s="23" t="n"/>
      <c r="R3652" s="25" t="inlineStr">
        <is>
          <t>Масоны и тамплиеры, алхимики и розенкрейцеры, каббалисты и гностики — практически все известные мировой истории тайные общества описаны в фундаментальном труде Чарльза Гекертона. Сам автор считал свою книгу «самым ясным отчетом о тайных обществах»._x000D_
Эта книга фактически является путеводителем по истории образования, развития и деятельности тайных обществ. Автор приводит их подробную классификацию, описывая религиозные, военные, судебные, ученые и политические тайные общества. Практически все известные истории тайные общества, их цели и задачи, структура, правила посвящения и обряды инициации рассмотрены здесь.</t>
        </is>
      </c>
      <c r="S3652" s="26">
        <f>HYPERLINK("http://www.cnpol.ru/covers/21155.jpg","фото на сайте")</f>
        <v/>
      </c>
    </row>
    <row r="3653" ht="50.1" customHeight="1" s="3">
      <c r="A3653" s="23" t="n"/>
      <c r="B3653" s="24" t="inlineStr">
        <is>
          <t>20934</t>
        </is>
      </c>
      <c r="C3653" s="23" t="inlineStr">
        <is>
          <t>ОИ ВИ</t>
        </is>
      </c>
      <c r="D3653" s="23" t="inlineStr">
        <is>
          <t>Воронцова А.</t>
        </is>
      </c>
      <c r="E3653" s="23" t="inlineStr">
        <is>
          <t>Тайные общества мира. Масоны, иллюминаты, розенкрейцеры, тамплиеры, каморра, якудза…</t>
        </is>
      </c>
      <c r="F3653" s="23" t="inlineStr">
        <is>
          <t>        </t>
        </is>
      </c>
      <c r="G3653" s="23" t="n">
        <v>915</v>
      </c>
      <c r="H3653" s="23" t="n">
        <v>10</v>
      </c>
      <c r="I3653" s="23" t="n">
        <v>6</v>
      </c>
      <c r="J3653" s="23" t="inlineStr">
        <is>
          <t>978-5-227-10552-3</t>
        </is>
      </c>
      <c r="K3653" s="23" t="inlineStr">
        <is>
          <t>70x108 1/32</t>
        </is>
      </c>
      <c r="L3653" s="23" t="inlineStr">
        <is>
          <t>тв</t>
        </is>
      </c>
      <c r="M3653" s="23" t="n">
        <v>384</v>
      </c>
      <c r="N3653" s="23" t="n">
        <v>2024</v>
      </c>
      <c r="O3653" s="23" t="n">
        <v>410</v>
      </c>
      <c r="P3653" s="23" t="n"/>
      <c r="Q3653" s="23" t="n"/>
      <c r="R3653" s="25" t="inlineStr">
        <is>
          <t>Во все времена и у всех народов существовали общества, союзы и ордена, которые сохраняли в тайне свои цели и приемы. Масоны, иллюминаты, тамплиеры, друиды, розенкрейцеры и множество других религиозных, политических и даже мафиозных структур, прозвучавших в мировой истории, описаны в этой книге. Вас ждут всемирно известные китайские триады, кровожадная каморра, покрытая мраком тайны якудза, наводящий ужас на все живое ку-клукс-клан, западноафриканские каннибалы — леопарды и секретные спецслужбы от Моссад до ФСБ.</t>
        </is>
      </c>
      <c r="S3653" s="26">
        <f>HYPERLINK("http://www.cnpol.ru/covers/20934.jpg","фото на сайте")</f>
        <v/>
      </c>
    </row>
    <row r="3654" ht="50.1" customHeight="1" s="3">
      <c r="A3654" s="23" t="inlineStr">
        <is>
          <t>Д</t>
        </is>
      </c>
      <c r="B3654" s="24" t="inlineStr">
        <is>
          <t>22128</t>
        </is>
      </c>
      <c r="C3654" s="23" t="inlineStr">
        <is>
          <t>ОИ ВИ</t>
        </is>
      </c>
      <c r="D3654" s="23" t="inlineStr">
        <is>
          <t>Воронцова А.</t>
        </is>
      </c>
      <c r="E3654" s="23" t="inlineStr">
        <is>
          <t>Тайные общества мира. Масоны, иллюминаты, розенкрейцеры, тамплиеры, каморра, якудза…</t>
        </is>
      </c>
      <c r="F3654" s="23" t="inlineStr">
        <is>
          <t>        </t>
        </is>
      </c>
      <c r="G3654" s="23" t="n">
        <v>999</v>
      </c>
      <c r="H3654" s="23" t="n">
        <v>10</v>
      </c>
      <c r="I3654" s="23" t="n">
        <v>5</v>
      </c>
      <c r="J3654" s="23" t="inlineStr">
        <is>
          <t>978-5-227-11294-1</t>
        </is>
      </c>
      <c r="K3654" s="23" t="inlineStr">
        <is>
          <t>70x108 1/32</t>
        </is>
      </c>
      <c r="L3654" s="23" t="inlineStr">
        <is>
          <t>тв</t>
        </is>
      </c>
      <c r="M3654" s="23" t="n">
        <v>383</v>
      </c>
      <c r="N3654" s="23" t="n">
        <v>2026</v>
      </c>
      <c r="O3654" s="23" t="n">
        <v>410</v>
      </c>
      <c r="P3654" s="23" t="n"/>
      <c r="Q3654" s="23" t="n"/>
      <c r="R3654" s="25" t="inlineStr">
        <is>
          <t>Во все времена и у всех народов существовали общества, союзы и ордена, которые сохраняли в тайне свои цели и приемы. Масоны, иллюминаты, тамплиеры, друиды, розенкрейцеры и множество других религиозных, политических и даже мафиозных структур, прозвучавших в мировой истории, описаны в этой книге. Вас ждут всемирно известные китайские триады, кровожадная каморра, покрытая мраком тайны якудза, наводящий ужас на все живое ку-клукс-клан, западноафриканские каннибалы — леопарды и секретные спецслужбы от Моссад до ФСБ.</t>
        </is>
      </c>
      <c r="S3654" s="26">
        <f>HYPERLINK("http://www.cnpol.ru/covers/22128.jpg","фото на сайте")</f>
        <v/>
      </c>
    </row>
    <row r="3655" ht="50.1" customHeight="1" s="3">
      <c r="A3655" s="23" t="n"/>
      <c r="B3655" s="24" t="inlineStr">
        <is>
          <t>19683</t>
        </is>
      </c>
      <c r="C3655" s="23" t="inlineStr">
        <is>
          <t>ОИ ВИ</t>
        </is>
      </c>
      <c r="D3655" s="23" t="inlineStr">
        <is>
          <t>Даллес А</t>
        </is>
      </c>
      <c r="E3655" s="23" t="inlineStr">
        <is>
          <t>Тайные операции американской разведки в Европе. Легендарный глава ЦРУ о секретном фронте Второй мировой войны</t>
        </is>
      </c>
      <c r="F3655" s="23" t="inlineStr">
        <is>
          <t>        </t>
        </is>
      </c>
      <c r="G3655" s="23" t="n">
        <v>633</v>
      </c>
      <c r="H3655" s="23" t="n">
        <v>10</v>
      </c>
      <c r="I3655" s="23" t="n">
        <v>12</v>
      </c>
      <c r="J3655" s="23" t="inlineStr">
        <is>
          <t>978-5-9524-5557-3</t>
        </is>
      </c>
      <c r="K3655" s="23" t="inlineStr">
        <is>
          <t>84x108 1/32</t>
        </is>
      </c>
      <c r="L3655" s="23" t="inlineStr">
        <is>
          <t>тв</t>
        </is>
      </c>
      <c r="M3655" s="23" t="n">
        <v>352</v>
      </c>
      <c r="N3655" s="23" t="n">
        <v>2021</v>
      </c>
      <c r="O3655" s="23" t="n">
        <v>296</v>
      </c>
      <c r="P3655" s="23" t="n"/>
      <c r="Q3655" s="23" t="n"/>
      <c r="R3655" s="25" t="n"/>
      <c r="S3655" s="26">
        <f>HYPERLINK("http://www.cnpol.ru/covers/19683.jpg","фото на сайте")</f>
        <v/>
      </c>
    </row>
    <row r="3656" ht="50.1" customHeight="1" s="3">
      <c r="A3656" s="23" t="inlineStr">
        <is>
          <t>Н</t>
        </is>
      </c>
      <c r="B3656" s="24" t="inlineStr">
        <is>
          <t>21357</t>
        </is>
      </c>
      <c r="C3656" s="23" t="inlineStr">
        <is>
          <t>ОИ ВИ</t>
        </is>
      </c>
      <c r="D3656" s="23" t="inlineStr">
        <is>
          <t>Марайни Ф.</t>
        </is>
      </c>
      <c r="E3656" s="23" t="inlineStr">
        <is>
          <t>Тайный Тибет. Обычаи, верования и магические ритуалы буддийских монахов и лам</t>
        </is>
      </c>
      <c r="F3656" s="23" t="inlineStr">
        <is>
          <t>        </t>
        </is>
      </c>
      <c r="G3656" s="27" t="n">
        <v>1157</v>
      </c>
      <c r="H3656" s="23" t="n">
        <v>10</v>
      </c>
      <c r="I3656" s="23" t="n">
        <v>6</v>
      </c>
      <c r="J3656" s="23" t="inlineStr">
        <is>
          <t>978-5-9524-6221-2</t>
        </is>
      </c>
      <c r="K3656" s="23" t="inlineStr">
        <is>
          <t>84x108 1/32</t>
        </is>
      </c>
      <c r="L3656" s="23" t="inlineStr">
        <is>
          <t>тв</t>
        </is>
      </c>
      <c r="M3656" s="23" t="n">
        <v>347</v>
      </c>
      <c r="N3656" s="23" t="n">
        <v>2024</v>
      </c>
      <c r="O3656" s="23" t="n">
        <v>444</v>
      </c>
      <c r="P3656" s="23" t="n"/>
      <c r="Q3656" s="23" t="n"/>
      <c r="R3656" s="25" t="inlineStr">
        <is>
          <t>Известный ученый и путешественник Фоско Марайни глубоко изучил тибетскую культуру и религию. Его книга — плод длительного и необычайно увлекательного путешествия в Тибет, на корабле, поездом, а затем караванным путем в Лхасу — написана языком настоящего мастера слова. Побывав в тибетских монастырях, Марайни описал их обитателей, уклад, традиции, мистические ритуалы и подчас забавные особенности быта. Любуясь чортенами, символическими изображениями всей ламаистской космогонии, автор объяснил их смысл и значение для тибетской религии. Он также представил подробности жизни всех слоев тибетского общества от крестьян до светской и религиозной знати. Особое внимание Марайни уделил понятию ламаизма, и прежде всего личности того, кто инициировал великое движение, — Гуатаме Будде Пробужденному.</t>
        </is>
      </c>
      <c r="S3656" s="26">
        <f>HYPERLINK("http://www.cnpol.ru/covers/21357.jpg","фото на сайте")</f>
        <v/>
      </c>
    </row>
    <row r="3657" ht="50.1" customHeight="1" s="3">
      <c r="A3657" s="23" t="inlineStr">
        <is>
          <t>Д</t>
        </is>
      </c>
      <c r="B3657" s="24" t="inlineStr">
        <is>
          <t>21934</t>
        </is>
      </c>
      <c r="C3657" s="23" t="inlineStr">
        <is>
          <t>ОИ ВИ</t>
        </is>
      </c>
      <c r="D3657" s="23" t="inlineStr">
        <is>
          <t>Кейтли Т.</t>
        </is>
      </c>
      <c r="E3657" s="23" t="inlineStr">
        <is>
          <t>Тамплиеры. История великого рыцарского ордена и других тайных обществ Средневековья</t>
        </is>
      </c>
      <c r="F3657" s="23" t="inlineStr">
        <is>
          <t>        </t>
        </is>
      </c>
      <c r="G3657" s="27" t="n">
        <v>1184</v>
      </c>
      <c r="H3657" s="23" t="n">
        <v>10</v>
      </c>
      <c r="I3657" s="23" t="n">
        <v>6</v>
      </c>
      <c r="J3657" s="23" t="inlineStr">
        <is>
          <t>978-5-227-11224-8</t>
        </is>
      </c>
      <c r="K3657" s="23" t="inlineStr">
        <is>
          <t>84x108 1/32</t>
        </is>
      </c>
      <c r="L3657" s="23" t="inlineStr">
        <is>
          <t>тв</t>
        </is>
      </c>
      <c r="M3657" s="23" t="n">
        <v>414</v>
      </c>
      <c r="N3657" s="23" t="n">
        <v>2026</v>
      </c>
      <c r="O3657" s="23" t="n">
        <v>452</v>
      </c>
      <c r="P3657" s="23" t="n"/>
      <c r="Q3657" s="23" t="n"/>
      <c r="R3657" s="25" t="inlineStr">
        <is>
          <t>В книге на широком историческом материале рассказывается о развитии средневековых тайных обществ, созданных людьми, которые стремились освоить и применить на практике мистические знания, далеко выходившие за пределы догм их вероучения, отображены источники их конфликтов с правящими кругами. Это и тамплиеры — воинствующие монахи, которые доказывали преданность своей религии и ее истинность силой оружия, и ассасины — первый монашеский военный орден в исламе, который, распространяя свое вероучение, устранял на занятой им территории руками мулахидов, фанатиков­убийц, мусульман и христиан без особого разбора._x000D__x000D_
Помимо тамплиеров и ассасинов, это историческое исследование повествует о тайных трибуналах Вестфалии, известных также как суды фемы — своеобразные комитеты бдительности граждан, вершивших тайный суд и неукоснительно приводивших в исполнение приговоры в Средние века, когда в Германии царило беззаконие._x000D__x000D_
Ставшее классическим исследование английского историка Томаса Кейтли, отличающееся глубоким проникновением в тему, представляет интерес для всякого любознательного и пытливого современника.</t>
        </is>
      </c>
      <c r="S3657" s="26">
        <f>HYPERLINK("http://www.cnpol.ru/covers/21934.jpg","фото на сайте")</f>
        <v/>
      </c>
    </row>
    <row r="3658" ht="50.1" customHeight="1" s="3">
      <c r="A3658" s="23" t="inlineStr">
        <is>
          <t>Н</t>
        </is>
      </c>
      <c r="B3658" s="24" t="inlineStr">
        <is>
          <t>22049</t>
        </is>
      </c>
      <c r="C3658" s="23" t="inlineStr">
        <is>
          <t>ОИ ВИ</t>
        </is>
      </c>
      <c r="D3658" s="23" t="inlineStr">
        <is>
          <t>Гот Г.</t>
        </is>
      </c>
      <c r="E3658" s="23" t="inlineStr">
        <is>
          <t>Танковые операции. 3-я танковая группа Германии во время вторжения в Россию</t>
        </is>
      </c>
      <c r="F3658" s="23" t="inlineStr">
        <is>
          <t>        </t>
        </is>
      </c>
      <c r="G3658" s="23" t="n">
        <v>802</v>
      </c>
      <c r="H3658" s="23" t="n">
        <v>10</v>
      </c>
      <c r="I3658" s="23" t="n">
        <v>10</v>
      </c>
      <c r="J3658" s="23" t="inlineStr">
        <is>
          <t>978-5-9524-6637-1</t>
        </is>
      </c>
      <c r="K3658" s="23" t="inlineStr">
        <is>
          <t>84x108 1/32</t>
        </is>
      </c>
      <c r="L3658" s="23" t="inlineStr">
        <is>
          <t>тв</t>
        </is>
      </c>
      <c r="M3658" s="23" t="n">
        <v>206</v>
      </c>
      <c r="N3658" s="23" t="n">
        <v>2026</v>
      </c>
      <c r="O3658" s="23" t="n">
        <v>280</v>
      </c>
      <c r="P3658" s="23" t="n"/>
      <c r="Q3658" s="23" t="n"/>
      <c r="R3658" s="25" t="inlineStr">
        <is>
          <t>Немецкий генерал-полковник, одна из ключевых фигур Второй мировой войны, Герман Гот был командующим 3-й танковой группой немецких войск на советско-германском фронте. В своих воспоминаниях он описывает подготовку гитлеровского командования к нападению на Советский Союз и военные действия на Восточном фронте летом и осенью 1941 года. Рассказывая о военных операциях, автор опирается и на архивные материалы, приводит схемы боевых передвижений танковых соединений, дает свой анализ событий того времени.</t>
        </is>
      </c>
      <c r="S3658" s="26">
        <f>HYPERLINK("http://www.cnpol.ru/covers/22049.jpg","фото на сайте")</f>
        <v/>
      </c>
    </row>
    <row r="3659" ht="50.1" customHeight="1" s="3">
      <c r="A3659" s="23" t="inlineStr">
        <is>
          <t>Д</t>
        </is>
      </c>
      <c r="B3659" s="24" t="inlineStr">
        <is>
          <t>21187</t>
        </is>
      </c>
      <c r="C3659" s="23" t="inlineStr">
        <is>
          <t>ОИ ВИ</t>
        </is>
      </c>
      <c r="D3659" s="23" t="inlineStr">
        <is>
          <t>Оман Ч.</t>
        </is>
      </c>
      <c r="E3659" s="23" t="inlineStr">
        <is>
          <t>Темные века европейской истории. От падения Рима до эпохи Ренессанса</t>
        </is>
      </c>
      <c r="F3659" s="23" t="inlineStr">
        <is>
          <t>        </t>
        </is>
      </c>
      <c r="G3659" s="27" t="n">
        <v>1238</v>
      </c>
      <c r="H3659" s="23" t="n">
        <v>10</v>
      </c>
      <c r="I3659" s="23" t="n">
        <v>10</v>
      </c>
      <c r="J3659" s="23" t="inlineStr">
        <is>
          <t>978-5-9524-5651-8</t>
        </is>
      </c>
      <c r="K3659" s="23" t="inlineStr">
        <is>
          <t>84x108 1/32</t>
        </is>
      </c>
      <c r="L3659" s="23" t="inlineStr">
        <is>
          <t>тв</t>
        </is>
      </c>
      <c r="M3659" s="23" t="n">
        <v>448</v>
      </c>
      <c r="N3659" s="23" t="n">
        <v>2024</v>
      </c>
      <c r="O3659" s="23" t="n">
        <v>489</v>
      </c>
      <c r="P3659" s="23" t="n"/>
      <c r="Q3659" s="23" t="n"/>
      <c r="R3659" s="25" t="inlineStr">
        <is>
          <t>В 476 году пала Западная Римская империя. Обширные территории Западного Средиземноморья оказались в руках вандалов, вестготов, франков и других племен, которых римляне прежде называли варварами. Римской империи, такой, какой ее знал Древний мир, больше не было. Но, даже в условиях упадка власти, Европа не погрузилась во мрак. По­прежнему существовала Восточная Римская империя, под покровительством императоров процветали искусства, науки и ремесла, совершенствовалась правовая система. На обломках Западной Римской империи возникали новые могущественные государства — королевства франков, остготов и вестготов. _x000D_
Британский военный историк Чарльз Оман проливает свет на период, именуемый Темными веками, всесторонне описывает личности и раскрывает характер правителей — от Теодориха Великого, который властвовал в Италии в начале VI века, до Карла Великого, первого императора франков. Историк наглядно показывает, как в конфликтах раннего Средневековья был заложен фундамент современной Европы.</t>
        </is>
      </c>
      <c r="S3659" s="26">
        <f>HYPERLINK("http://www.cnpol.ru/covers/21187.jpg","фото на сайте")</f>
        <v/>
      </c>
    </row>
    <row r="3660" ht="50.1" customHeight="1" s="3">
      <c r="A3660" s="23" t="n"/>
      <c r="B3660" s="24" t="inlineStr">
        <is>
          <t>20582</t>
        </is>
      </c>
      <c r="C3660" s="23" t="inlineStr">
        <is>
          <t>ОИ ВИ</t>
        </is>
      </c>
      <c r="D3660" s="23" t="inlineStr">
        <is>
          <t>Саксонский Мориц</t>
        </is>
      </c>
      <c r="E3660" s="23" t="inlineStr">
        <is>
          <t>Теория военного искусства</t>
        </is>
      </c>
      <c r="F3660" s="23" t="inlineStr">
        <is>
          <t>        </t>
        </is>
      </c>
      <c r="G3660" s="23" t="n">
        <v>888</v>
      </c>
      <c r="H3660" s="23" t="n">
        <v>10</v>
      </c>
      <c r="I3660" s="23" t="n">
        <v>14</v>
      </c>
      <c r="J3660" s="23" t="inlineStr">
        <is>
          <t>978-5-227-10258-4</t>
        </is>
      </c>
      <c r="K3660" s="23" t="inlineStr">
        <is>
          <t>84x108 1/32</t>
        </is>
      </c>
      <c r="L3660" s="23" t="inlineStr">
        <is>
          <t>тв</t>
        </is>
      </c>
      <c r="M3660" s="23" t="n">
        <v>255</v>
      </c>
      <c r="N3660" s="23" t="n">
        <v>2023</v>
      </c>
      <c r="O3660" s="23" t="n">
        <v>250</v>
      </c>
      <c r="P3660" s="23" t="n"/>
      <c r="Q3660" s="23" t="n"/>
      <c r="R3660" s="25" t="inlineStr">
        <is>
          <t>Граф Мориц Саксонский, главный маршал Франции, величайший полководец и военный теоретик, в своем трактате о военном деле рассматривает все аспекты подготовки и ведения войны. Выдвигает новые для своего времени идеи о необходимости воинской повинности и войсковых кадров, о тактике конницы, применении легкой артиллерии, роли инженерных укреплений на поле боя и значении нравственного элемента на войне. На протяжении многих лет его сочинение служило основой для изучения военного искусства._x000D_
Знаменитыми принципами Наполеона руководствовалось не одно поколение военных деятелей. У. Кейрнс в своем сборнике не только предлагает к изучению стратегические и тактические принципы Наполеона, но и рассматривает их действие на примере кампаний, проводимых признанными полководцами. Таким образом иллюстрируя и доказывая, что поражение и успех военных операций зависят от природного гения и знаний главнокомандующего.</t>
        </is>
      </c>
      <c r="S3660" s="26">
        <f>HYPERLINK("http://www.cnpol.ru/covers/20582.jpg","фото на сайте")</f>
        <v/>
      </c>
    </row>
    <row r="3661" ht="50.1" customHeight="1" s="3">
      <c r="A3661" s="23" t="n"/>
      <c r="B3661" s="24" t="inlineStr">
        <is>
          <t>20209</t>
        </is>
      </c>
      <c r="C3661" s="23" t="inlineStr">
        <is>
          <t>ОИ ВИ</t>
        </is>
      </c>
      <c r="D3661" s="23" t="inlineStr">
        <is>
          <t>Вексберг Д.</t>
        </is>
      </c>
      <c r="E3661" s="23" t="inlineStr">
        <is>
          <t>Торговые банкиры. Известнейшие мировые финансовые династии</t>
        </is>
      </c>
      <c r="F3661" s="23" t="inlineStr">
        <is>
          <t>        </t>
        </is>
      </c>
      <c r="G3661" s="27" t="n">
        <v>1057</v>
      </c>
      <c r="H3661" s="23" t="n">
        <v>10</v>
      </c>
      <c r="I3661" s="23" t="n">
        <v>12</v>
      </c>
      <c r="J3661" s="23" t="inlineStr">
        <is>
          <t>978-5-9524-5768-3</t>
        </is>
      </c>
      <c r="K3661" s="23" t="inlineStr">
        <is>
          <t>84x108 1/32</t>
        </is>
      </c>
      <c r="L3661" s="23" t="inlineStr">
        <is>
          <t>тв</t>
        </is>
      </c>
      <c r="M3661" s="23" t="n">
        <v>351</v>
      </c>
      <c r="N3661" s="23" t="n">
        <v>2022</v>
      </c>
      <c r="O3661" s="23" t="n">
        <v>394</v>
      </c>
      <c r="P3661" s="23" t="n"/>
      <c r="Q3661" s="23" t="n"/>
      <c r="R3661" s="25" t="n"/>
      <c r="S3661" s="26">
        <f>HYPERLINK("http://www.cnpol.ru/covers/20209.jpg","фото на сайте")</f>
        <v/>
      </c>
    </row>
    <row r="3662" ht="50.1" customHeight="1" s="3">
      <c r="A3662" s="23" t="inlineStr">
        <is>
          <t>Н</t>
        </is>
      </c>
      <c r="B3662" s="24" t="inlineStr">
        <is>
          <t>21466</t>
        </is>
      </c>
      <c r="C3662" s="23" t="inlineStr">
        <is>
          <t>ОИ ВИ</t>
        </is>
      </c>
      <c r="D3662" s="23" t="inlineStr">
        <is>
          <t>Цинз Х.</t>
        </is>
      </c>
      <c r="E3662" s="23" t="inlineStr">
        <is>
          <t>Торговые войны Англии с Ганзейским союзом. Борьба на Балтике за рынки России и Речи Посполитой в Елизаветинскую эпоху</t>
        </is>
      </c>
      <c r="F3662" s="23" t="inlineStr">
        <is>
          <t>        </t>
        </is>
      </c>
      <c r="G3662" s="23" t="n">
        <v>513</v>
      </c>
      <c r="H3662" s="23" t="n">
        <v>10</v>
      </c>
      <c r="I3662" s="23" t="n">
        <v>14</v>
      </c>
      <c r="J3662" s="23" t="inlineStr">
        <is>
          <t>978-5-9524-6312-7</t>
        </is>
      </c>
      <c r="K3662" s="23" t="inlineStr">
        <is>
          <t>84x108 1/32</t>
        </is>
      </c>
      <c r="L3662" s="23" t="inlineStr">
        <is>
          <t>тв</t>
        </is>
      </c>
      <c r="M3662" s="23" t="n">
        <v>286</v>
      </c>
      <c r="N3662" s="23" t="n">
        <v>2025</v>
      </c>
      <c r="O3662" s="23" t="n">
        <v>222</v>
      </c>
      <c r="P3662" s="23" t="n"/>
      <c r="Q3662" s="23" t="n"/>
      <c r="R3662" s="25" t="inlineStr">
        <is>
          <t>Хенрик Цинз представляет англо-балтийские торговые и политические отношения в «золотой век» английской истории, ознаменовавшие экономическую и политическую экспансию Англии в переломный момент ее социально-экономического развития. Рассказывает, как в годы правления королевы Елизаветы после ожесточенной борьбы с монополией Ганзейского союза за рынки сбыта страна достигла независимого положения в торговых отношениях на землях Северного и Балтийского морей. Информация основана на многочисленных статистических материалах, различных видах таможенных документов, в частности портовых книгах, позволяющих наглядно показать рост внешней торговли XVI века.</t>
        </is>
      </c>
      <c r="S3662" s="26">
        <f>HYPERLINK("http://www.cnpol.ru/covers/21466.jpg","фото на сайте")</f>
        <v/>
      </c>
    </row>
    <row r="3663" ht="50.1" customHeight="1" s="3">
      <c r="A3663" s="23" t="inlineStr">
        <is>
          <t>Н</t>
        </is>
      </c>
      <c r="B3663" s="24" t="inlineStr">
        <is>
          <t>21114</t>
        </is>
      </c>
      <c r="C3663" s="23" t="inlineStr">
        <is>
          <t>ОИ ВИ</t>
        </is>
      </c>
      <c r="D3663" s="23" t="inlineStr">
        <is>
          <t>Барц К.</t>
        </is>
      </c>
      <c r="E3663" s="23" t="inlineStr">
        <is>
          <t>Трагедия абвера. Немецкая военная разведка во Второй мировой войне. 1935—1945</t>
        </is>
      </c>
      <c r="F3663" s="23" t="inlineStr">
        <is>
          <t>        </t>
        </is>
      </c>
      <c r="G3663" s="23" t="n">
        <v>762</v>
      </c>
      <c r="H3663" s="23" t="n">
        <v>10</v>
      </c>
      <c r="I3663" s="23" t="n">
        <v>18</v>
      </c>
      <c r="J3663" s="23" t="inlineStr">
        <is>
          <t>978-5-9524-6013-3</t>
        </is>
      </c>
      <c r="K3663" s="23" t="inlineStr">
        <is>
          <t>84x108 1/32</t>
        </is>
      </c>
      <c r="L3663" s="23" t="inlineStr">
        <is>
          <t>тв</t>
        </is>
      </c>
      <c r="M3663" s="23" t="n">
        <v>191</v>
      </c>
      <c r="N3663" s="23" t="n">
        <v>2024</v>
      </c>
      <c r="O3663" s="23" t="n">
        <v>268</v>
      </c>
      <c r="P3663" s="23" t="n"/>
      <c r="Q3663" s="23" t="n"/>
      <c r="R3663" s="25" t="inlineStr">
        <is>
          <t>Оригинальная версия причин трагического финала самой мощной разведывательной службы Третьего рейха, которая неразрывно связана с личностью адмирала Вильгельма Канариса, возглавлявшего ее с 1935 по 1945 год. В книге представлена ценнейшая информация о формировании сети заговора по отстранению Гитлера от власти и ликвидации режима. Приведены уникальные свидетельства очевидцев, редкие документы и фотографии.</t>
        </is>
      </c>
      <c r="S3663" s="26">
        <f>HYPERLINK("http://www.cnpol.ru/covers/21114.jpg","фото на сайте")</f>
        <v/>
      </c>
    </row>
    <row r="3664" ht="50.1" customHeight="1" s="3">
      <c r="A3664" s="23" t="inlineStr">
        <is>
          <t>Д</t>
        </is>
      </c>
      <c r="B3664" s="24" t="inlineStr">
        <is>
          <t>21425</t>
        </is>
      </c>
      <c r="C3664" s="23" t="inlineStr">
        <is>
          <t>ОИ ВИ</t>
        </is>
      </c>
      <c r="D3664" s="23" t="inlineStr">
        <is>
          <t>Моргентау Г.</t>
        </is>
      </c>
      <c r="E3664" s="23" t="inlineStr">
        <is>
          <t>Трагедия армянского народа. Мрачные страницы истории Османской империи. Записки американского посла. 1915—1916</t>
        </is>
      </c>
      <c r="F3664" s="23" t="inlineStr">
        <is>
          <t>        </t>
        </is>
      </c>
      <c r="G3664" s="27" t="n">
        <v>1023</v>
      </c>
      <c r="H3664" s="23" t="n">
        <v>10</v>
      </c>
      <c r="I3664" s="23" t="n">
        <v>12</v>
      </c>
      <c r="J3664" s="23" t="inlineStr">
        <is>
          <t>978-5-9524-6318-9</t>
        </is>
      </c>
      <c r="K3664" s="23" t="inlineStr">
        <is>
          <t>84x108 1/32</t>
        </is>
      </c>
      <c r="L3664" s="23" t="inlineStr">
        <is>
          <t>тв</t>
        </is>
      </c>
      <c r="M3664" s="23" t="n">
        <v>319</v>
      </c>
      <c r="N3664" s="23" t="n">
        <v>2025</v>
      </c>
      <c r="O3664" s="23" t="n">
        <v>274</v>
      </c>
      <c r="P3664" s="23" t="n"/>
      <c r="Q3664" s="23" t="n"/>
      <c r="R3664" s="25" t="inlineStr">
        <is>
          <t>Книга Генри Моргентау, посла Соединенных Штатов Америки в Турции с 1913 по 1916 год, открывает шокирующую страницу истории. В ней описано уничтожение армянской нации в восточных областях Турецкой империи. Убийства, грабежи, пытки и депортация — это лишь немногое из того, что довелось пережить угнетенному народу. Моргентау представляет глубокий анализ ситуации, подкрепляя его сведениями из официальных источников. Кроме того, он описывает процесс становления профессиональной турецкой армии и правительственные интриги младотурков, а также знакомит читателя с пропагандистской немецкой политикой, которая втянула Турцию в Первую мировую войну.</t>
        </is>
      </c>
      <c r="S3664" s="26">
        <f>HYPERLINK("http://www.cnpol.ru/covers/21425.jpg","фото на сайте")</f>
        <v/>
      </c>
    </row>
    <row r="3665" ht="50.1" customHeight="1" s="3">
      <c r="A3665" s="23" t="n"/>
      <c r="B3665" s="24" t="inlineStr">
        <is>
          <t>19654</t>
        </is>
      </c>
      <c r="C3665" s="23" t="inlineStr">
        <is>
          <t>ОИ ВИ</t>
        </is>
      </c>
      <c r="D3665" s="23" t="inlineStr">
        <is>
          <t>Дрессер К.</t>
        </is>
      </c>
      <c r="E3665" s="23" t="inlineStr">
        <is>
          <t>Традиционное искусство Японии эпохи Мэйдзи. Оригинальное подробное исследование и коллекция уникальных иллюстраций</t>
        </is>
      </c>
      <c r="F3665" s="23" t="inlineStr">
        <is>
          <t>        </t>
        </is>
      </c>
      <c r="G3665" s="27" t="n">
        <v>1359</v>
      </c>
      <c r="H3665" s="23" t="n">
        <v>10</v>
      </c>
      <c r="I3665" s="23" t="n">
        <v>8</v>
      </c>
      <c r="J3665" s="23" t="inlineStr">
        <is>
          <t>978-5-9524-5548-1</t>
        </is>
      </c>
      <c r="K3665" s="23" t="inlineStr">
        <is>
          <t>84x108 1/32</t>
        </is>
      </c>
      <c r="L3665" s="23" t="inlineStr">
        <is>
          <t>тв</t>
        </is>
      </c>
      <c r="M3665" s="23" t="n">
        <v>512</v>
      </c>
      <c r="N3665" s="23" t="n">
        <v>2021</v>
      </c>
      <c r="O3665" s="23" t="n">
        <v>460</v>
      </c>
      <c r="P3665" s="23" t="n"/>
      <c r="Q3665" s="23" t="n"/>
      <c r="R3665" s="25" t="n"/>
      <c r="S3665" s="26">
        <f>HYPERLINK("http://www.cnpol.ru/covers/19654.jpg","фото на сайте")</f>
        <v/>
      </c>
    </row>
    <row r="3666" ht="50.1" customHeight="1" s="3">
      <c r="A3666" s="23" t="inlineStr">
        <is>
          <t>Д</t>
        </is>
      </c>
      <c r="B3666" s="24" t="inlineStr">
        <is>
          <t>22222</t>
        </is>
      </c>
      <c r="C3666" s="23" t="inlineStr">
        <is>
          <t>ОИ ВИ</t>
        </is>
      </c>
      <c r="D3666" s="23" t="inlineStr">
        <is>
          <t>Веджвуд С.В.</t>
        </is>
      </c>
      <c r="E3666" s="23" t="inlineStr">
        <is>
          <t>Тридцатилетняя война. Величайшие битвы за господство в средневековой Европе. 1618—1648</t>
        </is>
      </c>
      <c r="F3666" s="23" t="inlineStr">
        <is>
          <t>        </t>
        </is>
      </c>
      <c r="G3666" s="27" t="n">
        <v>1286</v>
      </c>
      <c r="H3666" s="23" t="n">
        <v>10</v>
      </c>
      <c r="I3666" s="23" t="n">
        <v>10</v>
      </c>
      <c r="J3666" s="23" t="inlineStr">
        <is>
          <t>978-5-9524-6728-6</t>
        </is>
      </c>
      <c r="K3666" s="23" t="inlineStr">
        <is>
          <t>84x108 1/32</t>
        </is>
      </c>
      <c r="L3666" s="23" t="inlineStr">
        <is>
          <t>тв</t>
        </is>
      </c>
      <c r="M3666" s="23" t="n">
        <v>479</v>
      </c>
      <c r="N3666" s="23" t="n">
        <v>2026</v>
      </c>
      <c r="O3666" s="23" t="n">
        <v>514</v>
      </c>
      <c r="P3666" s="23" t="n"/>
      <c r="Q3666" s="23" t="n"/>
      <c r="R3666" s="25" t="inlineStr">
        <is>
          <t>С.В. Веджвуд — автор целого ряда трудов о Европе XVII в. и один из самых известных и популярных историков Великобритании, представляет исчерпывающую хронику Тридцатилетней войны с ее основными битвами и главными участниками. Живыми и яркими красками она изображает Европу 1618 г., раздираемую противоречиями между католиками и протестантами; Бурбонами и Габсбургами; между империями, королевствами и бесчисленными мелкими государствами. После того как разгневанные протестанты выбросили трех представителей Священной Римской империи из окон королевского замка в Праге, вспыхнуло восстание, и война начала неумолимо расползаться из Богемии по всей Европе, вовлекая страны от Испании до Швеции в кошмарную карусель голода, эпидемий и бесконечного хаоса.</t>
        </is>
      </c>
      <c r="S3666" s="26">
        <f>HYPERLINK("http://www.cnpol.ru/covers/22222.jpg","фото на сайте")</f>
        <v/>
      </c>
    </row>
    <row r="3667" ht="50.1" customHeight="1" s="3">
      <c r="A3667" s="23" t="n"/>
      <c r="B3667" s="24" t="inlineStr">
        <is>
          <t>19591</t>
        </is>
      </c>
      <c r="C3667" s="23" t="inlineStr">
        <is>
          <t>ОИ ВИ</t>
        </is>
      </c>
      <c r="D3667" s="23" t="inlineStr">
        <is>
          <t>Каэн К.</t>
        </is>
      </c>
      <c r="E3667" s="23" t="inlineStr">
        <is>
          <t>Турция до османских султанов. Империя великих сельджуков, тюркское государство и правление монголов.</t>
        </is>
      </c>
      <c r="F3667" s="23" t="inlineStr">
        <is>
          <t>        </t>
        </is>
      </c>
      <c r="G3667" s="23" t="n">
        <v>615</v>
      </c>
      <c r="H3667" s="23" t="n">
        <v>10</v>
      </c>
      <c r="I3667" s="23" t="n">
        <v>10</v>
      </c>
      <c r="J3667" s="23" t="inlineStr">
        <is>
          <t>978-5-9524-5526-9</t>
        </is>
      </c>
      <c r="K3667" s="23" t="inlineStr">
        <is>
          <t>84x108 1/32</t>
        </is>
      </c>
      <c r="L3667" s="23" t="inlineStr">
        <is>
          <t>тв</t>
        </is>
      </c>
      <c r="M3667" s="23" t="n">
        <v>416</v>
      </c>
      <c r="N3667" s="23" t="n">
        <v>2021</v>
      </c>
      <c r="O3667" s="23" t="n">
        <v>358</v>
      </c>
      <c r="P3667" s="23" t="n"/>
      <c r="Q3667" s="23" t="n"/>
      <c r="R3667" s="25" t="n"/>
      <c r="S3667" s="26">
        <f>HYPERLINK("http://www.cnpol.ru/covers/19591.jpg","фото на сайте")</f>
        <v/>
      </c>
    </row>
    <row r="3668" ht="50.1" customHeight="1" s="3">
      <c r="A3668" s="23" t="inlineStr">
        <is>
          <t>Д</t>
        </is>
      </c>
      <c r="B3668" s="24" t="inlineStr">
        <is>
          <t>21039</t>
        </is>
      </c>
      <c r="C3668" s="23" t="inlineStr">
        <is>
          <t>ОИ ВИ</t>
        </is>
      </c>
      <c r="D3668" s="23" t="inlineStr">
        <is>
          <t>Каэн К.</t>
        </is>
      </c>
      <c r="E3668" s="23" t="inlineStr">
        <is>
          <t>Турция до османских султанов. Империя великих сельджуков, тюркское государство и правление монголов.</t>
        </is>
      </c>
      <c r="F3668" s="23" t="inlineStr">
        <is>
          <t>        </t>
        </is>
      </c>
      <c r="G3668" s="23" t="n">
        <v>619</v>
      </c>
      <c r="H3668" s="23" t="n">
        <v>10</v>
      </c>
      <c r="I3668" s="23" t="n">
        <v>10</v>
      </c>
      <c r="J3668" s="23" t="inlineStr">
        <is>
          <t>978-5-9524-5855-0</t>
        </is>
      </c>
      <c r="K3668" s="23" t="inlineStr">
        <is>
          <t>84x108 1/32</t>
        </is>
      </c>
      <c r="L3668" s="23" t="inlineStr">
        <is>
          <t>тв</t>
        </is>
      </c>
      <c r="M3668" s="23" t="n">
        <v>416</v>
      </c>
      <c r="N3668" s="23" t="n">
        <v>2024</v>
      </c>
      <c r="O3668" s="23" t="n">
        <v>358</v>
      </c>
      <c r="P3668" s="23" t="n"/>
      <c r="Q3668" s="23" t="n"/>
      <c r="R3668" s="25" t="inlineStr">
        <is>
          <t>Историк-востоковед, специалист по исламу профессор Клод Каэн в своем труде о средневековой Турции рассматривает ее как предтечу Османской империи. Давая общую картину великой эпохи Сельджукидов, он рассказывает не только об особенностях мусульманского Востока, но и о политическом и религиозном противостоянии населявших Азию династий — Аббасидов, Саманидов, Буидов, тех же Сельджукидов и др., а также различных кланов шиитов, суннитов… подрывавших основы враждебных им режимов. Немалое внимание автор уделяет различным социальным, экономическим и институциональным проблемам в Турции домонгольского периода и изменениям, вызванным монгольским нашествием, распадом образовавшейся империи и ростом княжеств нового типа, возникавших на развалинах как византийского, так и сельджукского государств.</t>
        </is>
      </c>
      <c r="S3668" s="26">
        <f>HYPERLINK("http://www.cnpol.ru/covers/21039.jpg","фото на сайте")</f>
        <v/>
      </c>
    </row>
    <row r="3669" ht="50.1" customHeight="1" s="3">
      <c r="A3669" s="23" t="n"/>
      <c r="B3669" s="24" t="inlineStr">
        <is>
          <t>15239</t>
        </is>
      </c>
      <c r="C3669" s="23" t="inlineStr">
        <is>
          <t>ОИ ВИ</t>
        </is>
      </c>
      <c r="D3669" s="23" t="inlineStr">
        <is>
          <t>О Рейлли Б, Дугард М.</t>
        </is>
      </c>
      <c r="E3669" s="23" t="inlineStr">
        <is>
          <t>Убийство Кеннеди. Конец Камелота.</t>
        </is>
      </c>
      <c r="F3669" s="23" t="inlineStr">
        <is>
          <t>        </t>
        </is>
      </c>
      <c r="G3669" s="23" t="n">
        <v>781</v>
      </c>
      <c r="H3669" s="23" t="n">
        <v>10</v>
      </c>
      <c r="I3669" s="23" t="n">
        <v>14</v>
      </c>
      <c r="J3669" s="23" t="inlineStr">
        <is>
          <t>978-5-227-05241-4</t>
        </is>
      </c>
      <c r="K3669" s="23" t="inlineStr">
        <is>
          <t>84x108 1/32</t>
        </is>
      </c>
      <c r="L3669" s="23" t="inlineStr">
        <is>
          <t>тв</t>
        </is>
      </c>
      <c r="M3669" s="23" t="n">
        <v>383</v>
      </c>
      <c r="N3669" s="23" t="n">
        <v>2014</v>
      </c>
      <c r="O3669" s="23" t="n">
        <v>452</v>
      </c>
      <c r="P3669" s="23" t="n"/>
      <c r="Q3669" s="23" t="n"/>
      <c r="R3669" s="25" t="n"/>
      <c r="S3669" s="26">
        <f>HYPERLINK("http://www.cnpol.ru/covers/15239.jpg","фото на сайте")</f>
        <v/>
      </c>
    </row>
    <row r="3670" ht="50.1" customHeight="1" s="3">
      <c r="A3670" s="23" t="inlineStr">
        <is>
          <t>Н</t>
        </is>
      </c>
      <c r="B3670" s="24" t="inlineStr">
        <is>
          <t>21003</t>
        </is>
      </c>
      <c r="C3670" s="23" t="inlineStr">
        <is>
          <t>ОИ ВИ</t>
        </is>
      </c>
      <c r="D3670" s="23" t="inlineStr">
        <is>
          <t>Горон М.</t>
        </is>
      </c>
      <c r="E3670" s="23" t="inlineStr">
        <is>
          <t>Убийцы, мошенники и анархисты. Мемуары начальника сыскной полиции Парижа 1880­х годов</t>
        </is>
      </c>
      <c r="F3670" s="23" t="inlineStr">
        <is>
          <t>        </t>
        </is>
      </c>
      <c r="G3670" s="27" t="n">
        <v>1411</v>
      </c>
      <c r="H3670" s="23" t="n">
        <v>10</v>
      </c>
      <c r="I3670" s="23" t="n">
        <v>6</v>
      </c>
      <c r="J3670" s="23" t="inlineStr">
        <is>
          <t>978-5-227-10537-0</t>
        </is>
      </c>
      <c r="K3670" s="23" t="inlineStr">
        <is>
          <t>84x108 1/32</t>
        </is>
      </c>
      <c r="L3670" s="23" t="inlineStr">
        <is>
          <t>тв</t>
        </is>
      </c>
      <c r="M3670" s="23" t="n">
        <v>623</v>
      </c>
      <c r="N3670" s="23" t="n">
        <v>2024</v>
      </c>
      <c r="O3670" s="23" t="n">
        <v>632</v>
      </c>
      <c r="P3670" s="23" t="n"/>
      <c r="Q3670" s="23" t="n"/>
      <c r="R3670" s="25" t="inlineStr">
        <is>
          <t>Мемуары Мари-Франсуа Горона, начальника парижской сыскной полиции с 1886 по 1895 г., — это история расследований реальных преступлений, совершенных в Париже в конце XIX в. Жестокие убийцы, грабители, мошенники, фальшивомонетчики, наркоторговцы, падшие женщины – целая галерея портретов нарушителей закона представлена автором и участником расследования запутанных преступлений. Но его книга интересна не только описанием деяний злоумышленников и проведения сыскных мероприятий, здесь много бытовых подробностей жизни добропорядочного парижского общества и обитателей криминального мира. Кроме того, автор делится своими мыслями о вреде и пользе деятельности прессы, социальном неравенстве, о сложностях полицейской службы и действенности наказаний, в частности о высшей мере за совершенное тяжкое преступление. В книге помещены оригинальные портреты убийц.</t>
        </is>
      </c>
      <c r="S3670" s="26">
        <f>HYPERLINK("http://www.cnpol.ru/covers/21003.jpg","фото на сайте")</f>
        <v/>
      </c>
    </row>
    <row r="3671" ht="50.1" customHeight="1" s="3">
      <c r="A3671" s="23" t="n"/>
      <c r="B3671" s="24" t="inlineStr">
        <is>
          <t>20898</t>
        </is>
      </c>
      <c r="C3671" s="23" t="inlineStr">
        <is>
          <t>ОИ ВИ</t>
        </is>
      </c>
      <c r="D3671" s="23" t="inlineStr">
        <is>
          <t>Манчестер У., Рейд Пол</t>
        </is>
      </c>
      <c r="E3671" s="23" t="inlineStr">
        <is>
          <t>Уинстон Спенсер Черчилль. Защитник королевства. Вершина политической карьеры. 1940—1965</t>
        </is>
      </c>
      <c r="F3671" s="23" t="inlineStr">
        <is>
          <t>        </t>
        </is>
      </c>
      <c r="G3671" s="27" t="n">
        <v>3090</v>
      </c>
      <c r="H3671" s="23" t="n">
        <v>10</v>
      </c>
      <c r="I3671" s="23" t="n">
        <v>2</v>
      </c>
      <c r="J3671" s="23" t="inlineStr">
        <is>
          <t>978-5-227-10528-8</t>
        </is>
      </c>
      <c r="K3671" s="23" t="inlineStr">
        <is>
          <t>60x90 1/16</t>
        </is>
      </c>
      <c r="L3671" s="23" t="inlineStr">
        <is>
          <t>тв</t>
        </is>
      </c>
      <c r="M3671" s="23" t="n">
        <v>1183</v>
      </c>
      <c r="N3671" s="23" t="n">
        <v>2023</v>
      </c>
      <c r="O3671" s="23" t="n">
        <v>1231</v>
      </c>
      <c r="P3671" s="23" t="n"/>
      <c r="Q3671" s="23" t="n"/>
      <c r="R3671" s="25" t="inlineStr">
        <is>
          <t>Сэр Уинстон Спенсер Черчилль – британский государственный и политический деятель, премьер­министр Великобритании в 1940–1945 и 1951–1955 годах, военный, журналист, писатель, почетный член Британской академии, лауреат Нобелевской премии, по данным опроса, проведенного в 2002 году компанией Би­би­си, величайший британец в истории._x000D__x000D_
  Черчилль, представленный Уильямом Манчестером и Полом Ридом, – это человек несгибаемого мужества, острого ума и невероятного стремления к действию. Эта книга – блистательный рассказ о том, как Черчилль организовал свою нацию для обороны и военного отпора нацистской Германии, вынудив Рузвельта оказать поддержку Британии поставками вооружения. Именно он настоял на оказании помощи Советскому Союзу, что не мешало ему оставаться его убежденным идейным врагом  В Старике, как называли его сотрудники, уживалось несколько, иногда противоречащих друг другу личностей. Он непозволительно много работал, был эгоистичен, придирчив, вспыльчив, груб, невнимателен к людям и в то же время преисполнен сострадания к тем, кто попал в трудное положение. Но что бы ни происходило с ним и с его страной, которой он был бесконечно предан, он всегда поступал в соответствии со своим девизом: «Никогда не сдавайся!»</t>
        </is>
      </c>
      <c r="S3671" s="26">
        <f>HYPERLINK("http://www.cnpol.ru/covers/20898.jpg","фото на сайте")</f>
        <v/>
      </c>
    </row>
    <row r="3672" ht="50.1" customHeight="1" s="3">
      <c r="A3672" s="23" t="n"/>
      <c r="B3672" s="24" t="inlineStr">
        <is>
          <t>18169</t>
        </is>
      </c>
      <c r="C3672" s="23" t="inlineStr">
        <is>
          <t>ОИ ВИ</t>
        </is>
      </c>
      <c r="D3672" s="23" t="inlineStr">
        <is>
          <t>Максимов А.</t>
        </is>
      </c>
      <c r="E3672" s="23" t="inlineStr">
        <is>
          <t>Универсальный многослов. Книга для тех, кому интересно жить осмысленно</t>
        </is>
      </c>
      <c r="F3672" s="23" t="inlineStr">
        <is>
          <t>        </t>
        </is>
      </c>
      <c r="G3672" s="23" t="n">
        <v>763</v>
      </c>
      <c r="H3672" s="23" t="n">
        <v>10</v>
      </c>
      <c r="I3672" s="23" t="n">
        <v>14</v>
      </c>
      <c r="J3672" s="23" t="inlineStr">
        <is>
          <t>978-5-227-07833-9</t>
        </is>
      </c>
      <c r="K3672" s="23" t="inlineStr">
        <is>
          <t>84x108 1/32</t>
        </is>
      </c>
      <c r="L3672" s="23" t="inlineStr">
        <is>
          <t>тв</t>
        </is>
      </c>
      <c r="M3672" s="23" t="n">
        <v>448</v>
      </c>
      <c r="N3672" s="23" t="n">
        <v>2018</v>
      </c>
      <c r="O3672" s="23" t="n">
        <v>424</v>
      </c>
      <c r="P3672" s="23" t="n"/>
      <c r="Q3672" s="23" t="n"/>
      <c r="R3672" s="25" t="n"/>
      <c r="S3672" s="26">
        <f>HYPERLINK("http://www.cnpol.ru/covers/18169.jpg","фото на сайте")</f>
        <v/>
      </c>
    </row>
    <row r="3673" ht="50.1" customHeight="1" s="3">
      <c r="A3673" s="23" t="n"/>
      <c r="B3673" s="24" t="inlineStr">
        <is>
          <t>16326</t>
        </is>
      </c>
      <c r="C3673" s="23" t="inlineStr">
        <is>
          <t>ОИ ВИ</t>
        </is>
      </c>
      <c r="D3673" s="23" t="inlineStr">
        <is>
          <t>Уилсон Б., Якобович С.</t>
        </is>
      </c>
      <c r="E3673" s="23" t="inlineStr">
        <is>
          <t>Утерянное Евангелие</t>
        </is>
      </c>
      <c r="F3673" s="23" t="inlineStr">
        <is>
          <t>        </t>
        </is>
      </c>
      <c r="G3673" s="23" t="n">
        <v>910</v>
      </c>
      <c r="H3673" s="23" t="n">
        <v>10</v>
      </c>
      <c r="I3673" s="23" t="n">
        <v>10</v>
      </c>
      <c r="J3673" s="23" t="inlineStr">
        <is>
          <t>978-5-227-06213-0</t>
        </is>
      </c>
      <c r="K3673" s="23" t="inlineStr">
        <is>
          <t>84x108 1/32</t>
        </is>
      </c>
      <c r="L3673" s="23" t="inlineStr">
        <is>
          <t>тв</t>
        </is>
      </c>
      <c r="M3673" s="23" t="n">
        <v>512</v>
      </c>
      <c r="N3673" s="23" t="n">
        <v>2015</v>
      </c>
      <c r="O3673" s="23" t="n">
        <v>500</v>
      </c>
      <c r="P3673" s="23" t="n"/>
      <c r="Q3673" s="23" t="n"/>
      <c r="R3673" s="25" t="n"/>
      <c r="S3673" s="26">
        <f>HYPERLINK("http://www.cnpol.ru/covers/16326.jpg","фото на сайте")</f>
        <v/>
      </c>
    </row>
    <row r="3674" ht="50.1" customHeight="1" s="3">
      <c r="A3674" s="23" t="n"/>
      <c r="B3674" s="24" t="inlineStr">
        <is>
          <t>17798</t>
        </is>
      </c>
      <c r="C3674" s="23" t="inlineStr">
        <is>
          <t>ОИ ВИ</t>
        </is>
      </c>
      <c r="D3674" s="23" t="inlineStr">
        <is>
          <t>Крил Х.</t>
        </is>
      </c>
      <c r="E3674" s="23" t="inlineStr">
        <is>
          <t>Философская мысль Китая. От Конфуция до Мао Цзэдуна</t>
        </is>
      </c>
      <c r="F3674" s="23" t="inlineStr">
        <is>
          <t>        </t>
        </is>
      </c>
      <c r="G3674" s="23" t="n">
        <v>593</v>
      </c>
      <c r="H3674" s="23" t="n">
        <v>10</v>
      </c>
      <c r="I3674" s="23" t="n">
        <v>14</v>
      </c>
      <c r="J3674" s="23" t="inlineStr">
        <is>
          <t>978-5-9524-5268-8</t>
        </is>
      </c>
      <c r="K3674" s="23" t="inlineStr">
        <is>
          <t>84x108 1/32</t>
        </is>
      </c>
      <c r="L3674" s="23" t="inlineStr">
        <is>
          <t>тв</t>
        </is>
      </c>
      <c r="M3674" s="23" t="n">
        <v>320</v>
      </c>
      <c r="N3674" s="23" t="n">
        <v>2017</v>
      </c>
      <c r="O3674" s="23" t="n">
        <v>270</v>
      </c>
      <c r="P3674" s="23" t="n"/>
      <c r="Q3674" s="23" t="n"/>
      <c r="R3674" s="25" t="n"/>
      <c r="S3674" s="26">
        <f>HYPERLINK("http://www.cnpol.ru/covers/17798.jpg","фото на сайте")</f>
        <v/>
      </c>
    </row>
    <row r="3675" ht="50.1" customHeight="1" s="3">
      <c r="A3675" s="23" t="inlineStr">
        <is>
          <t>Н</t>
        </is>
      </c>
      <c r="B3675" s="24" t="inlineStr">
        <is>
          <t>21064</t>
        </is>
      </c>
      <c r="C3675" s="23" t="inlineStr">
        <is>
          <t>ОИ ВИ</t>
        </is>
      </c>
      <c r="D3675" s="23" t="inlineStr">
        <is>
          <t>Бернс Д.М.</t>
        </is>
      </c>
      <c r="E3675" s="23" t="inlineStr">
        <is>
          <t>Франклин Рузвельт. Человек и политик</t>
        </is>
      </c>
      <c r="F3675" s="23" t="inlineStr">
        <is>
          <t>        </t>
        </is>
      </c>
      <c r="G3675" s="27" t="n">
        <v>1795</v>
      </c>
      <c r="H3675" s="23" t="n">
        <v>10</v>
      </c>
      <c r="I3675" s="23" t="n">
        <v>6</v>
      </c>
      <c r="J3675" s="23" t="inlineStr">
        <is>
          <t>978-5-9524-5825-3</t>
        </is>
      </c>
      <c r="K3675" s="23" t="inlineStr">
        <is>
          <t>60x90 1/16</t>
        </is>
      </c>
      <c r="L3675" s="23" t="inlineStr">
        <is>
          <t>тв</t>
        </is>
      </c>
      <c r="M3675" s="23" t="n">
        <v>623</v>
      </c>
      <c r="N3675" s="23" t="n">
        <v>2024</v>
      </c>
      <c r="O3675" s="23" t="n">
        <v>780</v>
      </c>
      <c r="P3675" s="23" t="n"/>
      <c r="Q3675" s="23" t="n"/>
      <c r="R3675" s="25" t="inlineStr">
        <is>
          <t>Автор книги о Франклине Рузвельте, впервые в истории США избранного президентом на третий (в 1940 г.), а затем и на четвертый (в 1944 г.) срок, — историк, профессор Джеймс Макгрегор Бернс, в 40­е годы работал помощником конгрессмена в Белом доме и изнутри познакомился с политической кухней Америки, в частности с деятельностью администрации президента. В своей книге Бернс дает подробную характеристику президенту и как человеку, и как политику. Огромный пласт малоизвестного у нас исторического материала с неожиданной точки зрения показывает большую игру как захватывающую интригу борьбы интеллектов и характеров.</t>
        </is>
      </c>
      <c r="S3675" s="26">
        <f>HYPERLINK("http://www.cnpol.ru/covers/21064.jpg","фото на сайте")</f>
        <v/>
      </c>
    </row>
    <row r="3676" ht="50.1" customHeight="1" s="3">
      <c r="A3676" s="23" t="inlineStr">
        <is>
          <t>Н</t>
        </is>
      </c>
      <c r="B3676" s="24" t="inlineStr">
        <is>
          <t>21804</t>
        </is>
      </c>
      <c r="C3676" s="23" t="inlineStr">
        <is>
          <t>ОИ ВИ</t>
        </is>
      </c>
      <c r="D3676" s="23" t="inlineStr">
        <is>
          <t>Престон П.</t>
        </is>
      </c>
      <c r="E3676" s="23" t="inlineStr">
        <is>
          <t>Франко. Самая подробная биография испанского диктатора, который четыре десятилетия единовластно правил страной</t>
        </is>
      </c>
      <c r="F3676" s="23" t="inlineStr">
        <is>
          <t>        </t>
        </is>
      </c>
      <c r="G3676" s="27" t="n">
        <v>2247</v>
      </c>
      <c r="H3676" s="23" t="n">
        <v>10</v>
      </c>
      <c r="I3676" s="23" t="n">
        <v>3</v>
      </c>
      <c r="J3676" s="23" t="inlineStr">
        <is>
          <t>978-5-9524-6522-0</t>
        </is>
      </c>
      <c r="K3676" s="23" t="inlineStr">
        <is>
          <t>70x100 1/16</t>
        </is>
      </c>
      <c r="L3676" s="23" t="inlineStr">
        <is>
          <t>тв</t>
        </is>
      </c>
      <c r="M3676" s="23" t="n">
        <v>702</v>
      </c>
      <c r="N3676" s="23" t="n">
        <v>2025</v>
      </c>
      <c r="O3676" s="23" t="n">
        <v>1093</v>
      </c>
      <c r="P3676" s="23" t="n"/>
      <c r="Q3676" s="23" t="n"/>
      <c r="R3676" s="25" t="inlineStr">
        <is>
          <t>Увенчавшая многолетний труд ученого книга по-своему уникальна: автор не замыкается на жизнеописании конкретного человека, а дает цельную картину развития Испании, Европы и мира на протяжении многих десятилетий, приводит на страницах своего исследования богатейшую палитру мнений современников одной из самых загадочных личностей XX века._x000D_
Пройдя вместе с автором весь жизненный путь героя, читатель, думается, сам сможет ответить на вопрос, какими чертами должен обладать и чего не должен иметь в характере человек, который в цивилизованной стране может, поднявшись на самый верх иерархии власти, подавить все общество, единолично вершить судьбу целого народа, казнить и миловать по своей прихоти, другими словами, стать тоталитарным правителем.</t>
        </is>
      </c>
      <c r="S3676" s="26">
        <f>HYPERLINK("http://www.cnpol.ru/covers/21804.jpg","фото на сайте")</f>
        <v/>
      </c>
    </row>
    <row r="3677" ht="50.1" customHeight="1" s="3">
      <c r="A3677" s="23" t="inlineStr">
        <is>
          <t>Д</t>
        </is>
      </c>
      <c r="B3677" s="24" t="inlineStr">
        <is>
          <t>21892</t>
        </is>
      </c>
      <c r="C3677" s="23" t="inlineStr">
        <is>
          <t>ОИ ВИ</t>
        </is>
      </c>
      <c r="D3677" s="23" t="inlineStr">
        <is>
          <t>Ховард М.</t>
        </is>
      </c>
      <c r="E3677" s="23" t="inlineStr">
        <is>
          <t>Франко-прусская война. Отто Бисмарк против Наполеона III. 1870—1871</t>
        </is>
      </c>
      <c r="F3677" s="23" t="inlineStr">
        <is>
          <t>        </t>
        </is>
      </c>
      <c r="G3677" s="27" t="n">
        <v>1407</v>
      </c>
      <c r="H3677" s="23" t="n">
        <v>10</v>
      </c>
      <c r="I3677" s="23" t="n">
        <v>6</v>
      </c>
      <c r="J3677" s="23" t="inlineStr">
        <is>
          <t>978-5-9524-6564-0</t>
        </is>
      </c>
      <c r="K3677" s="23" t="inlineStr">
        <is>
          <t>84x108 1/32</t>
        </is>
      </c>
      <c r="L3677" s="23" t="inlineStr">
        <is>
          <t>тв</t>
        </is>
      </c>
      <c r="M3677" s="23" t="n">
        <v>543</v>
      </c>
      <c r="N3677" s="23" t="n">
        <v>2026</v>
      </c>
      <c r="O3677" s="23" t="n">
        <v>485</v>
      </c>
      <c r="P3677" s="23" t="n"/>
      <c r="Q3677" s="23" t="n"/>
      <c r="R3677" s="25" t="inlineStr">
        <is>
          <t>Британский военный историк, профессор Оксфордского университета посвятил свой труд военному конфликту между империей Наполеона III и германскими государствами во главе с Пруссией. Война, спровоцированная прусским канцлером О. Бисмарком и формально начатая Наполеоном III, закончилась поражением и крахом Франции, в результате чего Пруссия сумела преобразовать Северогерманский союз в единую Германскую империю. Работая над книгой, автор исследовал и привлек колоссальный объем научного и документального материала и предложил свой взгляд на причины и последствия этой войны. Ховард проанализировал состояние войск противников, включая структуру, вооружение и технику, дал яркое описание сражений и представил галерею портретов ключевых фигур событий, среди них Вильгельм I, Бисмарк, Леопольд Гогенцоллерн, Бенедетти и другие. В заключение ученый отмечает, что великая победа Германии впоследствии обернулась бедствием, как для нее самой, так и для остального мира.</t>
        </is>
      </c>
      <c r="S3677" s="26">
        <f>HYPERLINK("http://www.cnpol.ru/covers/21892.jpg","фото на сайте")</f>
        <v/>
      </c>
    </row>
    <row r="3678" ht="50.1" customHeight="1" s="3">
      <c r="A3678" s="23" t="n"/>
      <c r="B3678" s="24" t="inlineStr">
        <is>
          <t>16020</t>
        </is>
      </c>
      <c r="C3678" s="23" t="inlineStr">
        <is>
          <t>ОИ ВИ</t>
        </is>
      </c>
      <c r="D3678" s="23" t="inlineStr">
        <is>
          <t>Тараборелли Дж. Рэнди</t>
        </is>
      </c>
      <c r="E3678" s="23" t="inlineStr">
        <is>
          <t>Хилтоны. Прошлое и настоящиее знаменитой американской династии</t>
        </is>
      </c>
      <c r="F3678" s="23" t="inlineStr">
        <is>
          <t>        </t>
        </is>
      </c>
      <c r="G3678" s="23" t="n">
        <v>871</v>
      </c>
      <c r="H3678" s="23" t="n">
        <v>10</v>
      </c>
      <c r="I3678" s="23" t="n">
        <v>12</v>
      </c>
      <c r="J3678" s="23" t="inlineStr">
        <is>
          <t>978-5-227-05955-0</t>
        </is>
      </c>
      <c r="K3678" s="23" t="inlineStr">
        <is>
          <t>84x108 1/32</t>
        </is>
      </c>
      <c r="L3678" s="23" t="inlineStr">
        <is>
          <t>тв</t>
        </is>
      </c>
      <c r="M3678" s="23" t="n">
        <v>541</v>
      </c>
      <c r="N3678" s="23" t="n">
        <v>2015</v>
      </c>
      <c r="O3678" s="23" t="n">
        <v>538</v>
      </c>
      <c r="P3678" s="23" t="n"/>
      <c r="Q3678" s="23" t="n"/>
      <c r="R3678" s="25" t="n"/>
      <c r="S3678" s="26">
        <f>HYPERLINK("http://www.cnpol.ru/covers/16020.jpg","фото на сайте")</f>
        <v/>
      </c>
    </row>
    <row r="3679" ht="50.1" customHeight="1" s="3">
      <c r="A3679" s="23" t="n"/>
      <c r="B3679" s="24" t="inlineStr">
        <is>
          <t>15543</t>
        </is>
      </c>
      <c r="C3679" s="23" t="inlineStr">
        <is>
          <t>ОИ ВИ</t>
        </is>
      </c>
      <c r="D3679" s="23" t="inlineStr">
        <is>
          <t>Моттола Т</t>
        </is>
      </c>
      <c r="E3679" s="23" t="inlineStr">
        <is>
          <t>Хитмейкер. Последний музыкальный магнат</t>
        </is>
      </c>
      <c r="F3679" s="23" t="inlineStr">
        <is>
          <t>        </t>
        </is>
      </c>
      <c r="G3679" s="23" t="n">
        <v>927</v>
      </c>
      <c r="H3679" s="23" t="n">
        <v>10</v>
      </c>
      <c r="I3679" s="23" t="n">
        <v>10</v>
      </c>
      <c r="J3679" s="23" t="inlineStr">
        <is>
          <t>978-5-227-05449-4</t>
        </is>
      </c>
      <c r="K3679" s="23" t="inlineStr">
        <is>
          <t>60x90 1/16</t>
        </is>
      </c>
      <c r="L3679" s="23" t="inlineStr">
        <is>
          <t>тв</t>
        </is>
      </c>
      <c r="M3679" s="23" t="n">
        <v>447</v>
      </c>
      <c r="N3679" s="23" t="n">
        <v>2014</v>
      </c>
      <c r="O3679" s="23" t="n">
        <v>340</v>
      </c>
      <c r="P3679" s="23" t="n"/>
      <c r="Q3679" s="23" t="n"/>
      <c r="R3679" s="25" t="n"/>
      <c r="S3679" s="26">
        <f>HYPERLINK("http://www.cnpol.ru/covers/15543.jpg","фото на сайте")</f>
        <v/>
      </c>
    </row>
    <row r="3680" ht="50.1" customHeight="1" s="3">
      <c r="A3680" s="23" t="inlineStr">
        <is>
          <t>Н</t>
        </is>
      </c>
      <c r="B3680" s="24" t="inlineStr">
        <is>
          <t>21728</t>
        </is>
      </c>
      <c r="C3680" s="23" t="inlineStr">
        <is>
          <t>ОИ ВИ</t>
        </is>
      </c>
      <c r="D3680" s="23" t="inlineStr">
        <is>
          <t>Грант М.</t>
        </is>
      </c>
      <c r="E3680" s="23" t="inlineStr">
        <is>
          <t>Царица Клеопатра. Вершительница судеб античного мира</t>
        </is>
      </c>
      <c r="F3680" s="23" t="inlineStr">
        <is>
          <t>        </t>
        </is>
      </c>
      <c r="G3680" s="27" t="n">
        <v>1057</v>
      </c>
      <c r="H3680" s="23" t="n">
        <v>10</v>
      </c>
      <c r="I3680" s="23" t="n">
        <v>10</v>
      </c>
      <c r="J3680" s="23" t="inlineStr">
        <is>
          <t>978-5-9524-6448-3</t>
        </is>
      </c>
      <c r="K3680" s="23" t="inlineStr">
        <is>
          <t>84x108 1/32</t>
        </is>
      </c>
      <c r="L3680" s="23" t="inlineStr">
        <is>
          <t>тв</t>
        </is>
      </c>
      <c r="M3680" s="23" t="n">
        <v>349</v>
      </c>
      <c r="N3680" s="23" t="n">
        <v>2025</v>
      </c>
      <c r="O3680" s="23" t="n">
        <v>342</v>
      </c>
      <c r="P3680" s="23" t="n"/>
      <c r="Q3680" s="23" t="n"/>
      <c r="R3680" s="25" t="inlineStr">
        <is>
          <t>Жизнь Клеопатры — один из самых захватывающих сюжетов мировой истории. Майкл Грант излагает свою оригинальную версию жизнеописания Клеопатры, затрагивая как ее общественную деятельность, так и отношения с Цезарем и Марком Антонием. В книге воссозданы реалии политики, экономики, быта и тайных религиозных культов Египта, Греции и Рима.</t>
        </is>
      </c>
      <c r="S3680" s="26">
        <f>HYPERLINK("http://www.cnpol.ru/covers/21728.jpg","фото на сайте")</f>
        <v/>
      </c>
    </row>
    <row r="3681" ht="50.1" customHeight="1" s="3">
      <c r="A3681" s="23" t="n"/>
      <c r="B3681" s="24" t="inlineStr">
        <is>
          <t>18290</t>
        </is>
      </c>
      <c r="C3681" s="23" t="inlineStr">
        <is>
          <t>ОИ ВИ</t>
        </is>
      </c>
      <c r="D3681" s="23" t="inlineStr">
        <is>
          <t>Дворник Ф.</t>
        </is>
      </c>
      <c r="E3681" s="23" t="inlineStr">
        <is>
          <t>Центральная и Восточная Европа в средние века. История возниковения славянских государств</t>
        </is>
      </c>
      <c r="F3681" s="23" t="inlineStr">
        <is>
          <t>        </t>
        </is>
      </c>
      <c r="G3681" s="23" t="n">
        <v>615</v>
      </c>
      <c r="H3681" s="23" t="n">
        <v>10</v>
      </c>
      <c r="I3681" s="23" t="n">
        <v>12</v>
      </c>
      <c r="J3681" s="23" t="inlineStr">
        <is>
          <t>978-5-9524-5324-1</t>
        </is>
      </c>
      <c r="K3681" s="23" t="inlineStr">
        <is>
          <t>84x108 1/32</t>
        </is>
      </c>
      <c r="L3681" s="23" t="inlineStr">
        <is>
          <t>тв</t>
        </is>
      </c>
      <c r="M3681" s="23" t="n">
        <v>384</v>
      </c>
      <c r="N3681" s="23" t="n">
        <v>2018</v>
      </c>
      <c r="O3681" s="23" t="n">
        <v>316</v>
      </c>
      <c r="P3681" s="23" t="n"/>
      <c r="Q3681" s="23" t="n"/>
      <c r="R3681" s="25" t="n"/>
      <c r="S3681" s="26">
        <f>HYPERLINK("http://www.cnpol.ru/covers/18290.jpg","фото на сайте")</f>
        <v/>
      </c>
    </row>
    <row r="3682" ht="50.1" customHeight="1" s="3">
      <c r="A3682" s="23" t="inlineStr">
        <is>
          <t>Д</t>
        </is>
      </c>
      <c r="B3682" s="24" t="inlineStr">
        <is>
          <t>21684</t>
        </is>
      </c>
      <c r="C3682" s="23" t="inlineStr">
        <is>
          <t>ОИ ВИ</t>
        </is>
      </c>
      <c r="D3682" s="23" t="inlineStr">
        <is>
          <t>Москати С.</t>
        </is>
      </c>
      <c r="E3682" s="23" t="inlineStr">
        <is>
          <t>Цивилизации Древнего Востока. Исторические связи народов Месопотамии, Египта, Палестины, Сирии, Аравии, Анатолии и Ирана</t>
        </is>
      </c>
      <c r="F3682" s="23" t="inlineStr">
        <is>
          <t>        </t>
        </is>
      </c>
      <c r="G3682" s="27" t="n">
        <v>1048</v>
      </c>
      <c r="H3682" s="23" t="n">
        <v>10</v>
      </c>
      <c r="I3682" s="23" t="n">
        <v>12</v>
      </c>
      <c r="J3682" s="23" t="inlineStr">
        <is>
          <t>978-5-9524-6440-7</t>
        </is>
      </c>
      <c r="K3682" s="23" t="inlineStr">
        <is>
          <t>84x108 1/32</t>
        </is>
      </c>
      <c r="L3682" s="23" t="inlineStr">
        <is>
          <t>тв</t>
        </is>
      </c>
      <c r="M3682" s="23" t="n">
        <v>318</v>
      </c>
      <c r="N3682" s="23" t="n">
        <v>2025</v>
      </c>
      <c r="O3682" s="23" t="n">
        <v>392</v>
      </c>
      <c r="P3682" s="23" t="n"/>
      <c r="Q3682" s="23" t="n"/>
      <c r="R3682" s="25" t="inlineStr">
        <is>
          <t>Книга знаменитого итальянского историка Сабатино Москати кратко, но полно освещает историю Древнего Востока. Автор проводит сравнительное исследование существенных и характерных черт древневосточных цивилизаций. Вы узнаете о шумерах и египтянах, вавилонянах и ассирийцах, хеттах и хурритах, ханаанеях и арамеях, израильтянах и персах..._x000D_
Все многообразие культур, их взаимное влияние, четко обозначенное Москати, складывается в неповторимый и прекрасный лик Древнего Востока.</t>
        </is>
      </c>
      <c r="S3682" s="26">
        <f>HYPERLINK("http://www.cnpol.ru/covers/21684.jpg","фото на сайте")</f>
        <v/>
      </c>
    </row>
    <row r="3683" ht="50.1" customHeight="1" s="3">
      <c r="A3683" s="23" t="inlineStr">
        <is>
          <t>Н</t>
        </is>
      </c>
      <c r="B3683" s="24" t="inlineStr">
        <is>
          <t>21727</t>
        </is>
      </c>
      <c r="C3683" s="23" t="inlineStr">
        <is>
          <t>ОИ ВИ</t>
        </is>
      </c>
      <c r="D3683" s="23" t="inlineStr">
        <is>
          <t>Грант М.</t>
        </is>
      </c>
      <c r="E3683" s="23" t="inlineStr">
        <is>
          <t>Цивилизация Древнего Рима. Государство и общество, верования и обряды, архитектура и искусство</t>
        </is>
      </c>
      <c r="F3683" s="23" t="inlineStr">
        <is>
          <t>        </t>
        </is>
      </c>
      <c r="G3683" s="27" t="n">
        <v>1152</v>
      </c>
      <c r="H3683" s="23" t="n">
        <v>10</v>
      </c>
      <c r="I3683" s="23" t="n">
        <v>5</v>
      </c>
      <c r="J3683" s="23" t="inlineStr">
        <is>
          <t>978-5-9524-6449-0</t>
        </is>
      </c>
      <c r="K3683" s="23" t="inlineStr">
        <is>
          <t>84x108 1/32</t>
        </is>
      </c>
      <c r="L3683" s="23" t="inlineStr">
        <is>
          <t>тв</t>
        </is>
      </c>
      <c r="M3683" s="23" t="n">
        <v>397</v>
      </c>
      <c r="N3683" s="23" t="n">
        <v>2025</v>
      </c>
      <c r="O3683" s="23" t="n">
        <v>367</v>
      </c>
      <c r="P3683" s="23" t="n"/>
      <c r="Q3683" s="23" t="n"/>
      <c r="R3683" s="25" t="inlineStr">
        <is>
          <t>В книге известного писателя и историка Майкла Гранта содержатся обширные сведения о внутреннем устройстве римского государства и повседневной жизни его граждан. Исследуется сфера их общественных интересов — наука, религия, философия, искусство, литература и архитектура. Анализируется фундаментальное влияние римской цивилизации на последующие исторические формации.</t>
        </is>
      </c>
      <c r="S3683" s="26">
        <f>HYPERLINK("http://www.cnpol.ru/covers/21727.jpg","фото на сайте")</f>
        <v/>
      </c>
    </row>
    <row r="3684" ht="50.1" customHeight="1" s="3">
      <c r="A3684" s="23" t="n"/>
      <c r="B3684" s="24" t="inlineStr">
        <is>
          <t>20970</t>
        </is>
      </c>
      <c r="C3684" s="23" t="inlineStr">
        <is>
          <t>ОИ ВИ</t>
        </is>
      </c>
      <c r="D3684" s="23" t="inlineStr">
        <is>
          <t>Вейнер Т.</t>
        </is>
      </c>
      <c r="E3684" s="23" t="inlineStr">
        <is>
          <t>ЦРУ. Правдивая история</t>
        </is>
      </c>
      <c r="F3684" s="23" t="inlineStr">
        <is>
          <t>        </t>
        </is>
      </c>
      <c r="G3684" s="27" t="n">
        <v>1850</v>
      </c>
      <c r="H3684" s="23" t="n">
        <v>10</v>
      </c>
      <c r="I3684" s="23" t="n">
        <v>6</v>
      </c>
      <c r="J3684" s="23" t="inlineStr">
        <is>
          <t>978-5-227-10540-0</t>
        </is>
      </c>
      <c r="K3684" s="23" t="inlineStr">
        <is>
          <t>60x90 1/16</t>
        </is>
      </c>
      <c r="L3684" s="23" t="inlineStr">
        <is>
          <t>тв</t>
        </is>
      </c>
      <c r="M3684" s="23" t="n">
        <v>719</v>
      </c>
      <c r="N3684" s="23" t="n">
        <v>2024</v>
      </c>
      <c r="O3684" s="23" t="n">
        <v>810</v>
      </c>
      <c r="P3684" s="23" t="n"/>
      <c r="Q3684" s="23" t="n"/>
      <c r="R3684" s="25" t="inlineStr">
        <is>
          <t>Провокационная, весьма поучительная и чрезвычайно интересная книга лауреата Пулитцеровской премии Тима Вейнера посвящена 60-летней истории ЦРУ. В основу исследования легли тысячи архивных документов, интервью с действующими агентами, ветеранами и бывшими руководителями главного американского шпионского ведомства. Автор без прикрас описывает военные операции ЦРУ на Кубе, во Вьетнаме, Афганистане, Ираке и множестве других стран, раскрывает тайные стороны отношений двух великих держав — СССР и США — в период холодной войны. Повествует об ошибках управления внутри ведомства, бездумном распылении колоссального бюджета и о том, как просчеты ЦРУ повлияли на состояние национальной безопасности США, следствием которых стала трагедия 11 сентября 2001 года. Предупреждает об опасной неспособности видеть мир таким, какой он есть, что недопустимо при угрозе мирового терроризма.</t>
        </is>
      </c>
      <c r="S3684" s="26">
        <f>HYPERLINK("http://www.cnpol.ru/covers/20970.jpg","фото на сайте")</f>
        <v/>
      </c>
    </row>
    <row r="3685" ht="50.1" customHeight="1" s="3">
      <c r="A3685" s="23" t="n"/>
      <c r="B3685" s="24" t="inlineStr">
        <is>
          <t>20912</t>
        </is>
      </c>
      <c r="C3685" s="23" t="inlineStr">
        <is>
          <t>ОИ ВИ</t>
        </is>
      </c>
      <c r="D3685" s="23" t="inlineStr">
        <is>
          <t>Рехинальдо Устарис-Арсе</t>
        </is>
      </c>
      <c r="E3685" s="23" t="inlineStr">
        <is>
          <t>Че Гевара. Жизнь, смерть и воскрешение из мифа</t>
        </is>
      </c>
      <c r="F3685" s="23" t="inlineStr">
        <is>
          <t>        </t>
        </is>
      </c>
      <c r="G3685" s="27" t="n">
        <v>1990</v>
      </c>
      <c r="H3685" s="23" t="n">
        <v>10</v>
      </c>
      <c r="I3685" s="23" t="n">
        <v>8</v>
      </c>
      <c r="J3685" s="23" t="inlineStr">
        <is>
          <t>978-5-227-10530-1</t>
        </is>
      </c>
      <c r="K3685" s="23" t="inlineStr">
        <is>
          <t>70x100 1/16</t>
        </is>
      </c>
      <c r="L3685" s="23" t="inlineStr">
        <is>
          <t>тв</t>
        </is>
      </c>
      <c r="M3685" s="23" t="n">
        <v>511</v>
      </c>
      <c r="N3685" s="23" t="n">
        <v>2023</v>
      </c>
      <c r="O3685" s="23" t="n">
        <v>836</v>
      </c>
      <c r="P3685" s="23" t="n"/>
      <c r="Q3685" s="23" t="n"/>
      <c r="R3685" s="25" t="inlineStr">
        <is>
          <t>Рехинальдо Устарис-Арсе, боливийский врач и журналист, посвятил свою книгу легендарной личности — героическому революционеру Эрнесто Че Геваре. Автор провел многолетнее исчерпывающее расследование, на основе которого представил достоверную историю жизни и смерти этого удивительного человека. Он встретился с людьми, которые так или иначе оказались вовлеченными в деятельность революционера. Изучил массу документальных материалов: дневники, письма, радиограммы, сводки, военные приказы и воспоминания людей, лично знавших Че Гевару. Устарис-Арсе был тем человеком, который доказал, что легендарный Че не погиб в бою, а попал в плен и был хладнокровно расстрелян солдатами боливийской армии._x000D__x000D_
Свой труд автор снабдил бесценными и суровыми по содержанию фотоматериалами.</t>
        </is>
      </c>
      <c r="S3685" s="26">
        <f>HYPERLINK("http://www.cnpol.ru/covers/20912.jpg","фото на сайте")</f>
        <v/>
      </c>
    </row>
    <row r="3686" ht="50.1" customHeight="1" s="3">
      <c r="A3686" s="23" t="n"/>
      <c r="B3686" s="24" t="inlineStr">
        <is>
          <t>20801</t>
        </is>
      </c>
      <c r="C3686" s="23" t="inlineStr">
        <is>
          <t>ОИ ВИ</t>
        </is>
      </c>
      <c r="D3686" s="23" t="inlineStr">
        <is>
          <t>Зиглер Ф.</t>
        </is>
      </c>
      <c r="E3686" s="23" t="inlineStr">
        <is>
          <t>Черная смерть. Как эпидемия чумы изменила средневековую Европу</t>
        </is>
      </c>
      <c r="F3686" s="23" t="inlineStr">
        <is>
          <t>        </t>
        </is>
      </c>
      <c r="G3686" s="23" t="n">
        <v>593</v>
      </c>
      <c r="H3686" s="23" t="n">
        <v>10</v>
      </c>
      <c r="I3686" s="23" t="n">
        <v>14</v>
      </c>
      <c r="J3686" s="23" t="inlineStr">
        <is>
          <t>978-5-9524-5977-9</t>
        </is>
      </c>
      <c r="K3686" s="23" t="inlineStr">
        <is>
          <t>84x108 1/32</t>
        </is>
      </c>
      <c r="L3686" s="23" t="inlineStr">
        <is>
          <t>тв</t>
        </is>
      </c>
      <c r="M3686" s="23" t="n">
        <v>319</v>
      </c>
      <c r="N3686" s="23" t="n">
        <v>2023</v>
      </c>
      <c r="O3686" s="23" t="n">
        <v>282</v>
      </c>
      <c r="P3686" s="23" t="n"/>
      <c r="Q3686" s="23" t="n"/>
      <c r="R3686" s="25" t="inlineStr">
        <is>
          <t>Книга британского историка и писателя Филипа Зиглера представляет собой исследование распространения Черной смерти, или чумы, на территории средневековой Европы. Автор пишет об истоках и причинах возникновения мора, процессах и способах его передачи, заражения. Рассматривая и сопоставляя множество свидетельств средневековых хронистов и работы по изучению эпидемии более поздних историков, Зиглер в своей книге характеризует состояние медицины, предрассудки общества того времени и ту роль, которую сыграла «великая чума» на экономическую и социальную жизнь Европы.</t>
        </is>
      </c>
      <c r="S3686" s="26">
        <f>HYPERLINK("http://www.cnpol.ru/covers/20801.jpg","фото на сайте")</f>
        <v/>
      </c>
    </row>
    <row r="3687" ht="50.1" customHeight="1" s="3">
      <c r="A3687" s="23" t="inlineStr">
        <is>
          <t>Н</t>
        </is>
      </c>
      <c r="B3687" s="24" t="inlineStr">
        <is>
          <t>21289</t>
        </is>
      </c>
      <c r="C3687" s="23" t="inlineStr">
        <is>
          <t>ОИ ВИ</t>
        </is>
      </c>
      <c r="D3687" s="23" t="inlineStr">
        <is>
          <t>Крамон А.ф.</t>
        </is>
      </c>
      <c r="E3687" s="23" t="inlineStr">
        <is>
          <t>Четыре года в австро-венгерском Генштабе. Воспоминания полномочного представителя германского Верховного командования о боевых операциях и закулисных соглашениях. 1914—1918</t>
        </is>
      </c>
      <c r="F3687" s="23" t="inlineStr">
        <is>
          <t>        </t>
        </is>
      </c>
      <c r="G3687" s="23" t="n">
        <v>593</v>
      </c>
      <c r="H3687" s="23" t="n">
        <v>10</v>
      </c>
      <c r="I3687" s="23" t="n">
        <v>14</v>
      </c>
      <c r="J3687" s="23" t="inlineStr">
        <is>
          <t>978-5-9524-6212-0</t>
        </is>
      </c>
      <c r="K3687" s="23" t="inlineStr">
        <is>
          <t>84x108 1/32</t>
        </is>
      </c>
      <c r="L3687" s="23" t="inlineStr">
        <is>
          <t>тв</t>
        </is>
      </c>
      <c r="M3687" s="23" t="n">
        <v>319</v>
      </c>
      <c r="N3687" s="23" t="n">
        <v>2024</v>
      </c>
      <c r="O3687" s="23" t="n">
        <v>251</v>
      </c>
      <c r="P3687" s="23" t="n"/>
      <c r="Q3687" s="23" t="n"/>
      <c r="R3687" s="25" t="inlineStr">
        <is>
          <t>Август фон Крамон (1861—1940) в годы Первой мировой войны был назначен полномочным представителем Германии при Генеральном штабе австро-венгерской армии. Будучи связующим звеном между ставками двух держав, генерал-майор фон Крамон принимал непосредственное участие в разработке и проведении военных операций, поддерживал контакты между союзниками и высшим руководством армий, а потому смог с документальной точностью отобразить положение дел в Австро-Венгрии в 1914—1918 гг. Автор достоверно и беспристрастно описывает не только крупные сражения, переговоры о мире, падение монархии в России и другие значительные события Первой мировой войны, но и интриги в верховном командовании, дипломатические уловки и неоднозначные политические соглашения, определившие ход войны.</t>
        </is>
      </c>
      <c r="S3687" s="26">
        <f>HYPERLINK("http://www.cnpol.ru/covers/21289.jpg","фото на сайте")</f>
        <v/>
      </c>
    </row>
    <row r="3688" ht="50.1" customHeight="1" s="3">
      <c r="A3688" s="23" t="inlineStr">
        <is>
          <t>Н</t>
        </is>
      </c>
      <c r="B3688" s="24" t="inlineStr">
        <is>
          <t>21551</t>
        </is>
      </c>
      <c r="C3688" s="23" t="inlineStr">
        <is>
          <t>ОИ ВИ</t>
        </is>
      </c>
      <c r="D3688" s="23" t="inlineStr">
        <is>
          <t>Хоппер В.Ф.</t>
        </is>
      </c>
      <c r="E3688" s="23" t="inlineStr">
        <is>
          <t>Числовая символика Средневековья. Тайный смысл и форма выражения</t>
        </is>
      </c>
      <c r="F3688" s="23" t="inlineStr">
        <is>
          <t>        </t>
        </is>
      </c>
      <c r="G3688" s="23" t="n">
        <v>880</v>
      </c>
      <c r="H3688" s="23" t="n">
        <v>10</v>
      </c>
      <c r="I3688" s="23" t="n">
        <v>16</v>
      </c>
      <c r="J3688" s="23" t="inlineStr">
        <is>
          <t>978-5-9524-6299-1</t>
        </is>
      </c>
      <c r="K3688" s="23" t="inlineStr">
        <is>
          <t>84x108 1/32</t>
        </is>
      </c>
      <c r="L3688" s="23" t="inlineStr">
        <is>
          <t>тв</t>
        </is>
      </c>
      <c r="M3688" s="23" t="n">
        <v>221</v>
      </c>
      <c r="N3688" s="23" t="n">
        <v>2025</v>
      </c>
      <c r="O3688" s="23" t="n">
        <v>402</v>
      </c>
      <c r="P3688" s="23" t="n"/>
      <c r="Q3688" s="23" t="n"/>
      <c r="R3688" s="25" t="inlineStr">
        <is>
          <t>Числовой символизм был широко распространен и глубоко укоренился в мировой культуре. Мыслители Средневековья и поэт Ренессанса Данте вкладывали в числа глубокий смысл. Автор данной книги Винсент Фостер Хоппер, преподаватель английской словесности, профессор Нью-Йоркского университета, показывает, что в средневековом сознании человека числовая символика была не просто математическим инструментом наподобие игровых фишек, а основой понимания мира, ясной по форме выражения. Автор исследует главные источники числового символизма: элементарные символы (например, пальцы), вавилонскую астрологию, пифагорейскую систему соотношения чисел и искусную комбинацию всех этих элементов гностиками при разработке числовой философии Отцами Церкви, выраженной, в частности, в красоте порядка в «Божественной комедии» Данте.</t>
        </is>
      </c>
      <c r="S3688" s="26">
        <f>HYPERLINK("http://www.cnpol.ru/covers/21551.jpg","фото на сайте")</f>
        <v/>
      </c>
    </row>
    <row r="3689" ht="50.1" customHeight="1" s="3">
      <c r="A3689" s="23" t="n"/>
      <c r="B3689" s="24" t="inlineStr">
        <is>
          <t>20485</t>
        </is>
      </c>
      <c r="C3689" s="23" t="inlineStr">
        <is>
          <t>ОИ ВИ</t>
        </is>
      </c>
      <c r="D3689" s="23" t="inlineStr">
        <is>
          <t>Лотц В.</t>
        </is>
      </c>
      <c r="E3689" s="23" t="inlineStr">
        <is>
          <t>Шпион в шампанском. Превратности судьбы израильского Джеймса Бонда</t>
        </is>
      </c>
      <c r="F3689" s="23" t="inlineStr">
        <is>
          <t>        </t>
        </is>
      </c>
      <c r="G3689" s="27" t="n">
        <v>1184</v>
      </c>
      <c r="H3689" s="23" t="n">
        <v>10</v>
      </c>
      <c r="I3689" s="23" t="n">
        <v>8</v>
      </c>
      <c r="J3689" s="23" t="inlineStr">
        <is>
          <t>978-5-9524-5860-4</t>
        </is>
      </c>
      <c r="K3689" s="23" t="inlineStr">
        <is>
          <t>84x108 1/32</t>
        </is>
      </c>
      <c r="L3689" s="23" t="inlineStr">
        <is>
          <t>тв</t>
        </is>
      </c>
      <c r="M3689" s="23" t="n">
        <v>396</v>
      </c>
      <c r="N3689" s="23" t="n">
        <v>2023</v>
      </c>
      <c r="O3689" s="23" t="n">
        <v>335</v>
      </c>
      <c r="P3689" s="23" t="n"/>
      <c r="Q3689" s="23" t="n"/>
      <c r="R3689" s="25" t="inlineStr">
        <is>
          <t>Вольфганг Лотц — большой любитель шампанского, знаток лошадей и одновременно нелегальный разведчик Моссад — одной из самых закрытых спецслужб мира. Откровения автора о своей секретной работе и дальнейшем провале в Египте стали настоящей сенсацией. В течение четырех лет он, используя взятки и подкупы, успешно вживался в элитные круги египетского генералитета и занимался сбором разведывательной информации, пока не был арестован местной контрразведкой. В Израиле его почитают как героя и преподносят в качестве эталона удачливого шпиона, этакого Джеймса Бонда нашего времени._x000D_
При всей остроте сюжета книга не перегружена ни политической риторикой, ни специальной терминологией и может вызвать заслуженный интерес у читателей, которые узнают также множество любопытных подробностей о разведывательном сообществе Израиля.</t>
        </is>
      </c>
      <c r="S3689" s="26">
        <f>HYPERLINK("http://www.cnpol.ru/covers/20485.jpg","фото на сайте")</f>
        <v/>
      </c>
    </row>
    <row r="3690" ht="50.1" customHeight="1" s="3">
      <c r="A3690" s="23" t="n"/>
      <c r="B3690" s="24" t="inlineStr">
        <is>
          <t>20397</t>
        </is>
      </c>
      <c r="C3690" s="23" t="inlineStr">
        <is>
          <t>ОИ ВИ</t>
        </is>
      </c>
      <c r="D3690" s="23" t="inlineStr">
        <is>
          <t>Гимпель Э.</t>
        </is>
      </c>
      <c r="E3690" s="23" t="inlineStr">
        <is>
          <t>Шпион для Германии</t>
        </is>
      </c>
      <c r="F3690" s="23" t="inlineStr">
        <is>
          <t>        </t>
        </is>
      </c>
      <c r="G3690" s="27" t="n">
        <v>1009</v>
      </c>
      <c r="H3690" s="23" t="n">
        <v>10</v>
      </c>
      <c r="I3690" s="23" t="n">
        <v>12</v>
      </c>
      <c r="J3690" s="23" t="inlineStr">
        <is>
          <t>978-5-9524-5846-8</t>
        </is>
      </c>
      <c r="K3690" s="23" t="inlineStr">
        <is>
          <t>84x108 1/32</t>
        </is>
      </c>
      <c r="L3690" s="23" t="inlineStr">
        <is>
          <t>тв</t>
        </is>
      </c>
      <c r="M3690" s="23" t="n">
        <v>316</v>
      </c>
      <c r="N3690" s="23" t="n">
        <v>2022</v>
      </c>
      <c r="O3690" s="23" t="n">
        <v>275</v>
      </c>
      <c r="P3690" s="23" t="n"/>
      <c r="Q3690" s="23" t="n"/>
      <c r="R3690" s="25" t="inlineStr">
        <is>
          <t>Мемуары шпиона, больше похожие на исповедь человека, верой и правдой служившего гитлеровскому режиму. Самое важное в его жизни задание оказалось для Гимпеля роковым: он должен был сорвать производство атомной бомбы в США, но из-за предательства напарника был схвачен и приговорен к повешению. По решению президента Трумэна смертная казнь была заменена на пожизненное заключение. После амнистии Эрих Гимпель вернулся в Германию и написал эту книгу.</t>
        </is>
      </c>
      <c r="S3690" s="26">
        <f>HYPERLINK("http://www.cnpol.ru/covers/20397.jpg","фото на сайте")</f>
        <v/>
      </c>
    </row>
    <row r="3691" ht="50.1" customHeight="1" s="3">
      <c r="A3691" s="23" t="inlineStr">
        <is>
          <t>Н</t>
        </is>
      </c>
      <c r="B3691" s="24" t="inlineStr">
        <is>
          <t>21717</t>
        </is>
      </c>
      <c r="C3691" s="23" t="inlineStr">
        <is>
          <t>ОИ ВИ</t>
        </is>
      </c>
      <c r="D3691" s="23" t="inlineStr">
        <is>
          <t>Крамер С.</t>
        </is>
      </c>
      <c r="E3691" s="23" t="inlineStr">
        <is>
          <t>Шумеры. Первая цивилизация на Земле</t>
        </is>
      </c>
      <c r="F3691" s="23" t="inlineStr">
        <is>
          <t>        </t>
        </is>
      </c>
      <c r="G3691" s="23" t="n">
        <v>888</v>
      </c>
      <c r="H3691" s="23" t="n">
        <v>10</v>
      </c>
      <c r="I3691" s="23" t="n">
        <v>14</v>
      </c>
      <c r="J3691" s="23" t="inlineStr">
        <is>
          <t>978-5-9524-6399-8</t>
        </is>
      </c>
      <c r="K3691" s="23" t="inlineStr">
        <is>
          <t>84x108 1/32</t>
        </is>
      </c>
      <c r="L3691" s="23" t="inlineStr">
        <is>
          <t>тв</t>
        </is>
      </c>
      <c r="M3691" s="23" t="n">
        <v>383</v>
      </c>
      <c r="N3691" s="23" t="n">
        <v>2025</v>
      </c>
      <c r="O3691" s="23" t="n">
        <v>421</v>
      </c>
      <c r="P3691" s="23" t="n"/>
      <c r="Q3691" s="23" t="n"/>
      <c r="R3691" s="25" t="inlineStr">
        <is>
          <t>В книге представлено полное содержание всех расшифрованных глиняных табличек, повествующих о богах, героях и царях таинственного народа «черноголовых», шумеров, который положил начало мифологии, экономике, астрономии, математике, медицине и кому принадлежит трагический эпос первого героя человечества — Гильгамеша; проводятся параллели с Библией, античными мифами, историей Ассирии и Вавилона.</t>
        </is>
      </c>
      <c r="S3691" s="26">
        <f>HYPERLINK("http://www.cnpol.ru/covers/21717.jpg","фото на сайте")</f>
        <v/>
      </c>
    </row>
    <row r="3692" ht="50.1" customHeight="1" s="3">
      <c r="A3692" s="23" t="n"/>
      <c r="B3692" s="24" t="inlineStr">
        <is>
          <t>20748</t>
        </is>
      </c>
      <c r="C3692" s="23" t="inlineStr">
        <is>
          <t>ОИ ВИ</t>
        </is>
      </c>
      <c r="D3692" s="23" t="inlineStr">
        <is>
          <t>Дэйви М.</t>
        </is>
      </c>
      <c r="E3692" s="23" t="inlineStr">
        <is>
          <t>Эволюция войн. Психологические, социальные и национальные причины военных конфликтов</t>
        </is>
      </c>
      <c r="F3692" s="23" t="inlineStr">
        <is>
          <t>        </t>
        </is>
      </c>
      <c r="G3692" s="27" t="n">
        <v>1009</v>
      </c>
      <c r="H3692" s="23" t="n">
        <v>10</v>
      </c>
      <c r="I3692" s="23" t="n">
        <v>10</v>
      </c>
      <c r="J3692" s="23" t="inlineStr">
        <is>
          <t>978-5-9524-5996-0</t>
        </is>
      </c>
      <c r="K3692" s="23" t="inlineStr">
        <is>
          <t>84x108 1/32</t>
        </is>
      </c>
      <c r="L3692" s="23" t="inlineStr">
        <is>
          <t>тв</t>
        </is>
      </c>
      <c r="M3692" s="23" t="n">
        <v>382</v>
      </c>
      <c r="N3692" s="23" t="n">
        <v>2023</v>
      </c>
      <c r="O3692" s="23" t="n">
        <v>418</v>
      </c>
      <c r="P3692" s="23" t="n"/>
      <c r="Q3692" s="23" t="n"/>
      <c r="R3692" s="25" t="inlineStr">
        <is>
          <t>В своей книге Морис Дэйви вскрывает психологические, социальные и национальные причины военных конфликтов на заре цивилизации. Автор объясняет сущность межплеменных распрей. Рассказывает, как различия физиологии и психологии полов провоцируют войны. Отчего одни народы воинственнее других и существует ли объяснение известного факта, что в одних регионах царит мир, тогда как в других нескончаемы столкновения. Как повлияло на характер конфликтов совершенствование оружия. Каковы первопричины каннибализма, рабства и кровной мести. В чем состоит религиозная подоплека войн. Где и почему была популярна охота за головами. Как велись войны за власть. И наконец, как войны сказались на развитии общества.</t>
        </is>
      </c>
      <c r="S3692" s="26">
        <f>HYPERLINK("http://www.cnpol.ru/covers/20748.jpg","фото на сайте")</f>
        <v/>
      </c>
    </row>
    <row r="3693" ht="50.1" customHeight="1" s="3">
      <c r="A3693" s="23" t="inlineStr">
        <is>
          <t>Н</t>
        </is>
      </c>
      <c r="B3693" s="24" t="inlineStr">
        <is>
          <t>21436</t>
        </is>
      </c>
      <c r="C3693" s="23" t="inlineStr">
        <is>
          <t>ОИ ВИ</t>
        </is>
      </c>
      <c r="D3693" s="23" t="inlineStr">
        <is>
          <t>Хогг О.</t>
        </is>
      </c>
      <c r="E3693" s="23" t="inlineStr">
        <is>
          <t>Эволюция оружия. От каменной дубинки до гаубицы</t>
        </is>
      </c>
      <c r="F3693" s="23" t="inlineStr">
        <is>
          <t>        </t>
        </is>
      </c>
      <c r="G3693" s="23" t="n">
        <v>935</v>
      </c>
      <c r="H3693" s="23" t="n">
        <v>10</v>
      </c>
      <c r="I3693" s="23" t="n">
        <v>14</v>
      </c>
      <c r="J3693" s="23" t="inlineStr">
        <is>
          <t>978-5-9524-6261-8</t>
        </is>
      </c>
      <c r="K3693" s="23" t="inlineStr">
        <is>
          <t>84x108 1/32</t>
        </is>
      </c>
      <c r="L3693" s="23" t="inlineStr">
        <is>
          <t>тв</t>
        </is>
      </c>
      <c r="M3693" s="23" t="n">
        <v>250</v>
      </c>
      <c r="N3693" s="23" t="n">
        <v>2025</v>
      </c>
      <c r="O3693" s="23" t="n">
        <v>202</v>
      </c>
      <c r="P3693" s="23" t="n"/>
      <c r="Q3693" s="23" t="n"/>
      <c r="R3693" s="25" t="inlineStr">
        <is>
          <t>В основу оригинальной классификации автора этой книги Оливера Хогга легла теория мотивированной агрессии, проявляемой человеком на протяжении всего исторического развития. Он рассматривает виды личного вооружения (мечи, копья, дубины, луки), доспехов (кольчуги, туники, шлемы), роды военных машин (катапульты, арбалеты, гаубицы), различные типы пушек, кораблей (биремы, триремы и др.), разновидности взрывчатых веществ (инициирующие, метательные, бризантные). Хогг описывает военные организации Древнего мира: египетские отряды ополченцев, «царский полк» Ассирии, флот Карфагена, греческие фаланги и легионы Рима — одна из лучших армий мира. Книга включает в себя большое количество редких иллюстраций.</t>
        </is>
      </c>
      <c r="S3693" s="26">
        <f>HYPERLINK("http://www.cnpol.ru/covers/21436.jpg","фото на сайте")</f>
        <v/>
      </c>
    </row>
    <row r="3694" ht="50.1" customHeight="1" s="3">
      <c r="A3694" s="23" t="n"/>
      <c r="B3694" s="24" t="inlineStr">
        <is>
          <t>19355</t>
        </is>
      </c>
      <c r="C3694" s="23" t="inlineStr">
        <is>
          <t>ОИ ВИ</t>
        </is>
      </c>
      <c r="D3694" s="23" t="inlineStr">
        <is>
          <t>Грёнбек В.</t>
        </is>
      </c>
      <c r="E3694" s="23" t="inlineStr">
        <is>
          <t>Эпоха викингов. Мир богов и мир людей в мифах северных германцев</t>
        </is>
      </c>
      <c r="F3694" s="23" t="inlineStr">
        <is>
          <t>        </t>
        </is>
      </c>
      <c r="G3694" s="23" t="n">
        <v>704</v>
      </c>
      <c r="H3694" s="23" t="n">
        <v>10</v>
      </c>
      <c r="I3694" s="23" t="n">
        <v>8</v>
      </c>
      <c r="J3694" s="23" t="inlineStr">
        <is>
          <t>978-5-9524-5461-3</t>
        </is>
      </c>
      <c r="K3694" s="23" t="inlineStr">
        <is>
          <t>84x108 1/32</t>
        </is>
      </c>
      <c r="L3694" s="23" t="inlineStr">
        <is>
          <t>тв</t>
        </is>
      </c>
      <c r="M3694" s="23" t="n">
        <v>608</v>
      </c>
      <c r="N3694" s="23" t="n">
        <v>2020</v>
      </c>
      <c r="O3694" s="23" t="n">
        <v>436</v>
      </c>
      <c r="P3694" s="23" t="n"/>
      <c r="Q3694" s="23" t="n"/>
      <c r="R3694" s="25" t="n"/>
      <c r="S3694" s="26">
        <f>HYPERLINK("http://www.cnpol.ru/covers/19355.jpg","фото на сайте")</f>
        <v/>
      </c>
    </row>
    <row r="3695" ht="50.1" customHeight="1" s="3">
      <c r="A3695" s="23" t="inlineStr">
        <is>
          <t>Д</t>
        </is>
      </c>
      <c r="B3695" s="24" t="inlineStr">
        <is>
          <t>21230</t>
        </is>
      </c>
      <c r="C3695" s="23" t="inlineStr">
        <is>
          <t>ОИ ВИ</t>
        </is>
      </c>
      <c r="D3695" s="23" t="inlineStr">
        <is>
          <t>Перри Д.</t>
        </is>
      </c>
      <c r="E3695" s="23" t="inlineStr">
        <is>
          <t>Эра великих географических открытий. История европейских морских экспедиций к неизведанным континентам в XV—XVII веках</t>
        </is>
      </c>
      <c r="F3695" s="23" t="inlineStr">
        <is>
          <t>        </t>
        </is>
      </c>
      <c r="G3695" s="27" t="n">
        <v>1291</v>
      </c>
      <c r="H3695" s="23" t="n">
        <v>10</v>
      </c>
      <c r="I3695" s="23" t="n">
        <v>8</v>
      </c>
      <c r="J3695" s="23" t="inlineStr">
        <is>
          <t>978-5-9524-6172-7</t>
        </is>
      </c>
      <c r="K3695" s="23" t="inlineStr">
        <is>
          <t>84x108 1/32</t>
        </is>
      </c>
      <c r="L3695" s="23" t="inlineStr">
        <is>
          <t>тв</t>
        </is>
      </c>
      <c r="M3695" s="23" t="n">
        <v>448</v>
      </c>
      <c r="N3695" s="23" t="n">
        <v>2024</v>
      </c>
      <c r="O3695" s="23" t="n">
        <v>503</v>
      </c>
      <c r="P3695" s="23" t="n"/>
      <c r="Q3695" s="23" t="n"/>
      <c r="R3695" s="25" t="inlineStr">
        <is>
          <t>Известный британский ученый профессор Джон Перри представляет  историю европейских географических исследований и открытий, развития торговли и поселений за пределами Европы с начала XV до конца XVII века. Это была эра, когда Европа открывала для себя мир за пределами своей территории. Она началась с Генриха Мореплавателя и португальских путешествий и закончилась 250 лет спустя, когда «разведка» была почти завершена. Профессор Перри рассматривает политические, экономические и религиозные стимулы, побудившие европейцев к исследованиям и завоеваниям, а также анализирует природу и проблемы их поселений на колонизированных землях. Автор обращает внимание на то, что эта эпоха стала свидетелем не только самого быстрого распространения географических знаний в Европе, но и началом тесной связи чистой науки и техники с практической жизнью. И отмечает, что именно в этот период, особенно во второй его половине, европейские ученые наметили контуры физической Вселенной, которую мы знаем._x000D_
Старинные гравюры добавляют информации и украшают повествование.</t>
        </is>
      </c>
      <c r="S3695" s="26">
        <f>HYPERLINK("http://www.cnpol.ru/covers/21230.jpg","фото на сайте")</f>
        <v/>
      </c>
    </row>
    <row r="3696" ht="50.1" customHeight="1" s="3">
      <c r="A3696" s="23" t="inlineStr">
        <is>
          <t>Н</t>
        </is>
      </c>
      <c r="B3696" s="24" t="inlineStr">
        <is>
          <t>21796</t>
        </is>
      </c>
      <c r="C3696" s="23" t="inlineStr">
        <is>
          <t>ОИ ВИ</t>
        </is>
      </c>
      <c r="D3696" s="23" t="inlineStr">
        <is>
          <t>Грант М.</t>
        </is>
      </c>
      <c r="E3696" s="23" t="inlineStr">
        <is>
          <t>Юлий Цезарь. Жрец Юпитера</t>
        </is>
      </c>
      <c r="F3696" s="23" t="inlineStr">
        <is>
          <t>        </t>
        </is>
      </c>
      <c r="G3696" s="27" t="n">
        <v>1063</v>
      </c>
      <c r="H3696" s="23" t="n">
        <v>10</v>
      </c>
      <c r="I3696" s="23" t="n">
        <v>5</v>
      </c>
      <c r="J3696" s="23" t="inlineStr">
        <is>
          <t>978-5-9524-6446-9</t>
        </is>
      </c>
      <c r="K3696" s="23" t="inlineStr">
        <is>
          <t>84x108 1/32</t>
        </is>
      </c>
      <c r="L3696" s="23" t="inlineStr">
        <is>
          <t>тв</t>
        </is>
      </c>
      <c r="M3696" s="23" t="n">
        <v>350</v>
      </c>
      <c r="N3696" s="23" t="n">
        <v>2025</v>
      </c>
      <c r="O3696" s="23" t="n">
        <v>393</v>
      </c>
      <c r="P3696" s="23" t="n"/>
      <c r="Q3696" s="23" t="n"/>
      <c r="R3696" s="25" t="inlineStr">
        <is>
          <t>Майкл Грант предлагает увлекательную и наиболее полную из существующих биографий Цезаря, избегая предвзятых оценок и непроверенных мнений. Грант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быта Древнего Рима.</t>
        </is>
      </c>
      <c r="S3696" s="26">
        <f>HYPERLINK("http://www.cnpol.ru/covers/21796.jpg","фото на сайте")</f>
        <v/>
      </c>
    </row>
    <row r="3697" ht="50.1" customHeight="1" s="3">
      <c r="A3697" s="23" t="n"/>
      <c r="B3697" s="24" t="inlineStr">
        <is>
          <t>20121</t>
        </is>
      </c>
      <c r="C3697" s="23" t="inlineStr">
        <is>
          <t>ОИ ВИ</t>
        </is>
      </c>
      <c r="D3697" s="23" t="inlineStr">
        <is>
          <t>Ирвинг Д.</t>
        </is>
      </c>
      <c r="E3697" s="23" t="inlineStr">
        <is>
          <t>Ядерное оружие Третьего рейха. Немецкие физики на службе гитлеровской Германии</t>
        </is>
      </c>
      <c r="F3697" s="23" t="inlineStr">
        <is>
          <t>        </t>
        </is>
      </c>
      <c r="G3697" s="27" t="n">
        <v>1225</v>
      </c>
      <c r="H3697" s="23" t="n">
        <v>10</v>
      </c>
      <c r="I3697" s="23" t="n">
        <v>10</v>
      </c>
      <c r="J3697" s="23" t="inlineStr">
        <is>
          <t>978-5-9524-5701-0</t>
        </is>
      </c>
      <c r="K3697" s="23" t="inlineStr">
        <is>
          <t>84x108 1/32</t>
        </is>
      </c>
      <c r="L3697" s="23" t="inlineStr">
        <is>
          <t>тв</t>
        </is>
      </c>
      <c r="M3697" s="23" t="n">
        <v>440</v>
      </c>
      <c r="N3697" s="23" t="n">
        <v>2022</v>
      </c>
      <c r="O3697" s="23" t="n">
        <v>430</v>
      </c>
      <c r="P3697" s="23" t="n"/>
      <c r="Q3697" s="23" t="n"/>
      <c r="R3697" s="25" t="n"/>
      <c r="S3697" s="26">
        <f>HYPERLINK("http://www.cnpol.ru/covers/20121.jpg","фото на сайте")</f>
        <v/>
      </c>
    </row>
    <row r="3698" ht="50.1" customHeight="1" s="3">
      <c r="A3698" s="23" t="n"/>
      <c r="B3698" s="24" t="inlineStr">
        <is>
          <t>12675</t>
        </is>
      </c>
      <c r="C3698" s="23" t="inlineStr">
        <is>
          <t>ОИ ВП</t>
        </is>
      </c>
      <c r="D3698" s="23" t="inlineStr">
        <is>
          <t>Сидоров М.</t>
        </is>
      </c>
      <c r="E3698" s="23" t="inlineStr">
        <is>
          <t>Записки на кардиограммах</t>
        </is>
      </c>
      <c r="F3698" s="23" t="inlineStr">
        <is>
          <t>        </t>
        </is>
      </c>
      <c r="G3698" s="23" t="n">
        <v>486</v>
      </c>
      <c r="H3698" s="23" t="n">
        <v>10</v>
      </c>
      <c r="I3698" s="23" t="n">
        <v>14</v>
      </c>
      <c r="J3698" s="23" t="inlineStr">
        <is>
          <t>978-5-227-02785-6</t>
        </is>
      </c>
      <c r="K3698" s="23" t="inlineStr">
        <is>
          <t>84x108 1/32</t>
        </is>
      </c>
      <c r="L3698" s="23" t="inlineStr">
        <is>
          <t>тв</t>
        </is>
      </c>
      <c r="M3698" s="23" t="n">
        <v>351</v>
      </c>
      <c r="N3698" s="23" t="n">
        <v>2011</v>
      </c>
      <c r="O3698" s="23" t="n">
        <v>330</v>
      </c>
      <c r="P3698" s="23" t="n"/>
      <c r="Q3698" s="23" t="n"/>
      <c r="R3698" s="25" t="inlineStr">
        <is>
          <t>"Если ли среди нас хоть один человек, который не клял бы последними словами врачей скорой помощи? И есть ли хоть один человек, который ни разу не вызывал скорую помощь? В этой книге то, что думают они сами — врачи, для кого супостаты, для кого спасители. «Записки на кардиограммах» смешные, страшно смешные, а для кого-то просто страшные."</t>
        </is>
      </c>
      <c r="S3698" s="26">
        <f>HYPERLINK("http://www.cnpol.ru/covers/12675.jpg","фото на сайте")</f>
        <v/>
      </c>
    </row>
    <row r="3699" ht="50.1" customHeight="1" s="3">
      <c r="A3699" s="23" t="n"/>
      <c r="B3699" s="24" t="inlineStr">
        <is>
          <t>11548</t>
        </is>
      </c>
      <c r="C3699" s="23" t="inlineStr">
        <is>
          <t>ОИ ДЕЛ</t>
        </is>
      </c>
      <c r="D3699" s="23" t="inlineStr">
        <is>
          <t>Грид Р.</t>
        </is>
      </c>
      <c r="E3699" s="23" t="inlineStr">
        <is>
          <t>5 победоносных стратегических пинков в зад, чтобы увеличить продажи, обезвредить конкурентов, завоевать рынок и добиться процветания</t>
        </is>
      </c>
      <c r="F3699" s="23" t="inlineStr">
        <is>
          <t>        </t>
        </is>
      </c>
      <c r="G3699" s="23" t="n">
        <v>508</v>
      </c>
      <c r="H3699" s="23" t="n">
        <v>10</v>
      </c>
      <c r="I3699" s="23" t="n">
        <v>12</v>
      </c>
      <c r="J3699" s="23" t="inlineStr">
        <is>
          <t>978-5-9524-4528-4</t>
        </is>
      </c>
      <c r="K3699" s="23" t="inlineStr">
        <is>
          <t>84x108 1/32</t>
        </is>
      </c>
      <c r="L3699" s="23" t="inlineStr">
        <is>
          <t>тв</t>
        </is>
      </c>
      <c r="M3699" s="23" t="n">
        <v>382</v>
      </c>
      <c r="N3699" s="23" t="n">
        <v>2009</v>
      </c>
      <c r="O3699" s="23" t="n">
        <v>366</v>
      </c>
      <c r="P3699" s="23" t="n"/>
      <c r="Q3699" s="23" t="n"/>
      <c r="R3699" s="25" t="inlineStr">
        <is>
          <t>Преподаватель маркетинга и управления бизнесом Роберт Грид детально анализирует пять маркетинговых стратегий. В простой и доступной форме автор раскрывает истинное значение ключевых маркетинговых понятий и корпоративных теорий. Эта книга расскажет о том, как построить инфраструктуру, без которой невозможен рост компании, и поможет быстро вывести ваше предприятие на невиданную высоту. Следуя приведенным в этой книге рекомендациям, вы сможете в кратчайшие сроки завоевать самые выгодные сегменты рынка и стать в один ряд с лидерами продаж.</t>
        </is>
      </c>
      <c r="S3699" s="26">
        <f>HYPERLINK("http://www.cnpol.ru/covers/11548.jpg","фото на сайте")</f>
        <v/>
      </c>
    </row>
    <row r="3700" ht="50.1" customHeight="1" s="3">
      <c r="A3700" s="23" t="n"/>
      <c r="B3700" s="24" t="inlineStr">
        <is>
          <t>18210</t>
        </is>
      </c>
      <c r="C3700" s="23" t="inlineStr">
        <is>
          <t>ОИ ДЕЛ</t>
        </is>
      </c>
      <c r="D3700" s="23" t="inlineStr">
        <is>
          <t>Захарова О.Ю.</t>
        </is>
      </c>
      <c r="E3700" s="23" t="inlineStr">
        <is>
          <t>Как в СССР принимали высоких гостей</t>
        </is>
      </c>
      <c r="F3700" s="23" t="inlineStr">
        <is>
          <t>        </t>
        </is>
      </c>
      <c r="G3700" s="27" t="n">
        <v>1018</v>
      </c>
      <c r="H3700" s="23" t="n">
        <v>10</v>
      </c>
      <c r="I3700" s="23" t="n">
        <v>8</v>
      </c>
      <c r="J3700" s="23" t="inlineStr">
        <is>
          <t>978-5-227-08301-2</t>
        </is>
      </c>
      <c r="K3700" s="23" t="inlineStr">
        <is>
          <t>60x90 1/16</t>
        </is>
      </c>
      <c r="L3700" s="23" t="inlineStr">
        <is>
          <t>тв</t>
        </is>
      </c>
      <c r="M3700" s="23" t="n">
        <v>496</v>
      </c>
      <c r="N3700" s="23" t="n">
        <v>2018</v>
      </c>
      <c r="O3700" s="23" t="n">
        <v>594</v>
      </c>
      <c r="P3700" s="23" t="n"/>
      <c r="Q3700" s="23" t="n"/>
      <c r="R3700" s="25" t="inlineStr">
        <is>
          <t>Дипломатия в целом и дипломатические визиты в частности — важнейший инструмент формирования внешней политики, построения международных отношений. От качества приема и соблюдения или несоблюдения протокола зависит многое: удастся ли завоевать расположение желаемых союзников, настроить их на выгодные для страны условия и даже покрасоваться перед противниками. Россия издревле славится своей щедростью и имеет богатую традицию дипломатических встреч и приемов зарубежных гостей на самом высоком уровне. Это наследие, пройдя сквозь века, не могло не отразиться и на обычаях советских времен. Тем не менее недостаточная изученность советского дипломатического протокола до сих пор могла искажать знания о не так давно минувшей эпохе. И здесь работа О.Ю. Захаровой приоткрывает занавес: обнародует архивные документы и фотографии, долгое время бывшие недоступными широкой публике. Последовательно и увлекательно автор прослеживает эволюцию советского дипломатического протокола с начала 20­х до середины 80­х гг. В книге перелистываются страницы дневников, писем и воспоминаний глав государств и правительств, партийных и общественных деятелей, советских и зарубежных дипломатов. Снова раздаются известные имена людей, посетивших Советскую Россию и СССР с официальным визитом: Амануллы­хана, И. фон Риббентропа, У. Черчилля, Ш. де Голля, И.Б. Тито, Мао Цзэдуна, И. Ганди, Г.А. Насера, Р. Никсона, Ф. Кастро Рус и многих других. Перечни подарков членам делегаций и ответных даров сменяются меню официальных приемов в Кремле и в особняке МИД СССР. Программы пребывания в Москве, столицах и городах союзных республик, схемы встреч и проводов… Оживает история, возвращается, пусть и на короткие мгновения, атмосфера эпохи. Дипломатический протокол меняется, но всегда остается частью государственной церемониальной культуры, поддерживая имидж и престиж власти.</t>
        </is>
      </c>
      <c r="S3700" s="26">
        <f>HYPERLINK("http://www.cnpol.ru/covers/18210.jpg","фото на сайте")</f>
        <v/>
      </c>
    </row>
    <row r="3701" ht="50.1" customHeight="1" s="3">
      <c r="A3701" s="23" t="inlineStr">
        <is>
          <t>Н</t>
        </is>
      </c>
      <c r="B3701" s="24" t="inlineStr">
        <is>
          <t>21663</t>
        </is>
      </c>
      <c r="C3701" s="23" t="inlineStr">
        <is>
          <t>ОИ ДЕЛ</t>
        </is>
      </c>
      <c r="D3701" s="23" t="inlineStr">
        <is>
          <t>Захарова О.Ю.</t>
        </is>
      </c>
      <c r="E3701" s="23" t="inlineStr">
        <is>
          <t>Этикет деловой и общегражданский. История и современность. Руководство для воспитанных людей</t>
        </is>
      </c>
      <c r="F3701" s="23" t="inlineStr">
        <is>
          <t>        </t>
        </is>
      </c>
      <c r="G3701" s="23" t="n">
        <v>835</v>
      </c>
      <c r="H3701" s="23" t="n">
        <v>10</v>
      </c>
      <c r="I3701" s="23" t="n">
        <v>16</v>
      </c>
      <c r="J3701" s="23" t="inlineStr">
        <is>
          <t>978-5-227-10885-2</t>
        </is>
      </c>
      <c r="K3701" s="23" t="inlineStr">
        <is>
          <t>84x108 1/32</t>
        </is>
      </c>
      <c r="L3701" s="23" t="inlineStr">
        <is>
          <t>тв</t>
        </is>
      </c>
      <c r="M3701" s="23" t="n">
        <v>223</v>
      </c>
      <c r="N3701" s="23" t="n">
        <v>2025</v>
      </c>
      <c r="O3701" s="23" t="n">
        <v>270</v>
      </c>
      <c r="P3701" s="23" t="n"/>
      <c r="Q3701" s="23" t="n"/>
      <c r="R3701" s="25" t="inlineStr">
        <is>
          <t>Манеры, вежливость, учтивость, умение вести себя в обществе были важны во все времена, и пусть со временем правила могли поменяться, значимость их осталась неизменной. Цель этой книги — познакомить читателя с основами бытового, в том числе праздничного, и делового этикета: культурой речи и поведения, искусством комплиментов и мастерством дискуссии, правилами застолья и сервировки, этикой служебных взаимоотношений и особенностями поведения на переговорах с представителями разных стран. Помимо норм современного этикета, значительное внимание в книге уделено старинным нормам поведения в обществе, приведены обширные фрагменты из книг XVIII и XIX веков соответствующей тематики, дающие хорошее представление об истории вопроса. Возможно, некоторые из описанных там правил вызовут улыбку, но многие актуальны и на сегодняшний день.</t>
        </is>
      </c>
      <c r="S3701" s="26">
        <f>HYPERLINK("http://www.cnpol.ru/covers/21663.jpg","фото на сайте")</f>
        <v/>
      </c>
    </row>
    <row r="3702" ht="50.1" customHeight="1" s="3">
      <c r="A3702" s="23" t="inlineStr">
        <is>
          <t>Д</t>
        </is>
      </c>
      <c r="B3702" s="24" t="inlineStr">
        <is>
          <t>21015</t>
        </is>
      </c>
      <c r="C3702" s="23" t="inlineStr">
        <is>
          <t>ОИ ДЕТИ</t>
        </is>
      </c>
      <c r="D3702" s="23" t="inlineStr">
        <is>
          <t>Монтессори М.</t>
        </is>
      </c>
      <c r="E3702" s="23" t="inlineStr">
        <is>
          <t>Мой метод. руководство по воспитанию детей от 3 до 6 лет</t>
        </is>
      </c>
      <c r="F3702" s="23" t="inlineStr">
        <is>
          <t>        </t>
        </is>
      </c>
      <c r="G3702" s="27" t="n">
        <v>1184</v>
      </c>
      <c r="H3702" s="23" t="n">
        <v>10</v>
      </c>
      <c r="I3702" s="23" t="n">
        <v>10</v>
      </c>
      <c r="J3702" s="23" t="inlineStr">
        <is>
          <t>978-5-9524-6063-8</t>
        </is>
      </c>
      <c r="K3702" s="23" t="inlineStr">
        <is>
          <t>84x108 1/32</t>
        </is>
      </c>
      <c r="L3702" s="23" t="inlineStr">
        <is>
          <t>тв</t>
        </is>
      </c>
      <c r="M3702" s="23" t="n">
        <v>415</v>
      </c>
      <c r="N3702" s="23" t="n">
        <v>2024</v>
      </c>
      <c r="O3702" s="23" t="n">
        <v>450</v>
      </c>
      <c r="P3702" s="23" t="n"/>
      <c r="Q3702" s="23" t="n"/>
      <c r="R3702" s="25" t="inlineStr">
        <is>
          <t>Мария Монтессори — прогрессивный итальянский педагог, разработавший инновационную систему воспитания детей вплоть до подросткового возраста. В своей книге она доказывает право ребенка на активную деятельность, направленную на познание окружающего мира и развитие внутренних ресурсов за счет исследования и творческих усилий. В книге также содержится описание педагогических приемов при работе с классом, затрагиваются проблемы дисциплины, особенности индивидуальных занятий, вопросы личной гигиены, соблюдения порядка, манеры поведения и умения вести беседу. Также говорится о важности гимнастики и упражнений на развитие определенных мышц, о привлечении садоводства и огородничества в качестве методов развития ощущений у маленьких детей и о многом другом.</t>
        </is>
      </c>
      <c r="S3702" s="26">
        <f>HYPERLINK("http://www.cnpol.ru/covers/21015.jpg","фото на сайте")</f>
        <v/>
      </c>
    </row>
    <row r="3703" ht="50.1" customHeight="1" s="3">
      <c r="A3703" s="23" t="n"/>
      <c r="B3703" s="24" t="inlineStr">
        <is>
          <t>11860</t>
        </is>
      </c>
      <c r="C3703" s="23" t="inlineStr">
        <is>
          <t>ОИ ДЕТИ</t>
        </is>
      </c>
      <c r="D3703" s="23" t="inlineStr">
        <is>
          <t>Нецветаева Н.</t>
        </is>
      </c>
      <c r="E3703" s="23" t="inlineStr">
        <is>
          <t>Солнышко на шее или Как быть счастливой на 3 рубля в день</t>
        </is>
      </c>
      <c r="F3703" s="23" t="inlineStr">
        <is>
          <t>        </t>
        </is>
      </c>
      <c r="G3703" s="23" t="n">
        <v>105</v>
      </c>
      <c r="H3703" s="23" t="n">
        <v>10</v>
      </c>
      <c r="I3703" s="23" t="n">
        <v>30</v>
      </c>
      <c r="J3703" s="23" t="inlineStr">
        <is>
          <t>978-5-227-01994-3</t>
        </is>
      </c>
      <c r="K3703" s="23" t="inlineStr">
        <is>
          <t>84x108 1/32 (обл)</t>
        </is>
      </c>
      <c r="L3703" s="23" t="inlineStr">
        <is>
          <t>мяг</t>
        </is>
      </c>
      <c r="M3703" s="23" t="n">
        <v>190</v>
      </c>
      <c r="N3703" s="23" t="n">
        <v>2010</v>
      </c>
      <c r="O3703" s="23" t="n">
        <v>110</v>
      </c>
      <c r="P3703" s="23" t="n"/>
      <c r="Q3703" s="23" t="n"/>
      <c r="R3703" s="25" t="n"/>
      <c r="S3703" s="26">
        <f>HYPERLINK("http://www.cnpol.ru/covers/11860.jpg","фото на сайте")</f>
        <v/>
      </c>
    </row>
    <row r="3704" ht="50.1" customHeight="1" s="3">
      <c r="A3704" s="23" t="n"/>
      <c r="B3704" s="24" t="inlineStr">
        <is>
          <t>16090</t>
        </is>
      </c>
      <c r="C3704" s="23" t="inlineStr">
        <is>
          <t>ОИ ДИЕТА</t>
        </is>
      </c>
      <c r="D3704" s="23" t="inlineStr">
        <is>
          <t>Хаят Д</t>
        </is>
      </c>
      <c r="E3704" s="23" t="inlineStr">
        <is>
          <t>Антираковая диета. Продукты, которые мы должны есть, чтобы защититься от опасного недуга</t>
        </is>
      </c>
      <c r="F3704" s="23" t="inlineStr">
        <is>
          <t>        </t>
        </is>
      </c>
      <c r="G3704" s="23" t="n">
        <v>704</v>
      </c>
      <c r="H3704" s="23" t="n">
        <v>10</v>
      </c>
      <c r="I3704" s="23" t="n">
        <v>16</v>
      </c>
      <c r="J3704" s="23" t="inlineStr">
        <is>
          <t>978-5-227-06101-0</t>
        </is>
      </c>
      <c r="K3704" s="23" t="inlineStr">
        <is>
          <t>84x108 1/32</t>
        </is>
      </c>
      <c r="L3704" s="23" t="inlineStr">
        <is>
          <t>тв</t>
        </is>
      </c>
      <c r="M3704" s="23" t="n">
        <v>286</v>
      </c>
      <c r="N3704" s="23" t="n">
        <v>2015</v>
      </c>
      <c r="O3704" s="23" t="n">
        <v>308</v>
      </c>
      <c r="P3704" s="23" t="n"/>
      <c r="Q3704" s="23" t="n"/>
      <c r="R3704" s="25" t="inlineStr">
        <is>
          <t>Книга авторитетного французского онколога профессора Д. Хаята содержит советы по корректировке образа жизни для снижения риска развития рака. Автор анализирует некоторые несостоятельные системы профилактики, рассматривает различные категории продуктов, пищевых добавок, способов приготовления пищи с точки зрения возможности профилактики онкологических заболеваний. Кроме того, Хаят дает ­научно обоснованные практические рекомендации по предупреждению злокачественных новообразований с учетом пола и возраста. А также представляет подробные списки продуктов с характеристиками их ­полезных или опасных свойств. В конце книги помещена памятка с указанием, чего следует избегать, а какие действия предпринимать для ­предупреждения опасной болезни.</t>
        </is>
      </c>
      <c r="S3704" s="26">
        <f>HYPERLINK("http://www.cnpol.ru/covers/16090.jpg","фото на сайте")</f>
        <v/>
      </c>
    </row>
    <row r="3705" ht="50.1" customHeight="1" s="3">
      <c r="A3705" s="23" t="inlineStr">
        <is>
          <t>Д</t>
        </is>
      </c>
      <c r="B3705" s="24" t="inlineStr">
        <is>
          <t>22065</t>
        </is>
      </c>
      <c r="C3705" s="23" t="inlineStr">
        <is>
          <t>ОИ ДИЕТА</t>
        </is>
      </c>
      <c r="D3705" s="23" t="inlineStr">
        <is>
          <t>Хаят Д</t>
        </is>
      </c>
      <c r="E3705" s="23" t="inlineStr">
        <is>
          <t>Антираковая диета. Продукты, которые мы должны есть, чтобы защититься от опасного недуга</t>
        </is>
      </c>
      <c r="F3705" s="23" t="inlineStr">
        <is>
          <t>        </t>
        </is>
      </c>
      <c r="G3705" s="23" t="n">
        <v>460</v>
      </c>
      <c r="H3705" s="23" t="n">
        <v>10</v>
      </c>
      <c r="I3705" s="23" t="n">
        <v>20</v>
      </c>
      <c r="J3705" s="23" t="inlineStr">
        <is>
          <t>978-5-227-08587-0</t>
        </is>
      </c>
      <c r="K3705" s="23" t="inlineStr">
        <is>
          <t>84x108 1/32</t>
        </is>
      </c>
      <c r="L3705" s="23" t="inlineStr">
        <is>
          <t>мяг</t>
        </is>
      </c>
      <c r="M3705" s="23" t="n">
        <v>287</v>
      </c>
      <c r="N3705" s="23" t="n">
        <v>2019</v>
      </c>
      <c r="O3705" s="23" t="n">
        <v>213</v>
      </c>
      <c r="P3705" s="23" t="n"/>
      <c r="Q3705" s="23" t="n"/>
      <c r="R3705" s="25" t="inlineStr">
        <is>
          <t>Книга авторитетного французского онколога профессора Д. Хаята содержит советы по корректировке образа жизни для снижения риска развития рака. Автор анализирует некоторые несостоятельные системы профилактики, рассматривает различные категории продуктов, пищевых добавок, способов приготовления пищи с точки зрения возможности профилактики онкологических заболеваний. Кроме того, Хаят дает научно обоснованные практические рекомендации по предупреждению злокачественных новообразований с учетом пола и возраста. А также представляет подробные списки продуктов с характеристиками их полезных или опасных свойств. В конце книги помещена памятка с указанием, чего следует избегать, а какие действия предпринимать для предупреждения опасной болезни.</t>
        </is>
      </c>
      <c r="S3705" s="26">
        <f>HYPERLINK("http://www.cnpol.ru/covers/22065.jpg","фото на сайте")</f>
        <v/>
      </c>
    </row>
    <row r="3706" ht="50.1" customHeight="1" s="3">
      <c r="A3706" s="23" t="n"/>
      <c r="B3706" s="24" t="inlineStr">
        <is>
          <t>15591</t>
        </is>
      </c>
      <c r="C3706" s="23" t="inlineStr">
        <is>
          <t>ОИ ДИЕТА</t>
        </is>
      </c>
      <c r="D3706" s="23" t="inlineStr">
        <is>
          <t>Робинсон Д.</t>
        </is>
      </c>
      <c r="E3706" s="23" t="inlineStr">
        <is>
          <t>Вкус и цвет здоровья. Недостоющее звено оптимального рациона</t>
        </is>
      </c>
      <c r="F3706" s="23" t="inlineStr">
        <is>
          <t>        </t>
        </is>
      </c>
      <c r="G3706" s="23" t="n">
        <v>500</v>
      </c>
      <c r="H3706" s="23" t="n">
        <v>10</v>
      </c>
      <c r="I3706" s="23" t="n">
        <v>20</v>
      </c>
      <c r="J3706" s="23" t="inlineStr">
        <is>
          <t>978-5-227-05492-0</t>
        </is>
      </c>
      <c r="K3706" s="23" t="inlineStr">
        <is>
          <t>84x108 1/32</t>
        </is>
      </c>
      <c r="L3706" s="23" t="inlineStr">
        <is>
          <t>Интегр</t>
        </is>
      </c>
      <c r="M3706" s="23" t="n">
        <v>286</v>
      </c>
      <c r="N3706" s="23" t="n">
        <v>2014</v>
      </c>
      <c r="O3706" s="23" t="n">
        <v>254</v>
      </c>
      <c r="P3706" s="23" t="n"/>
      <c r="Q3706" s="23" t="n"/>
      <c r="R3706" s="25" t="inlineStr">
        <is>
          <t>Джо Робинсон, чьи интересные познавательные книги пользуются большой популярностью в Америке и Европе, предлагает радикально новый подход к пищевому рациону, позволяющий максимально обогатить его высококачественными природными медикаментами — фитонут­риентами. Эти присущие растениям вещества, попадая в человеческий организм, предупреждают склеротические поражения сосудов, стимулируют выведение шлаков, нормализуют гормональный фон, увеличивают эластичность соединительных тканей, поддерживают упругость кожи, способствуют нормализации веса, восстанавливают поврежденные структуры ДНК. Автор книги учит выбирать именно те разновидности и сорта овощей и фруктов, которые содержат оптимальное количество фитонутриентов, дает советы, как хранить и готовить продукты, чтобы полезные вещества не только не утрачивались, но и становились более действенными, максимально поступали в блюда. Интересная информация и простые исчерпывающие рекомендации позволят сломать многие стереотипы во взгляде на пользу знакомых продуктов, решительным ­образом изменить подход к своему питанию и обрести совершенное ­здоровье.</t>
        </is>
      </c>
      <c r="S3706" s="26">
        <f>HYPERLINK("http://www.cnpol.ru/covers/15591.jpg","фото на сайте")</f>
        <v/>
      </c>
    </row>
    <row r="3707" ht="50.1" customHeight="1" s="3">
      <c r="A3707" s="23" t="n"/>
      <c r="B3707" s="24" t="inlineStr">
        <is>
          <t>20554</t>
        </is>
      </c>
      <c r="C3707" s="23" t="inlineStr">
        <is>
          <t>ОИ ДИЕТА</t>
        </is>
      </c>
      <c r="D3707" s="23" t="inlineStr">
        <is>
          <t>Румянцева Т.</t>
        </is>
      </c>
      <c r="E3707" s="23" t="inlineStr">
        <is>
          <t>Деликатесы для диабетиков. Неотложная кулинарная помощь</t>
        </is>
      </c>
      <c r="F3707" s="23" t="inlineStr">
        <is>
          <t>        </t>
        </is>
      </c>
      <c r="G3707" s="23" t="n">
        <v>633</v>
      </c>
      <c r="H3707" s="23" t="n">
        <v>10</v>
      </c>
      <c r="I3707" s="23" t="n">
        <v>12</v>
      </c>
      <c r="J3707" s="23" t="inlineStr">
        <is>
          <t>978-5-227-10272-0</t>
        </is>
      </c>
      <c r="K3707" s="23" t="inlineStr">
        <is>
          <t>84x108 1/32</t>
        </is>
      </c>
      <c r="L3707" s="23" t="inlineStr">
        <is>
          <t>тв</t>
        </is>
      </c>
      <c r="M3707" s="23" t="n">
        <v>352</v>
      </c>
      <c r="N3707" s="23" t="n">
        <v>2023</v>
      </c>
      <c r="O3707" s="23" t="n">
        <v>314</v>
      </c>
      <c r="P3707" s="23" t="n"/>
      <c r="Q3707" s="23" t="n"/>
      <c r="R3707" s="25" t="inlineStr">
        <is>
          <t>Книга написана практикующим врачом-эндокринологом и является продолжением вышедшей ранее «Кулинарной книги диабетика», вобравшей в себя рецепты повседневных блюд._x000D_
В новом издании автор отдает предпочтение необычным, экзотическим, деликатесным блюдам. Рецепты, измененные относительно нужд соблюдающих диету гурманов, позволяют без вреда для здоровья лакомиться кулинарными шедеврами всех стран мира._x000D_
Кроме того, автор дает немало рекомендаций по диетическому питанию диабетиков и отвечает на наиболее волнующие вопросы, связанные с диетой.</t>
        </is>
      </c>
      <c r="S3707" s="26">
        <f>HYPERLINK("http://www.cnpol.ru/covers/20554.jpg","фото на сайте")</f>
        <v/>
      </c>
    </row>
    <row r="3708" ht="50.1" customHeight="1" s="3">
      <c r="A3708" s="23" t="n"/>
      <c r="B3708" s="24" t="inlineStr">
        <is>
          <t>17940</t>
        </is>
      </c>
      <c r="C3708" s="23" t="inlineStr">
        <is>
          <t>ОИ ДИЕТА</t>
        </is>
      </c>
      <c r="D3708" s="23" t="inlineStr">
        <is>
          <t>Помрой Х., Адамсон И.</t>
        </is>
      </c>
      <c r="E3708" s="23" t="inlineStr">
        <is>
          <t>Диета для ускорения метаболизма</t>
        </is>
      </c>
      <c r="F3708" s="23" t="inlineStr">
        <is>
          <t>        </t>
        </is>
      </c>
      <c r="G3708" s="23" t="n">
        <v>276</v>
      </c>
      <c r="H3708" s="23" t="n">
        <v>10</v>
      </c>
      <c r="I3708" s="23" t="n">
        <v>14</v>
      </c>
      <c r="J3708" s="23" t="inlineStr">
        <is>
          <t>978-5-227-06815-6</t>
        </is>
      </c>
      <c r="K3708" s="23" t="inlineStr">
        <is>
          <t>84x108 1/32 (обл)</t>
        </is>
      </c>
      <c r="L3708" s="23" t="inlineStr">
        <is>
          <t>мяг</t>
        </is>
      </c>
      <c r="M3708" s="23" t="n">
        <v>272</v>
      </c>
      <c r="N3708" s="23" t="n">
        <v>2018</v>
      </c>
      <c r="O3708" s="23" t="n">
        <v>162</v>
      </c>
      <c r="P3708" s="23" t="n"/>
      <c r="Q3708" s="23" t="n"/>
      <c r="R3708" s="25" t="n"/>
      <c r="S3708" s="26">
        <f>HYPERLINK("http://www.cnpol.ru/covers/17940.jpg","фото на сайте")</f>
        <v/>
      </c>
    </row>
    <row r="3709" ht="50.1" customHeight="1" s="3">
      <c r="A3709" s="23" t="inlineStr">
        <is>
          <t>Д</t>
        </is>
      </c>
      <c r="B3709" s="24" t="inlineStr">
        <is>
          <t>22162</t>
        </is>
      </c>
      <c r="C3709" s="23" t="inlineStr">
        <is>
          <t>ОИ ДИЕТА</t>
        </is>
      </c>
      <c r="D3709" s="23" t="inlineStr">
        <is>
          <t>Помрой Х., Адамсон И.</t>
        </is>
      </c>
      <c r="E3709" s="23" t="inlineStr">
        <is>
          <t>Диета для ускорения метаболизма</t>
        </is>
      </c>
      <c r="F3709" s="23" t="inlineStr">
        <is>
          <t>        </t>
        </is>
      </c>
      <c r="G3709" s="23" t="n">
        <v>295</v>
      </c>
      <c r="H3709" s="23" t="n">
        <v>10</v>
      </c>
      <c r="I3709" s="23" t="n">
        <v>12</v>
      </c>
      <c r="J3709" s="23" t="inlineStr">
        <is>
          <t>978-5-227-06815-6</t>
        </is>
      </c>
      <c r="K3709" s="23" t="inlineStr">
        <is>
          <t>84x108 1/32</t>
        </is>
      </c>
      <c r="L3709" s="23" t="inlineStr">
        <is>
          <t>мяг</t>
        </is>
      </c>
      <c r="M3709" s="23" t="n">
        <v>270</v>
      </c>
      <c r="N3709" s="23" t="n">
        <v>2026</v>
      </c>
      <c r="O3709" s="23" t="n">
        <v>162</v>
      </c>
      <c r="P3709" s="23" t="n"/>
      <c r="Q3709" s="23" t="n"/>
      <c r="R3709" s="25" t="inlineStr">
        <is>
          <t>Хэйли Помрой – автор уникальной методики, диетолог знаменитостей, «гуру метаболизма», как ее называют звездные пациенты, раскрывает тайны функционирования обмена веществ. С научной точки зрения она объясняет, что замедляет метаболизм и как с помощью здорового питания и умеренных физических нагрузок можно его ускорить, превратив организм в печь для сжигания жира. Благодаря этой программе за месяц вы сможете сбросить до 14 кг без голодания, подсчета калорий и изнуряющих тренировок. Вы не только станете стройнее, но и улучшите лабораторные показатели крови, снизите давление, отбалансируете гормональную систему и укрепите иммунитет. В книге вы найдете списки рекомендованных продуктов и еженедельные варианты меню, а также более 50 оригинальных авторских рецептов необычайно полезных, вкусных и вместе с тем простых блюд.</t>
        </is>
      </c>
      <c r="S3709" s="26">
        <f>HYPERLINK("http://www.cnpol.ru/covers/22162.jpg","фото на сайте")</f>
        <v/>
      </c>
    </row>
    <row r="3710" ht="50.1" customHeight="1" s="3">
      <c r="A3710" s="23" t="n"/>
      <c r="B3710" s="24" t="inlineStr">
        <is>
          <t>13964</t>
        </is>
      </c>
      <c r="C3710" s="23" t="inlineStr">
        <is>
          <t>ОИ ДИЕТА</t>
        </is>
      </c>
      <c r="D3710" s="23" t="inlineStr">
        <is>
          <t>Морено М.</t>
        </is>
      </c>
      <c r="E3710" s="23" t="inlineStr">
        <is>
          <t>Диета доктора Морено. Результат за 17 дней</t>
        </is>
      </c>
      <c r="F3710" s="23" t="inlineStr">
        <is>
          <t>        </t>
        </is>
      </c>
      <c r="G3710" s="23" t="n">
        <v>948</v>
      </c>
      <c r="H3710" s="23" t="n">
        <v>10</v>
      </c>
      <c r="I3710" s="23" t="n">
        <v>10</v>
      </c>
      <c r="J3710" s="23" t="inlineStr">
        <is>
          <t>978-5-227-04086-2</t>
        </is>
      </c>
      <c r="K3710" s="23" t="inlineStr">
        <is>
          <t>70x90 1/12</t>
        </is>
      </c>
      <c r="L3710" s="23" t="inlineStr">
        <is>
          <t>тв</t>
        </is>
      </c>
      <c r="M3710" s="23" t="n">
        <v>319</v>
      </c>
      <c r="N3710" s="23" t="n">
        <v>2012</v>
      </c>
      <c r="O3710" s="23" t="n">
        <v>500</v>
      </c>
      <c r="P3710" s="23" t="n"/>
      <c r="Q3710" s="23" t="n"/>
      <c r="R3710" s="25" t="inlineStr">
        <is>
          <t>Завоевавшая невероятную популярность во всем мире 17-дневная диета врача-диетолога Майка Морено адресована тем, кто хочет похудеть быстро и эффективно. Основная идея его метода — ускорение обмена веществ и как следствие — сжигание лишнего жира. Потеря веса — не менее 5 килограммов — происходит уже в первые 17 дней. В течение следующих двух циклов следует неизбежное снижение, а затем стабилизация веса. Залог успеха — здоровое разнообразное питание и легкая 17-минутная гимнастика.</t>
        </is>
      </c>
      <c r="S3710" s="26">
        <f>HYPERLINK("http://www.cnpol.ru/covers/13964.jpg","фото на сайте")</f>
        <v/>
      </c>
    </row>
    <row r="3711" ht="50.1" customHeight="1" s="3">
      <c r="A3711" s="23" t="n"/>
      <c r="B3711" s="24" t="inlineStr">
        <is>
          <t>16731</t>
        </is>
      </c>
      <c r="C3711" s="23" t="inlineStr">
        <is>
          <t>ОИ ДИЕТА</t>
        </is>
      </c>
      <c r="D3711" s="23" t="inlineStr">
        <is>
          <t>Морено М.</t>
        </is>
      </c>
      <c r="E3711" s="23" t="inlineStr">
        <is>
          <t>Как остановить старение и стать моложе. Результат за 17 дней</t>
        </is>
      </c>
      <c r="F3711" s="23" t="inlineStr">
        <is>
          <t>        </t>
        </is>
      </c>
      <c r="G3711" s="23" t="n">
        <v>822</v>
      </c>
      <c r="H3711" s="23" t="n">
        <v>10</v>
      </c>
      <c r="I3711" s="23" t="n">
        <v>10</v>
      </c>
      <c r="J3711" s="23" t="inlineStr">
        <is>
          <t>978-5-227-06766-1</t>
        </is>
      </c>
      <c r="K3711" s="23" t="inlineStr">
        <is>
          <t>70х90 1/16</t>
        </is>
      </c>
      <c r="L3711" s="23" t="inlineStr">
        <is>
          <t>тв</t>
        </is>
      </c>
      <c r="M3711" s="23" t="n">
        <v>320</v>
      </c>
      <c r="N3711" s="23" t="n">
        <v>2016</v>
      </c>
      <c r="O3711" s="23" t="n">
        <v>372</v>
      </c>
      <c r="P3711" s="23" t="n"/>
      <c r="Q3711" s="23" t="n"/>
      <c r="R3711" s="25" t="inlineStr">
        <is>
          <t>Доктор Майк Морено разработал четкую и простую в выполнении 17-дневную программу омоложения организма. Читателям предлагается сделать 4 простых шага, чтобы чувствовать себя моложе и здоровее. Каждый шаг программы сфокусирован на омоложении определенных частей вашего тела и организма: от сердца и легких до нервной системы и репродуктивных функций. Автор объясняет, как надо дышать, что нужно делать для укрепления иммунитета, каким образом сохранить гибкость и крепость суставов, остроту зрения и чувств и многое другое. Вы узнаете о своем организме так много интересного, что уже просто не сможете небрежно к нему относиться. Действуйте, у вас все получится!</t>
        </is>
      </c>
      <c r="S3711" s="26">
        <f>HYPERLINK("http://www.cnpol.ru/covers/16731.jpg","фото на сайте")</f>
        <v/>
      </c>
    </row>
    <row r="3712" ht="50.1" customHeight="1" s="3">
      <c r="A3712" s="23" t="inlineStr">
        <is>
          <t>Д</t>
        </is>
      </c>
      <c r="B3712" s="24" t="inlineStr">
        <is>
          <t>22043</t>
        </is>
      </c>
      <c r="C3712" s="23" t="inlineStr">
        <is>
          <t>ОИ ДИЕТА</t>
        </is>
      </c>
      <c r="D3712" s="23" t="inlineStr">
        <is>
          <t>Морено М.</t>
        </is>
      </c>
      <c r="E3712" s="23" t="inlineStr">
        <is>
          <t>Как остановить старение и стать моложе. Результат за 17 дней</t>
        </is>
      </c>
      <c r="F3712" s="23" t="inlineStr">
        <is>
          <t>        </t>
        </is>
      </c>
      <c r="G3712" s="23" t="n">
        <v>301</v>
      </c>
      <c r="H3712" s="23" t="n">
        <v>10</v>
      </c>
      <c r="I3712" s="23" t="n">
        <v>10</v>
      </c>
      <c r="J3712" s="23" t="inlineStr">
        <is>
          <t>978-5-227-07154-5</t>
        </is>
      </c>
      <c r="K3712" s="23" t="inlineStr">
        <is>
          <t>84x108 1/32</t>
        </is>
      </c>
      <c r="L3712" s="23" t="inlineStr">
        <is>
          <t>мяг</t>
        </is>
      </c>
      <c r="M3712" s="23" t="n">
        <v>318</v>
      </c>
      <c r="N3712" s="23" t="n">
        <v>2016</v>
      </c>
      <c r="O3712" s="23" t="n">
        <v>193</v>
      </c>
      <c r="P3712" s="23" t="n"/>
      <c r="Q3712" s="23" t="n"/>
      <c r="R3712" s="25" t="inlineStr">
        <is>
          <t>Доктор Майк Морено разработал четкую и простую в выполнении 17-дневную программу омоложения организма. Читателям предлагается сделать 4 простых шага, чтобы чувствовать себя моложе и здоровее. Каждый шаг программы сфокусирован на омоложении определенных частей вашего тела и организма: от сердца и легких до нервной системы и репродуктивных функций. Автор объясняет, как надо дышать, что нужно делать для укрепления иммунитета, каким образом сохранить гибкость и крепость суставов, остроту зрения и чувств и многое другое. Вы узнаете о своем организме так много интересного, что уже просто не сможете небрежно к нему относиться. Действуйте, у вас все получится!</t>
        </is>
      </c>
      <c r="S3712" s="26">
        <f>HYPERLINK("http://www.cnpol.ru/covers/22043.jpg","фото на сайте")</f>
        <v/>
      </c>
    </row>
    <row r="3713" ht="50.1" customHeight="1" s="3">
      <c r="A3713" s="23" t="inlineStr">
        <is>
          <t>Д</t>
        </is>
      </c>
      <c r="B3713" s="24" t="inlineStr">
        <is>
          <t>22198</t>
        </is>
      </c>
      <c r="C3713" s="23" t="inlineStr">
        <is>
          <t>ОИ ДИЕТА</t>
        </is>
      </c>
      <c r="D3713" s="23" t="inlineStr">
        <is>
          <t>Румянцева Т.</t>
        </is>
      </c>
      <c r="E3713" s="23" t="inlineStr">
        <is>
          <t>Кулинарная книга диабетика. Неотложная кулинарная помощь</t>
        </is>
      </c>
      <c r="F3713" s="23" t="inlineStr">
        <is>
          <t>        </t>
        </is>
      </c>
      <c r="G3713" s="23" t="n">
        <v>693</v>
      </c>
      <c r="H3713" s="23" t="n">
        <v>10</v>
      </c>
      <c r="I3713" s="23" t="n">
        <v>8</v>
      </c>
      <c r="J3713" s="23" t="inlineStr">
        <is>
          <t>978-5-227-11316-0</t>
        </is>
      </c>
      <c r="K3713" s="23" t="inlineStr">
        <is>
          <t>84x108 1/32</t>
        </is>
      </c>
      <c r="L3713" s="23" t="inlineStr">
        <is>
          <t>тв</t>
        </is>
      </c>
      <c r="M3713" s="23" t="n">
        <v>447</v>
      </c>
      <c r="N3713" s="23" t="n">
        <v>2026</v>
      </c>
      <c r="O3713" s="23" t="n">
        <v>356</v>
      </c>
      <c r="P3713" s="23" t="n"/>
      <c r="Q3713" s="23" t="n"/>
      <c r="R3713" s="25" t="inlineStr">
        <is>
          <t>В доступной и увлекательной форме практикующий врач-эндокринолог рассказывает о причинах заболевания диабетом и возможных осложнениях при неправильном питании. В книге не только даны ответы на наиболее распространенные вопросы, возникающие при диабете, но и приведено более 800 рецептов блюд, что позволит разнообразить меню и даже очень вкусно поесть, несмотря на все ограничения.</t>
        </is>
      </c>
      <c r="S3713" s="26">
        <f>HYPERLINK("http://www.cnpol.ru/covers/22198.jpg","фото на сайте")</f>
        <v/>
      </c>
    </row>
    <row r="3714" ht="50.1" customHeight="1" s="3">
      <c r="A3714" s="23" t="n"/>
      <c r="B3714" s="24" t="inlineStr">
        <is>
          <t>15616</t>
        </is>
      </c>
      <c r="C3714" s="23" t="inlineStr">
        <is>
          <t>ОИ ДИЕТА</t>
        </is>
      </c>
      <c r="D3714" s="23" t="inlineStr">
        <is>
          <t>Пигулевская И.С.</t>
        </is>
      </c>
      <c r="E3714" s="23" t="inlineStr">
        <is>
          <t>Счетчик калорий для стройных и стремящихся</t>
        </is>
      </c>
      <c r="F3714" s="23" t="inlineStr">
        <is>
          <t>        </t>
        </is>
      </c>
      <c r="G3714" s="23" t="n">
        <v>186</v>
      </c>
      <c r="H3714" s="23" t="n">
        <v>10</v>
      </c>
      <c r="I3714" s="23" t="n">
        <v>30</v>
      </c>
      <c r="J3714" s="23" t="inlineStr">
        <is>
          <t>978-5-227-05536-1</t>
        </is>
      </c>
      <c r="K3714" s="23" t="inlineStr">
        <is>
          <t>70x90 1/32</t>
        </is>
      </c>
      <c r="L3714" s="23" t="inlineStr">
        <is>
          <t>мяг</t>
        </is>
      </c>
      <c r="M3714" s="23" t="n">
        <v>222</v>
      </c>
      <c r="N3714" s="23" t="n">
        <v>2014</v>
      </c>
      <c r="O3714" s="23" t="n">
        <v>94</v>
      </c>
      <c r="P3714" s="23" t="n"/>
      <c r="Q3714" s="23" t="n"/>
      <c r="R3714" s="25" t="n"/>
      <c r="S3714" s="26">
        <f>HYPERLINK("http://www.cnpol.ru/covers/15616.jpg","фото на сайте")</f>
        <v/>
      </c>
    </row>
    <row r="3715" ht="50.1" customHeight="1" s="3">
      <c r="A3715" s="23" t="n"/>
      <c r="B3715" s="24" t="inlineStr">
        <is>
          <t>17365</t>
        </is>
      </c>
      <c r="C3715" s="23" t="inlineStr">
        <is>
          <t>ОИ ДИЕТА</t>
        </is>
      </c>
      <c r="D3715" s="23" t="inlineStr">
        <is>
          <t>Джойс К</t>
        </is>
      </c>
      <c r="E3715" s="23" t="inlineStr">
        <is>
          <t>Худеем без соли. Сбалансированная бессолевая диета</t>
        </is>
      </c>
      <c r="F3715" s="23" t="inlineStr">
        <is>
          <t>        </t>
        </is>
      </c>
      <c r="G3715" s="23" t="n">
        <v>276</v>
      </c>
      <c r="H3715" s="23" t="n">
        <v>10</v>
      </c>
      <c r="I3715" s="23" t="n">
        <v>16</v>
      </c>
      <c r="J3715" s="23" t="inlineStr">
        <is>
          <t>978-5-227-07433-1</t>
        </is>
      </c>
      <c r="K3715" s="23" t="inlineStr">
        <is>
          <t>84x108 1/32 (обл)</t>
        </is>
      </c>
      <c r="L3715" s="23" t="inlineStr">
        <is>
          <t>мяг</t>
        </is>
      </c>
      <c r="M3715" s="23" t="n">
        <v>288</v>
      </c>
      <c r="N3715" s="23" t="n">
        <v>2017</v>
      </c>
      <c r="O3715" s="23" t="n">
        <v>176</v>
      </c>
      <c r="P3715" s="23" t="n"/>
      <c r="Q3715" s="23" t="n"/>
      <c r="R3715" s="25" t="n"/>
      <c r="S3715" s="26">
        <f>HYPERLINK("http://www.cnpol.ru/covers/17365.jpg","фото на сайте")</f>
        <v/>
      </c>
    </row>
    <row r="3716" ht="50.1" customHeight="1" s="3">
      <c r="A3716" s="23" t="inlineStr">
        <is>
          <t>Д</t>
        </is>
      </c>
      <c r="B3716" s="24" t="inlineStr">
        <is>
          <t>22028</t>
        </is>
      </c>
      <c r="C3716" s="23" t="inlineStr">
        <is>
          <t>ОИ ДИЕТА</t>
        </is>
      </c>
      <c r="D3716" s="23" t="inlineStr">
        <is>
          <t>Фултон В.</t>
        </is>
      </c>
      <c r="E3716" s="23" t="inlineStr">
        <is>
          <t>Шесть недель до OMG</t>
        </is>
      </c>
      <c r="F3716" s="23" t="inlineStr">
        <is>
          <t>        </t>
        </is>
      </c>
      <c r="G3716" s="23" t="n">
        <v>936</v>
      </c>
      <c r="H3716" s="23" t="n">
        <v>10</v>
      </c>
      <c r="I3716" s="23" t="n">
        <v>10</v>
      </c>
      <c r="J3716" s="23" t="inlineStr">
        <is>
          <t>978-5-227-04610-9</t>
        </is>
      </c>
      <c r="K3716" s="23" t="inlineStr">
        <is>
          <t>84x108 1/32</t>
        </is>
      </c>
      <c r="L3716" s="23" t="inlineStr">
        <is>
          <t>тв</t>
        </is>
      </c>
      <c r="M3716" s="23" t="n">
        <v>286</v>
      </c>
      <c r="N3716" s="23" t="n">
        <v>2013</v>
      </c>
      <c r="O3716" s="23" t="n">
        <v>345</v>
      </c>
      <c r="P3716" s="23" t="n"/>
      <c r="Q3716" s="23" t="n"/>
      <c r="R3716" s="25" t="inlineStr">
        <is>
          <t>Венис Фултон написал свою веселую, увлекательную книгу для тех, кто хочет изменить свою жизнь к лучшему: стать стройной, красивой, уверенной в себе и счастливой. Живо и просто автор объясняет, как устроено человеческое тело и как оно «работает», а главное, как сделать, чтобы все его части действовали слаженно. Фултон расскажет, что надо делать, чтобы за шесть недель избавиться от лишнего веса, подтянуть мышцы, сделать живот плоским, а бедра стройными, как улучшить состояние кожи, волос и ногтей. Выполняя его простые и ясные рекомендации, очень скоро, взглянув в зеркало, вы воскликнете: «У меня получилось!»</t>
        </is>
      </c>
      <c r="S3716" s="26">
        <f>HYPERLINK("http://www.cnpol.ru/covers/22028.jpg","фото на сайте")</f>
        <v/>
      </c>
    </row>
    <row r="3717" ht="50.1" customHeight="1" s="3">
      <c r="A3717" s="23" t="n"/>
      <c r="B3717" s="24" t="inlineStr">
        <is>
          <t>20846</t>
        </is>
      </c>
      <c r="C3717" s="23" t="inlineStr">
        <is>
          <t>ОИ ДОМОВОДСТВО</t>
        </is>
      </c>
      <c r="D3717" s="23" t="inlineStr">
        <is>
          <t>Вимла К.</t>
        </is>
      </c>
      <c r="E3717" s="23" t="inlineStr">
        <is>
          <t>Лайфхаки для счастливой хозяйки. Рецепты идеального порядка. Успеваем всё и не устаём</t>
        </is>
      </c>
      <c r="F3717" s="23" t="inlineStr">
        <is>
          <t>        </t>
        </is>
      </c>
      <c r="G3717" s="23" t="n">
        <v>538</v>
      </c>
      <c r="H3717" s="23" t="n">
        <v>10</v>
      </c>
      <c r="I3717" s="23" t="n">
        <v>14</v>
      </c>
      <c r="J3717" s="23" t="inlineStr">
        <is>
          <t>978-5-227-10489-2</t>
        </is>
      </c>
      <c r="K3717" s="23" t="inlineStr">
        <is>
          <t>84x108 1/32</t>
        </is>
      </c>
      <c r="L3717" s="23" t="inlineStr">
        <is>
          <t>тв</t>
        </is>
      </c>
      <c r="M3717" s="23" t="n">
        <v>319</v>
      </c>
      <c r="N3717" s="23" t="n">
        <v>2023</v>
      </c>
      <c r="O3717" s="23" t="n">
        <v>279</v>
      </c>
      <c r="P3717" s="23" t="n"/>
      <c r="Q3717" s="23" t="n"/>
      <c r="R3717" s="25" t="inlineStr">
        <is>
          <t>Только ленивые дамы сегодня не рассказывают о том, как содержать свой дом в безупречной чистоте не тратя на это безумное количество времени и не валясь с ног от усталости. Вот и составитель этой книги не осталась в стороне и делится с неравнодушными хозяйками секретами и лайфхаками содержания дома в идеальном состоянии без особых усилий. Вы узнаете, как минимизировать количество вещей в доме и шкафу, как расхламляться и наводить уют, как всё успевать, даже если ты работаешь всю неделю. Вы научитесь мыть окна и пол с любым покрытием, чистить мягкую мебель и ковры, узнаете, как ухаживать за фарфоровой и глиняной посудой, как очистить серебряные изделия, кухонную утварь и ювелирные изделия… Вы сможете, используя приведённые советы, быстро и аккуратно вычистить любую одежду не хуже, чем в итальянской химчистке. В книге есть советы по удалению любых пятен, стирке любых тканей любой загрязнённости, мелкому ремонту всего подряд и ещё тысячи драгоценных советов для того, чтобы ваш дом искрился чистотой, прекрасно пах и был добр и светел.</t>
        </is>
      </c>
      <c r="S3717" s="26">
        <f>HYPERLINK("http://www.cnpol.ru/covers/20846.jpg","фото на сайте")</f>
        <v/>
      </c>
    </row>
    <row r="3718" ht="50.1" customHeight="1" s="3">
      <c r="A3718" s="23" t="n"/>
      <c r="B3718" s="24" t="inlineStr">
        <is>
          <t>19550</t>
        </is>
      </c>
      <c r="C3718" s="23" t="inlineStr">
        <is>
          <t>ОИ ДОМОВОДСТВО</t>
        </is>
      </c>
      <c r="D3718" s="23" t="inlineStr">
        <is>
          <t>Пигулевская И.С.</t>
        </is>
      </c>
      <c r="E3718" s="23" t="inlineStr">
        <is>
          <t>Прекрасная косметика из дешевых аптечных средств</t>
        </is>
      </c>
      <c r="F3718" s="23" t="inlineStr">
        <is>
          <t>        </t>
        </is>
      </c>
      <c r="G3718" s="23" t="n">
        <v>229</v>
      </c>
      <c r="H3718" s="23" t="n">
        <v>10</v>
      </c>
      <c r="I3718" s="23" t="n">
        <v>30</v>
      </c>
      <c r="J3718" s="23" t="inlineStr">
        <is>
          <t>978-5-227-09449-0</t>
        </is>
      </c>
      <c r="K3718" s="23" t="inlineStr">
        <is>
          <t>84x108 1/32 (обл)</t>
        </is>
      </c>
      <c r="L3718" s="23" t="inlineStr">
        <is>
          <t>мяг</t>
        </is>
      </c>
      <c r="M3718" s="23" t="n">
        <v>160</v>
      </c>
      <c r="N3718" s="23" t="n">
        <v>2021</v>
      </c>
      <c r="O3718" s="23" t="n">
        <v>98</v>
      </c>
      <c r="P3718" s="23" t="n"/>
      <c r="Q3718" s="23" t="n"/>
      <c r="R3718" s="25" t="n"/>
      <c r="S3718" s="26">
        <f>HYPERLINK("http://www.cnpol.ru/covers/19550.jpg","фото на сайте")</f>
        <v/>
      </c>
    </row>
    <row r="3719" ht="50.1" customHeight="1" s="3">
      <c r="A3719" s="23" t="inlineStr">
        <is>
          <t>Н</t>
        </is>
      </c>
      <c r="B3719" s="24" t="inlineStr">
        <is>
          <t>21402</t>
        </is>
      </c>
      <c r="C3719" s="23" t="inlineStr">
        <is>
          <t>ОИ ЗН</t>
        </is>
      </c>
      <c r="D3719" s="23" t="inlineStr">
        <is>
          <t>Бэгготт Д.</t>
        </is>
      </c>
      <c r="E3719" s="23" t="inlineStr">
        <is>
          <t>Бозон Хиггса. От научной идеи до открытия «частицы Бога»</t>
        </is>
      </c>
      <c r="F3719" s="23" t="inlineStr">
        <is>
          <t>        </t>
        </is>
      </c>
      <c r="G3719" s="23" t="n">
        <v>861</v>
      </c>
      <c r="H3719" s="23" t="n">
        <v>10</v>
      </c>
      <c r="I3719" s="23" t="n">
        <v>14</v>
      </c>
      <c r="J3719" s="23" t="inlineStr">
        <is>
          <t>978-5-9524-6279-3</t>
        </is>
      </c>
      <c r="K3719" s="23" t="inlineStr">
        <is>
          <t>84x108 1/32</t>
        </is>
      </c>
      <c r="L3719" s="23" t="inlineStr">
        <is>
          <t>тв</t>
        </is>
      </c>
      <c r="M3719" s="23" t="n">
        <v>255</v>
      </c>
      <c r="N3719" s="23" t="n">
        <v>2025</v>
      </c>
      <c r="O3719" s="23" t="n">
        <v>312</v>
      </c>
      <c r="P3719" s="23" t="n"/>
      <c r="Q3719" s="23" t="n"/>
      <c r="R3719" s="25" t="inlineStr">
        <is>
          <t>Джим Бэгготт, ученый, писатель, популяризатор науки, в своей книге подробно рассматривает процесс предсказания и открытия новой частицы — бозона Хиггса, попутно освещая такие вопросы фундаментальной физики, как строение материи, происхождение массы и энергии. Автор объясняет, что важность открытия частицы заключается еще и в том, что оно доказывает существование поля Хиггса, благодаря которому безмассовые частицы приобретают массу, что является необходимым условием для возникновения материи. Из книги вы узнаете о развитии физических теорий, начиная с античного понятия об атоме, и техническом прогрессе, позволившем их осуществить, а также историю обнаружения элементарных частиц.</t>
        </is>
      </c>
      <c r="S3719" s="26">
        <f>HYPERLINK("http://www.cnpol.ru/covers/21402.jpg","фото на сайте")</f>
        <v/>
      </c>
    </row>
    <row r="3720" ht="50.1" customHeight="1" s="3">
      <c r="A3720" s="23" t="inlineStr">
        <is>
          <t>Н</t>
        </is>
      </c>
      <c r="B3720" s="24" t="inlineStr">
        <is>
          <t>21946</t>
        </is>
      </c>
      <c r="C3720" s="23" t="inlineStr">
        <is>
          <t>ОИ ЗН</t>
        </is>
      </c>
      <c r="D3720" s="23" t="inlineStr">
        <is>
          <t>Левитин Д.</t>
        </is>
      </c>
      <c r="E3720" s="23" t="inlineStr">
        <is>
          <t>Воздействие музыки на мозг. Когнитивное, эмоциональное и психическое здоровье</t>
        </is>
      </c>
      <c r="F3720" s="23" t="inlineStr">
        <is>
          <t>        </t>
        </is>
      </c>
      <c r="G3720" s="27" t="n">
        <v>1009</v>
      </c>
      <c r="H3720" s="23" t="n">
        <v>10</v>
      </c>
      <c r="I3720" s="23" t="n">
        <v>8</v>
      </c>
      <c r="J3720" s="23" t="inlineStr">
        <is>
          <t>978-5-9524-6560-2</t>
        </is>
      </c>
      <c r="K3720" s="23" t="inlineStr">
        <is>
          <t>84x108 1/32</t>
        </is>
      </c>
      <c r="L3720" s="23" t="inlineStr">
        <is>
          <t>тв</t>
        </is>
      </c>
      <c r="M3720" s="23" t="n">
        <v>319</v>
      </c>
      <c r="N3720" s="23" t="n">
        <v>2026</v>
      </c>
      <c r="O3720" s="23" t="n">
        <v>362</v>
      </c>
      <c r="P3720" s="23" t="n"/>
      <c r="Q3720" s="23" t="n"/>
      <c r="R3720" s="25" t="inlineStr">
        <is>
          <t>Автор, прежде всего музыкальный продюсер и только затем ученый, блестяще соединяет музыку с наукой. Увлекательно рассказывает о том, как функционируют нейронные сети, занятые обработкой звуков. Прослеживает связь между музыкой в ее практических и теоретических аспектах и человеческим мозгом. Рассматривает такие вопросы, как структура музыки, ее отличительные свойства, эволюционное происхождение; механизмы музыкального творчества, памяти и восприятия, формирование музыкальных пристрастий, и многие другие. Опираясь на новейшие научные данные и собственный опыт, а также на многочисленные примеры от классической музыки до хэви-метала и рэпа, ярко высвечивает ту прекрасную загадку, которой является музыка, помогает измерить ее волшебство, не разрушая очарования.</t>
        </is>
      </c>
      <c r="S3720" s="26">
        <f>HYPERLINK("http://www.cnpol.ru/covers/21946.jpg","фото на сайте")</f>
        <v/>
      </c>
    </row>
    <row r="3721" ht="50.1" customHeight="1" s="3">
      <c r="A3721" s="23" t="n"/>
      <c r="B3721" s="24" t="inlineStr">
        <is>
          <t>18192</t>
        </is>
      </c>
      <c r="C3721" s="23" t="inlineStr">
        <is>
          <t>ОИ ЗН</t>
        </is>
      </c>
      <c r="D3721" s="23" t="inlineStr">
        <is>
          <t>Кулибин И.</t>
        </is>
      </c>
      <c r="E3721" s="23" t="inlineStr">
        <is>
          <t>Говорящие фамилии. Имена и фамилии, ставшие нарицательными и давшие название чему-либо</t>
        </is>
      </c>
      <c r="F3721" s="23" t="inlineStr">
        <is>
          <t>        </t>
        </is>
      </c>
      <c r="G3721" s="23" t="n">
        <v>534</v>
      </c>
      <c r="H3721" s="23" t="n">
        <v>10</v>
      </c>
      <c r="I3721" s="23" t="n">
        <v>12</v>
      </c>
      <c r="J3721" s="23" t="inlineStr">
        <is>
          <t>978-5-227-08264-0</t>
        </is>
      </c>
      <c r="K3721" s="23" t="inlineStr">
        <is>
          <t>84x108 1/32</t>
        </is>
      </c>
      <c r="L3721" s="23" t="inlineStr">
        <is>
          <t>тв</t>
        </is>
      </c>
      <c r="M3721" s="23" t="n">
        <v>352</v>
      </c>
      <c r="N3721" s="23" t="n">
        <v>2018</v>
      </c>
      <c r="O3721" s="23" t="n">
        <v>248</v>
      </c>
      <c r="P3721" s="23" t="n"/>
      <c r="Q3721" s="23" t="n"/>
      <c r="R3721" s="25" t="inlineStr">
        <is>
          <t>"Мы редко задумываемся о происхождении слов, а ведь это так интересно! Оказывается, некоторые образовались от имен и фамилий людей, которые совершили открытие, создали оружие или сочинили кулинарный рецепт! Слова­эпонимы — языковые памятники, обозначающие объект, на который перешло личное имя: название метода в науке, болезни в медицине, изобретения в технике…
Читайте! И вы узнаете, что ватман — не лист бумаги, а английский промышленник, галифе — не модель брюк, а французский генерал, а дизель — не поршневый двигатель, а фамилия изобретателя!
"</t>
        </is>
      </c>
      <c r="S3721" s="26">
        <f>HYPERLINK("http://www.cnpol.ru/covers/18192.jpg","фото на сайте")</f>
        <v/>
      </c>
    </row>
    <row r="3722" ht="50.1" customHeight="1" s="3">
      <c r="A3722" s="23" t="n"/>
      <c r="B3722" s="24" t="inlineStr">
        <is>
          <t>18313</t>
        </is>
      </c>
      <c r="C3722" s="23" t="inlineStr">
        <is>
          <t>ОИ ЗН</t>
        </is>
      </c>
      <c r="D3722" s="23" t="inlineStr">
        <is>
          <t>Аксенова М.Д.</t>
        </is>
      </c>
      <c r="E3722" s="23" t="inlineStr">
        <is>
          <t>Знаем ли мы всё о классиках мировой литературы?</t>
        </is>
      </c>
      <c r="F3722" s="23" t="inlineStr">
        <is>
          <t>        </t>
        </is>
      </c>
      <c r="G3722" s="23" t="n">
        <v>534</v>
      </c>
      <c r="H3722" s="23" t="n">
        <v>10</v>
      </c>
      <c r="I3722" s="23" t="n">
        <v>16</v>
      </c>
      <c r="J3722" s="23" t="inlineStr">
        <is>
          <t>978-5-227-07865-0</t>
        </is>
      </c>
      <c r="K3722" s="23" t="inlineStr">
        <is>
          <t>84x108 1/32</t>
        </is>
      </c>
      <c r="L3722" s="23" t="inlineStr">
        <is>
          <t>тв</t>
        </is>
      </c>
      <c r="M3722" s="23" t="n">
        <v>320</v>
      </c>
      <c r="N3722" s="23" t="n">
        <v>2018</v>
      </c>
      <c r="O3722" s="23" t="n">
        <v>312</v>
      </c>
      <c r="P3722" s="23" t="n"/>
      <c r="Q3722" s="23" t="n"/>
      <c r="R3722" s="25" t="inlineStr">
        <is>
          <t>..«И гений, парадоксов друг» — гений и впрямь может быть другом парадоксов своей биографии... Как только писателя причисляют к сонму классиков — происходит небожественное чудо: живого человека заменяет икона в виде портрета в кабинете литературы, а всё, что не укладывается в канон, как будто стирается ластиком из его биографии. А не укладывается не так уж мало. Пушкин — «Солнце русской поэзии» — в жизни был сердцеедом, разрушившим множество женских судеб, а в личной переписке — иногда и пошляком. Можно умиляться светлым отрывкам из недавно введённого в школьную программу «Лета Господня» Ивана Шмелёва, но как забыть о том, что одновременно с этой книгой он писал пламенные оды в поддержку Гитлера? В школе обходят эти трудности, предлагая детям удобный миф, «хрестоматийный глянец» вместо живого человека. В этой книге есть и не слишком приглядные подробности из биографий русских классиков. Их вполне достаточно для того, чтобы стряхнуть с их тел гранитно­чугунную шинель официозной иконы. Когда писатели становятся гораздо более живыми, чем на страницах учебников, то и их позитивное воздействие на нас обретает большую ценность.</t>
        </is>
      </c>
      <c r="S3722" s="26">
        <f>HYPERLINK("http://www.cnpol.ru/covers/18313.jpg","фото на сайте")</f>
        <v/>
      </c>
    </row>
    <row r="3723" ht="50.1" customHeight="1" s="3">
      <c r="A3723" s="23" t="n"/>
      <c r="B3723" s="24" t="inlineStr">
        <is>
          <t>20656</t>
        </is>
      </c>
      <c r="C3723" s="23" t="inlineStr">
        <is>
          <t>ОИ ЗН</t>
        </is>
      </c>
      <c r="D3723" s="23" t="inlineStr">
        <is>
          <t>Кирби Р.</t>
        </is>
      </c>
      <c r="E3723" s="23" t="inlineStr">
        <is>
          <t>История инженерного дела. Важнейшие технические достижения с древних времен до ХХ столетия</t>
        </is>
      </c>
      <c r="F3723" s="23" t="inlineStr">
        <is>
          <t>        </t>
        </is>
      </c>
      <c r="G3723" s="23" t="n">
        <v>806</v>
      </c>
      <c r="H3723" s="23" t="n">
        <v>10</v>
      </c>
      <c r="I3723" s="23" t="n">
        <v>8</v>
      </c>
      <c r="J3723" s="23" t="inlineStr">
        <is>
          <t>978-5-9524-5948-9</t>
        </is>
      </c>
      <c r="K3723" s="23" t="inlineStr">
        <is>
          <t>84x108 1/32</t>
        </is>
      </c>
      <c r="L3723" s="23" t="inlineStr">
        <is>
          <t>тв</t>
        </is>
      </c>
      <c r="M3723" s="23" t="n">
        <v>575</v>
      </c>
      <c r="N3723" s="23" t="n">
        <v>2023</v>
      </c>
      <c r="O3723" s="23" t="n">
        <v>420</v>
      </c>
      <c r="P3723" s="23" t="n"/>
      <c r="Q3723" s="23" t="n"/>
      <c r="R3723" s="25" t="inlineStr">
        <is>
          <t>Настоящая книга представляет собой интереснейший обзор развития инженерного искусства в истории западной цивилизации от истоков до двадцатого века. Авторы делают акцент на достижения, которые, по их мнению, являются наиболее важными и оказали наибольшее влияние на развитие человеческой цивилизации, приводя великолепные примеры шедевров творческой инженерной мысли. Это висячие сады Вавилона; строительство египетских пирамид и храмов; хитроумные механизмы Архимеда; сложнейшие конструкции трубопроводов и мостов; тоннелей, проложенных в горах и прорытых под водой; каналов; пароходов; локомотивов — словом, все то, что требует обширных технических знаний, опыта и смелости. Авторы объясняют назначение изобретений, дают подробные описания составных частей и как они взаимодействуют, сообщают основные размеры, дают представление о технологии строительства или сборки. Завершается обзор очерком о влиянии инженерии на общество, в котором утверждается, что технология должна содействовать повышению этических и эстетических ценностей._x000D_
Книга богато иллюстрирована и написана простым доступным языком, не отягощенным большим  количеством технических терминов и деталей.</t>
        </is>
      </c>
      <c r="S3723" s="26">
        <f>HYPERLINK("http://www.cnpol.ru/covers/20656.jpg","фото на сайте")</f>
        <v/>
      </c>
    </row>
    <row r="3724" ht="50.1" customHeight="1" s="3">
      <c r="A3724" s="23" t="inlineStr">
        <is>
          <t>Д</t>
        </is>
      </c>
      <c r="B3724" s="24" t="inlineStr">
        <is>
          <t>22118</t>
        </is>
      </c>
      <c r="C3724" s="23" t="inlineStr">
        <is>
          <t>ОИ ЗН</t>
        </is>
      </c>
      <c r="D3724" s="23" t="inlineStr">
        <is>
          <t>Гельб И.Д</t>
        </is>
      </c>
      <c r="E3724" s="23" t="inlineStr">
        <is>
          <t>История письменности. От рисуночного письма к полноценному алфавиту</t>
        </is>
      </c>
      <c r="F3724" s="23" t="inlineStr">
        <is>
          <t>        </t>
        </is>
      </c>
      <c r="G3724" s="23" t="n">
        <v>941</v>
      </c>
      <c r="H3724" s="23" t="n">
        <v>10</v>
      </c>
      <c r="I3724" s="23" t="n">
        <v>10</v>
      </c>
      <c r="J3724" s="23" t="inlineStr">
        <is>
          <t>978-5-9524-6668-5</t>
        </is>
      </c>
      <c r="K3724" s="23" t="inlineStr">
        <is>
          <t>84x108 1/32</t>
        </is>
      </c>
      <c r="L3724" s="23" t="inlineStr">
        <is>
          <t>тв</t>
        </is>
      </c>
      <c r="M3724" s="23" t="n">
        <v>287</v>
      </c>
      <c r="N3724" s="23" t="n">
        <v>2026</v>
      </c>
      <c r="O3724" s="23" t="n">
        <v>348</v>
      </c>
      <c r="P3724" s="23" t="n"/>
      <c r="Q3724" s="23" t="n"/>
      <c r="R3724" s="25" t="inlineStr">
        <is>
          <t>Труд известного американского ученого И.Дж. Гельба посвящен развитию истории и эволюции письменности в ее многообразии и взаимосвязи с другими сферами человеческой деятельности. Автор описывает и сравнивает различные виды письменности и подробно прослеживает ее развитие от самых первых стадий рисуночного письма до создания полноценного алфавита. Последние главы посвящены будущему письменности и ее связи с речью, искусством и религией.</t>
        </is>
      </c>
      <c r="S3724" s="26">
        <f>HYPERLINK("http://www.cnpol.ru/covers/22118.jpg","фото на сайте")</f>
        <v/>
      </c>
    </row>
    <row r="3725" ht="50.1" customHeight="1" s="3">
      <c r="A3725" s="23" t="n"/>
      <c r="B3725" s="24" t="inlineStr">
        <is>
          <t>14786</t>
        </is>
      </c>
      <c r="C3725" s="23" t="inlineStr">
        <is>
          <t>ОИ ЗН</t>
        </is>
      </c>
      <c r="D3725" s="23" t="inlineStr">
        <is>
          <t>Коровина Е.А.</t>
        </is>
      </c>
      <c r="E3725" s="23" t="inlineStr">
        <is>
          <t>Кн.2 Знаем ли мы свои любимые сказки? Тайны и секреты сказочных произведений.</t>
        </is>
      </c>
      <c r="F3725" s="23" t="inlineStr">
        <is>
          <t>        </t>
        </is>
      </c>
      <c r="G3725" s="23" t="n">
        <v>574</v>
      </c>
      <c r="H3725" s="23" t="n">
        <v>10</v>
      </c>
      <c r="I3725" s="23" t="n">
        <v>18</v>
      </c>
      <c r="J3725" s="23" t="inlineStr">
        <is>
          <t>978-5-227-04797-7</t>
        </is>
      </c>
      <c r="K3725" s="23" t="inlineStr">
        <is>
          <t>84x108 1/32</t>
        </is>
      </c>
      <c r="L3725" s="23" t="inlineStr">
        <is>
          <t>тв</t>
        </is>
      </c>
      <c r="M3725" s="23" t="n">
        <v>317</v>
      </c>
      <c r="N3725" s="23" t="n">
        <v>2014</v>
      </c>
      <c r="O3725" s="23" t="n">
        <v>344</v>
      </c>
      <c r="P3725" s="23" t="n"/>
      <c r="Q3725" s="23" t="n"/>
      <c r="R3725" s="25" t="inlineStr">
        <is>
          <t>Перед вами вторая книга из серии «Знаем ли мы свои любимые сказки?». И опять получился сборник бестселлеров мира сказок. Конечно, пришлось провести строгий отбор — ведь в объем книги и половина произведений из составленного списка не вошла бы. Пришлось выбирать, скрепя сердце. И снова возник тот же вопрос: а знаем ли мы и эти любимые сказки? Нет ли и в них тайн, загадок, мифических образов и всеобъемлющих символов? Оказалось — опять же есть. Итак, поговорим: о тайнах и секретах сказочных произведений; о том, как сказки приходят к людям; о том, как изменяется жизнь сказок во времени и видоизменяются сказочные истории… Надеюсь, никто не сомневается, что НАШИ сказки — ­живые. А если они еще и любимые, то готовы рассказать свои истории и помогать тем, кто их читает и пересказывает. Читайте…</t>
        </is>
      </c>
      <c r="S3725" s="26">
        <f>HYPERLINK("http://www.cnpol.ru/covers/14786.jpg","фото на сайте")</f>
        <v/>
      </c>
    </row>
    <row r="3726" ht="50.1" customHeight="1" s="3">
      <c r="A3726" s="23" t="n"/>
      <c r="B3726" s="24" t="inlineStr">
        <is>
          <t>15159</t>
        </is>
      </c>
      <c r="C3726" s="23" t="inlineStr">
        <is>
          <t>ОИ ЗН</t>
        </is>
      </c>
      <c r="D3726" s="23" t="inlineStr">
        <is>
          <t>Коровина Е.А.</t>
        </is>
      </c>
      <c r="E3726" s="23" t="inlineStr">
        <is>
          <t>Кн.2 Знаем ли мы свои любимые сказки? Тайны и секреты сказочных произведений.</t>
        </is>
      </c>
      <c r="F3726" s="23" t="inlineStr">
        <is>
          <t>        </t>
        </is>
      </c>
      <c r="G3726" s="23" t="n">
        <v>704</v>
      </c>
      <c r="H3726" s="23" t="n">
        <v>10</v>
      </c>
      <c r="I3726" s="23" t="n">
        <v>18</v>
      </c>
      <c r="J3726" s="23" t="inlineStr">
        <is>
          <t>978-5-227-05184-4</t>
        </is>
      </c>
      <c r="K3726" s="23" t="inlineStr">
        <is>
          <t>82x108 1/32</t>
        </is>
      </c>
      <c r="L3726" s="23" t="inlineStr">
        <is>
          <t>тв</t>
        </is>
      </c>
      <c r="M3726" s="23" t="n">
        <v>317</v>
      </c>
      <c r="N3726" s="23" t="n">
        <v>2014</v>
      </c>
      <c r="O3726" s="23" t="n">
        <v>344</v>
      </c>
      <c r="P3726" s="23" t="n"/>
      <c r="Q3726" s="23" t="n"/>
      <c r="R3726" s="25" t="inlineStr">
        <is>
          <t>Перед вами вторая книга из серии «Знаем ли мы свои любимые сказки?». И опять получился сборник бестселлеров мира сказок. Конечно, пришлось провести строгий отбор — ведь в объем книги и половина произведений из составленного списка не вошла бы. Пришлось выбирать, скрепя сердце. И снова возник тот же вопрос: а знаем ли мы и эти любимые сказки? Нет ли и в них тайн, загадок, мифических образов и всеобъемлющих символов? Оказалось — опять же есть. Итак, поговорим: о тайнах и секретах сказочных произведений; о том, как сказки приходят к людям; о том, как изменяется жизнь сказок во времени и видоизменяются сказочные истории… Надеюсь, никто не сомневается, что НАШИ сказки — ­живые. А если они еще и любимые, то готовы рассказать свои истории и помогать тем, кто их читает и пересказывает. Читайте…</t>
        </is>
      </c>
      <c r="S3726" s="26">
        <f>HYPERLINK("http://www.cnpol.ru/covers/15159.jpg","фото на сайте")</f>
        <v/>
      </c>
    </row>
    <row r="3727" ht="50.1" customHeight="1" s="3">
      <c r="A3727" s="23" t="n"/>
      <c r="B3727" s="24" t="inlineStr">
        <is>
          <t>20887</t>
        </is>
      </c>
      <c r="C3727" s="23" t="inlineStr">
        <is>
          <t>ОИ ЗН</t>
        </is>
      </c>
      <c r="D3727" s="23" t="inlineStr">
        <is>
          <t>Дерри Т., Уильямс Т.</t>
        </is>
      </c>
      <c r="E3727" s="23" t="inlineStr">
        <is>
          <t>Краткая история технологий</t>
        </is>
      </c>
      <c r="F3727" s="23" t="inlineStr">
        <is>
          <t>        </t>
        </is>
      </c>
      <c r="G3727" s="23" t="n">
        <v>986</v>
      </c>
      <c r="H3727" s="23" t="n">
        <v>10</v>
      </c>
      <c r="I3727" s="23" t="n">
        <v>4</v>
      </c>
      <c r="J3727" s="23" t="inlineStr">
        <is>
          <t>978-5-9524-6025-6</t>
        </is>
      </c>
      <c r="K3727" s="23" t="inlineStr">
        <is>
          <t>84x108 1/32</t>
        </is>
      </c>
      <c r="L3727" s="23" t="inlineStr">
        <is>
          <t>тв</t>
        </is>
      </c>
      <c r="M3727" s="23" t="n">
        <v>832</v>
      </c>
      <c r="N3727" s="23" t="n">
        <v>2023</v>
      </c>
      <c r="O3727" s="23" t="n">
        <v>681</v>
      </c>
      <c r="P3727" s="23" t="n"/>
      <c r="Q3727" s="23" t="n"/>
      <c r="R3727" s="25" t="inlineStr">
        <is>
          <t>Т. Дерри и Т. Уильямс представили блистательный рассказ о технологических достижениях человечества с древности до наших дней, уделив пристальное внимание влиянию технического прогресса на ход истории. Первая часть повествования включает историю технологий с древних времен до 1750 года. Рассказ начинается с общего исторического обзора древних цивилизаций, затем авторы рассматривают такие темы, как производство продуктов питания, металлообработка, строительство зданий, ранние источники энергии и начало химической промышленности. Вторая часть текста посвящена развитию парового двигателя, станков, современного транспорта, добыче угля и металлов, подъему современной химической промышленности, текстилю, двигателю внутреннего сгорания, электричеству и многим другим. Каждому разделу предшествует историческое введение, книга завершается рядом таблиц, предназначенных для отображения взаимосвязи имен и событий в тексте._x000D__x000D_
Книга богато иллюстрирована и наполнена фактологическими данными.</t>
        </is>
      </c>
      <c r="S3727" s="26">
        <f>HYPERLINK("http://www.cnpol.ru/covers/20887.jpg","фото на сайте")</f>
        <v/>
      </c>
    </row>
    <row r="3728" ht="50.1" customHeight="1" s="3">
      <c r="A3728" s="23" t="n"/>
      <c r="B3728" s="24" t="inlineStr">
        <is>
          <t>17834</t>
        </is>
      </c>
      <c r="C3728" s="23" t="inlineStr">
        <is>
          <t>ОИ ЗН</t>
        </is>
      </c>
      <c r="D3728" s="23" t="inlineStr">
        <is>
          <t>Коровина Е.А.</t>
        </is>
      </c>
      <c r="E3728" s="23" t="inlineStr">
        <is>
          <t>Легенды, символы и традиции Рождества и Нового года. Правда и вымысел, приключения, любовь и магия</t>
        </is>
      </c>
      <c r="F3728" s="23" t="inlineStr">
        <is>
          <t>        </t>
        </is>
      </c>
      <c r="G3728" s="27" t="n">
        <v>1773</v>
      </c>
      <c r="H3728" s="23" t="n">
        <v>10</v>
      </c>
      <c r="I3728" s="23" t="n">
        <v>8</v>
      </c>
      <c r="J3728" s="23" t="inlineStr">
        <is>
          <t>978-5-227-07963-3</t>
        </is>
      </c>
      <c r="K3728" s="23" t="inlineStr">
        <is>
          <t>108х70 1/32</t>
        </is>
      </c>
      <c r="L3728" s="23" t="inlineStr">
        <is>
          <t>тв</t>
        </is>
      </c>
      <c r="M3728" s="23" t="n">
        <v>416</v>
      </c>
      <c r="N3728" s="23" t="n">
        <v>2017</v>
      </c>
      <c r="O3728" s="23" t="n">
        <v>469</v>
      </c>
      <c r="P3728" s="23" t="n"/>
      <c r="Q3728" s="23" t="n"/>
      <c r="R3728" s="25" t="inlineStr">
        <is>
          <t>На праздники часто дарят красивые книги… А эта книга о самих праздниках — рождественских и новогодних. Книга, где соединяются история и сказка, романтика и приключения, любовь и магия. Она волшебная и способна создать праздничную атмосферу. Почитайте — так и будет: исполнение желаний, радость и счастье._x000D_
Новый год... В это время подарки — знак внимания и проявление доброты к тому, кому мы их дарим. В празднике главное — атмосфера любви и родство душ, мечта и ожидание чуда. Так было всегда. Не верите? Взгляните на старинные открытки, которыми проиллюстрирована книга. Ну чье сердце не дрогнет при виде красочного рисунка — с украшенной елкой, зажженными свечами, Дедом Морозом, ангелочками и цветами? Может, в обычный будничный день мы и усмехнемся: зачем вся эта мишура? Но в праздник сердца умягчаются, мысли добреют, мы умиляемся. И уже не можем представить праздник без поздравительной открытки. _x000D_
Открытка — это наш способ обнять друзей и рассказать о своих чувствах. А если открытка старинная и того, кто писал, и того, кто получил ее, давно уже нет среди нас, мы бережем этот дорогой нашему сердцу кусочек картона. Почему, зачем? Да потому, что это послания наших сердец. А магия сердца — самая сильная…</t>
        </is>
      </c>
      <c r="S3728" s="26">
        <f>HYPERLINK("http://www.cnpol.ru/covers/17834.jpg","фото на сайте")</f>
        <v/>
      </c>
    </row>
    <row r="3729" ht="50.1" customHeight="1" s="3">
      <c r="A3729" s="23" t="inlineStr">
        <is>
          <t>Д</t>
        </is>
      </c>
      <c r="B3729" s="24" t="inlineStr">
        <is>
          <t>22218</t>
        </is>
      </c>
      <c r="C3729" s="23" t="inlineStr">
        <is>
          <t>ОИ ЗН</t>
        </is>
      </c>
      <c r="D3729" s="23" t="inlineStr">
        <is>
          <t>Кунин Е.В.</t>
        </is>
      </c>
      <c r="E3729" s="23" t="inlineStr">
        <is>
          <t>Логика случая. О природе и происхождении биологической эволюции</t>
        </is>
      </c>
      <c r="F3729" s="23" t="inlineStr">
        <is>
          <t>        </t>
        </is>
      </c>
      <c r="G3729" s="27" t="n">
        <v>1560</v>
      </c>
      <c r="H3729" s="23" t="n">
        <v>10</v>
      </c>
      <c r="I3729" s="23" t="n">
        <v>6</v>
      </c>
      <c r="J3729" s="23" t="inlineStr">
        <is>
          <t>978-5-227-08009-7</t>
        </is>
      </c>
      <c r="K3729" s="23" t="inlineStr">
        <is>
          <t>60x90 1/16</t>
        </is>
      </c>
      <c r="L3729" s="23" t="inlineStr">
        <is>
          <t>тв</t>
        </is>
      </c>
      <c r="M3729" s="23" t="n">
        <v>527</v>
      </c>
      <c r="N3729" s="23" t="n">
        <v>2017</v>
      </c>
      <c r="O3729" s="23" t="n">
        <v>664</v>
      </c>
      <c r="P3729" s="23" t="n"/>
      <c r="Q3729" s="23" t="n"/>
      <c r="R3729" s="25" t="inlineStr">
        <is>
          <t>В этой амбициозной книге Евгений Кунин освещает переплетение случайного и закономерного, лежащих в основе самой сути жизни. В попытке достичь более глубокого понимания взаимного влияния случайности и необходимости, двигающих вперед биологическую эволюцию, Кунин сводит воедино новые данные и концепции, намечая при этом дорогу, ведущую за пределы синтетической теории эво люции. Он интерпретирует эволюцию как стохастический процесс, основанный на заранее непредвиденных обстоятельствах, ограниченный необходимостью поддержки клеточной организации и направляемый процессом адаптации. Для поддержки своих выводов он объединяет между собой множество концептуальных идей: сравнительную геномику, проливающую свет на предковые формы; новое понимание шаблонов, способов и непредсказуемости процесса эволюции; достижения в изучении экспрессии генов, распространенности белков и других фенотипических молекулярных характеристик; применение методов статистической физики для изучения генов и геномов и новый взгляд на вероятность самопроизвольного появления жизни, порождаемый современной космологией.
Логика случая демонстрирует, что то понимание эволюции, которое было выработано наукой XX века, является устаревшим и неполным, и обрисовывает фундаментально новый подход – вызывающий, иногда противоречивый, но всегда основанный на твердых научных знаниях.</t>
        </is>
      </c>
      <c r="S3729" s="26">
        <f>HYPERLINK("http://www.cnpol.ru/covers/22218.jpg","фото на сайте")</f>
        <v/>
      </c>
    </row>
    <row r="3730" ht="50.1" customHeight="1" s="3">
      <c r="A3730" s="23" t="inlineStr">
        <is>
          <t>Д</t>
        </is>
      </c>
      <c r="B3730" s="24" t="inlineStr">
        <is>
          <t>22152</t>
        </is>
      </c>
      <c r="C3730" s="23" t="inlineStr">
        <is>
          <t>ОИ ЗН</t>
        </is>
      </c>
      <c r="D3730" s="23" t="inlineStr">
        <is>
          <t>Андреева Ю.И.</t>
        </is>
      </c>
      <c r="E3730" s="23" t="inlineStr">
        <is>
          <t>Откуда приходят герои любимых книг. Литературное зазеркалье. Живые судьбы в книжном отражении</t>
        </is>
      </c>
      <c r="F3730" s="23" t="inlineStr">
        <is>
          <t>        </t>
        </is>
      </c>
      <c r="G3730" s="27" t="n">
        <v>1412</v>
      </c>
      <c r="H3730" s="23" t="n">
        <v>10</v>
      </c>
      <c r="I3730" s="23" t="n">
        <v>5</v>
      </c>
      <c r="J3730" s="23" t="inlineStr">
        <is>
          <t>978-5-227-11314-6</t>
        </is>
      </c>
      <c r="K3730" s="23" t="inlineStr">
        <is>
          <t>84x108 1/32</t>
        </is>
      </c>
      <c r="L3730" s="23" t="inlineStr">
        <is>
          <t>тв</t>
        </is>
      </c>
      <c r="M3730" s="23" t="n">
        <v>542</v>
      </c>
      <c r="N3730" s="23" t="n">
        <v>2026</v>
      </c>
      <c r="O3730" s="23" t="n">
        <v>560</v>
      </c>
      <c r="P3730" s="23" t="n"/>
      <c r="Q3730" s="23" t="n"/>
      <c r="R3730" s="25" t="inlineStr">
        <is>
          <t>А вы когда-нибудь задумывались над тем, где родилась Золушка? Знаете ли вы, что Белоснежка пала жертвой придворных интриг? Что были времена, когда реальный Бэтмен патрулировал улицы Нью-Йорка, настоящий Робинзон Крузо дни напролет ждал корабля на необитаемом острове, который, кстати, впоследствии назвали его именем, а прототип Алеши из «Черной курицы» Погорельского вырос и послужил прототипом Алексея Вронского в «Анне Карениной»? Согласитесь, интересно изучать произведения известных авторов под столь непривычным углом. Из этой книги вы узнаете, что печальная история Муму писана с натуры, что Туве Янссон чуть было не вышла замуж за прототипа своего Снусмумрика, а Джоан Роулинг развелась с прототипом Златопуста Локонса. Многие литературные герои — отражение настоящих людей. Читайте, и вы узнаете, что жил некогда реальный злодей Синяя Борода, что Штирлиц не плод фантазии Юлиана Семенова, а маленькая Алиса родилась вовсе не в Стране чудес… Будем рады, если чтение этой книги принесет вам столько же открытий, сколько принесло нам во время работы над текстом.</t>
        </is>
      </c>
      <c r="S3730" s="26">
        <f>HYPERLINK("http://www.cnpol.ru/covers/22152.jpg","фото на сайте")</f>
        <v/>
      </c>
    </row>
    <row r="3731" ht="50.1" customHeight="1" s="3">
      <c r="A3731" s="23" t="n"/>
      <c r="B3731" s="24" t="inlineStr">
        <is>
          <t>18246</t>
        </is>
      </c>
      <c r="C3731" s="23" t="inlineStr">
        <is>
          <t>ОИ ЗН</t>
        </is>
      </c>
      <c r="D3731" s="23" t="inlineStr">
        <is>
          <t>Мокиенко В.М</t>
        </is>
      </c>
      <c r="E3731" s="23" t="inlineStr">
        <is>
          <t>Правильно ли мы говорим по русски</t>
        </is>
      </c>
      <c r="F3731" s="23" t="inlineStr">
        <is>
          <t>        </t>
        </is>
      </c>
      <c r="G3731" s="23" t="n">
        <v>311</v>
      </c>
      <c r="H3731" s="23" t="n">
        <v>10</v>
      </c>
      <c r="I3731" s="23" t="n">
        <v>10</v>
      </c>
      <c r="J3731" s="23" t="inlineStr">
        <is>
          <t>978-5-227-08266-4</t>
        </is>
      </c>
      <c r="K3731" s="23" t="inlineStr">
        <is>
          <t>84x108 1/32 (обл)</t>
        </is>
      </c>
      <c r="L3731" s="23" t="inlineStr">
        <is>
          <t>мяг</t>
        </is>
      </c>
      <c r="M3731" s="23" t="n">
        <v>320</v>
      </c>
      <c r="N3731" s="23" t="n">
        <v>2018</v>
      </c>
      <c r="O3731" s="23" t="n">
        <v>194</v>
      </c>
      <c r="P3731" s="23" t="n"/>
      <c r="Q3731" s="23" t="n"/>
      <c r="R3731" s="25" t="n"/>
      <c r="S3731" s="26">
        <f>HYPERLINK("http://www.cnpol.ru/covers/18246.jpg","фото на сайте")</f>
        <v/>
      </c>
    </row>
    <row r="3732" ht="50.1" customHeight="1" s="3">
      <c r="A3732" s="23" t="n"/>
      <c r="B3732" s="24" t="inlineStr">
        <is>
          <t>20105</t>
        </is>
      </c>
      <c r="C3732" s="23" t="inlineStr">
        <is>
          <t>ОИ ИБ</t>
        </is>
      </c>
      <c r="D3732" s="23" t="inlineStr">
        <is>
          <t>Кейт К.</t>
        </is>
      </c>
      <c r="E3732" s="23" t="inlineStr">
        <is>
          <t>Антуан де Сент-Экзюпери. Небесная птица с земной судьбой</t>
        </is>
      </c>
      <c r="F3732" s="23" t="inlineStr">
        <is>
          <t>        </t>
        </is>
      </c>
      <c r="G3732" s="27" t="n">
        <v>1675</v>
      </c>
      <c r="H3732" s="23" t="n">
        <v>10</v>
      </c>
      <c r="I3732" s="23" t="n">
        <v>6</v>
      </c>
      <c r="J3732" s="23" t="inlineStr">
        <is>
          <t>978-5-9524-5680-8</t>
        </is>
      </c>
      <c r="K3732" s="23" t="inlineStr">
        <is>
          <t>60x90 1/16</t>
        </is>
      </c>
      <c r="L3732" s="23" t="inlineStr">
        <is>
          <t>тв</t>
        </is>
      </c>
      <c r="M3732" s="23" t="n">
        <v>665</v>
      </c>
      <c r="N3732" s="23" t="n">
        <v>2022</v>
      </c>
      <c r="O3732" s="23" t="n">
        <v>578</v>
      </c>
      <c r="P3732" s="23" t="n"/>
      <c r="Q3732" s="23" t="n"/>
      <c r="R3732" s="25" t="inlineStr">
        <is>
          <t>Антуан де Сент­Экзюпери, философ и математик, инженер и авиатор, поэт и воин, предстает в увлекательном жизнеописании Куртиса Кейта во всем блеске и разнообразии талантов. Автор не в ущерб захватывающему изложению, придерживаясь фактической точности, открывает новые черты в устоявшемся каноническом образе легендарного писателя. В повествование вплетен удивительно тонкий анализ произведений Антуана де Сент­Экзюпери, приводятся личные свидетельства, модные сплетни и легенды.</t>
        </is>
      </c>
      <c r="S3732" s="26">
        <f>HYPERLINK("http://www.cnpol.ru/covers/20105.jpg","фото на сайте")</f>
        <v/>
      </c>
    </row>
    <row r="3733" ht="50.1" customHeight="1" s="3">
      <c r="A3733" s="23" t="inlineStr">
        <is>
          <t>Н</t>
        </is>
      </c>
      <c r="B3733" s="24" t="inlineStr">
        <is>
          <t>21572</t>
        </is>
      </c>
      <c r="C3733" s="23" t="inlineStr">
        <is>
          <t>ОИ ИБ</t>
        </is>
      </c>
      <c r="D3733" s="23" t="inlineStr">
        <is>
          <t>Кастело А.</t>
        </is>
      </c>
      <c r="E3733" s="23" t="inlineStr">
        <is>
          <t>Бонапарт</t>
        </is>
      </c>
      <c r="F3733" s="23" t="inlineStr">
        <is>
          <t>        </t>
        </is>
      </c>
      <c r="G3733" s="27" t="n">
        <v>1407</v>
      </c>
      <c r="H3733" s="23" t="n">
        <v>10</v>
      </c>
      <c r="I3733" s="23" t="n">
        <v>4</v>
      </c>
      <c r="J3733" s="23" t="inlineStr">
        <is>
          <t>978-5-9524-6386-8</t>
        </is>
      </c>
      <c r="K3733" s="23" t="inlineStr">
        <is>
          <t>84x108 1/32</t>
        </is>
      </c>
      <c r="L3733" s="23" t="inlineStr">
        <is>
          <t>тв</t>
        </is>
      </c>
      <c r="M3733" s="23" t="n">
        <v>527</v>
      </c>
      <c r="N3733" s="23" t="n">
        <v>2025</v>
      </c>
      <c r="O3733" s="23" t="n">
        <v>422</v>
      </c>
      <c r="P3733" s="23" t="n"/>
      <c r="Q3733" s="23" t="n"/>
      <c r="R3733" s="25" t="inlineStr">
        <is>
          <t>В первой книге дилогии французского историка Андре Кастело рассказывается о пути Наполеона Бонапарта к императорской короне. Автор разворачивает перед читателем объективную картину истории Франции на переломе эпох, знакомит с феноменом личности честолюбивого корсиканца, одержимого мечтой о великой империи.</t>
        </is>
      </c>
      <c r="S3733" s="26">
        <f>HYPERLINK("http://www.cnpol.ru/covers/21572.jpg","фото на сайте")</f>
        <v/>
      </c>
    </row>
    <row r="3734" ht="50.1" customHeight="1" s="3">
      <c r="A3734" s="23" t="n"/>
      <c r="B3734" s="24" t="inlineStr">
        <is>
          <t>20399</t>
        </is>
      </c>
      <c r="C3734" s="23" t="inlineStr">
        <is>
          <t>ОИ ИБ</t>
        </is>
      </c>
      <c r="D3734" s="23" t="inlineStr">
        <is>
          <t>Нижинская Р.</t>
        </is>
      </c>
      <c r="E3734" s="23" t="inlineStr">
        <is>
          <t>Вацлав Нижинский. Воспоминания</t>
        </is>
      </c>
      <c r="F3734" s="23" t="inlineStr">
        <is>
          <t>        </t>
        </is>
      </c>
      <c r="G3734" s="27" t="n">
        <v>1209</v>
      </c>
      <c r="H3734" s="23" t="n">
        <v>10</v>
      </c>
      <c r="I3734" s="23" t="n">
        <v>10</v>
      </c>
      <c r="J3734" s="23" t="inlineStr">
        <is>
          <t>978-5-9524-5850-5</t>
        </is>
      </c>
      <c r="K3734" s="23" t="inlineStr">
        <is>
          <t>84x108 1/32</t>
        </is>
      </c>
      <c r="L3734" s="23" t="inlineStr">
        <is>
          <t>тв</t>
        </is>
      </c>
      <c r="M3734" s="23" t="n">
        <v>412</v>
      </c>
      <c r="N3734" s="23" t="n">
        <v>2022</v>
      </c>
      <c r="O3734" s="23" t="n">
        <v>470</v>
      </c>
      <c r="P3734" s="23" t="n"/>
      <c r="Q3734" s="23" t="n"/>
      <c r="R3734" s="25" t="inlineStr">
        <is>
          <t>Книга Ромолы Нижинской посвящена последним двадцати годам жизни великого танцовщика Вацлава Нижинского, вдохновлявшего композиторов, балетмейстеров, художников и продюсеров на создание новых ритмов, неожиданной пластики и совершенно фантастических образов нового искусства. Особое место уделяется в мемуарах роли Дягилева — темного гения Вацлава. Воспоминаниям Ромолы, возможно, не хватает холодной объективности исследователя, но это искреннее свидетельство любящего сердца.</t>
        </is>
      </c>
      <c r="S3734" s="26">
        <f>HYPERLINK("http://www.cnpol.ru/covers/20399.jpg","фото на сайте")</f>
        <v/>
      </c>
    </row>
    <row r="3735" ht="50.1" customHeight="1" s="3">
      <c r="A3735" s="23" t="n"/>
      <c r="B3735" s="24" t="inlineStr">
        <is>
          <t>20320</t>
        </is>
      </c>
      <c r="C3735" s="23" t="inlineStr">
        <is>
          <t>ОИ ИБ</t>
        </is>
      </c>
      <c r="D3735" s="23" t="inlineStr">
        <is>
          <t>Шур М.</t>
        </is>
      </c>
      <c r="E3735" s="23" t="inlineStr">
        <is>
          <t>Зигмунд Фрейд: жизнь и смерть</t>
        </is>
      </c>
      <c r="F3735" s="23" t="inlineStr">
        <is>
          <t>        </t>
        </is>
      </c>
      <c r="G3735" s="27" t="n">
        <v>1372</v>
      </c>
      <c r="H3735" s="23" t="n">
        <v>10</v>
      </c>
      <c r="I3735" s="23" t="n">
        <v>8</v>
      </c>
      <c r="J3735" s="23" t="inlineStr">
        <is>
          <t>978-5-9524-5697-6</t>
        </is>
      </c>
      <c r="K3735" s="23" t="inlineStr">
        <is>
          <t>84x108 1/32</t>
        </is>
      </c>
      <c r="L3735" s="23" t="inlineStr">
        <is>
          <t>тв</t>
        </is>
      </c>
      <c r="M3735" s="23" t="n">
        <v>527</v>
      </c>
      <c r="N3735" s="23" t="n">
        <v>2022</v>
      </c>
      <c r="O3735" s="23" t="n">
        <v>506</v>
      </c>
      <c r="P3735" s="23" t="n"/>
      <c r="Q3735" s="23" t="n"/>
      <c r="R3735" s="25" t="inlineStr">
        <is>
          <t>Подробное жизнеописание и одновременно глубокое исследование творчества Зигмунда Фрейда составлено его лечащим врачом, другом и единомышленником. Макс Шур представляет читателям не только глубоко страдающего пациента, но и человека огромной духовной силы и выдержки, которому даже собственные страдания служили материалом для научных изысканий._x000D_
Книга ценна не только впечатлениями очевидца, но и приведенной в ней обширной перепиской Фрейда, сопровожденной исчерпывающими комментариями.</t>
        </is>
      </c>
      <c r="S3735" s="26">
        <f>HYPERLINK("http://www.cnpol.ru/covers/20320.jpg","фото на сайте")</f>
        <v/>
      </c>
    </row>
    <row r="3736" ht="50.1" customHeight="1" s="3">
      <c r="A3736" s="23" t="n"/>
      <c r="B3736" s="24" t="inlineStr">
        <is>
          <t>20401</t>
        </is>
      </c>
      <c r="C3736" s="23" t="inlineStr">
        <is>
          <t>ОИ ИБ</t>
        </is>
      </c>
      <c r="D3736" s="23" t="inlineStr">
        <is>
          <t>Каидзука С</t>
        </is>
      </c>
      <c r="E3736" s="23" t="inlineStr">
        <is>
          <t>Конфуций. Жизненный путь и учение великого философа Древнего Китая</t>
        </is>
      </c>
      <c r="F3736" s="23" t="inlineStr">
        <is>
          <t>        </t>
        </is>
      </c>
      <c r="G3736" s="23" t="n">
        <v>762</v>
      </c>
      <c r="H3736" s="23" t="n">
        <v>10</v>
      </c>
      <c r="I3736" s="23" t="n">
        <v>20</v>
      </c>
      <c r="J3736" s="23" t="inlineStr">
        <is>
          <t>978-5-9524-5844-4</t>
        </is>
      </c>
      <c r="K3736" s="23" t="inlineStr">
        <is>
          <t>84x108 1/32</t>
        </is>
      </c>
      <c r="L3736" s="23" t="inlineStr">
        <is>
          <t>тв</t>
        </is>
      </c>
      <c r="M3736" s="23" t="n">
        <v>191</v>
      </c>
      <c r="N3736" s="23" t="n">
        <v>2022</v>
      </c>
      <c r="O3736" s="23" t="n">
        <v>188</v>
      </c>
      <c r="P3736" s="23" t="n"/>
      <c r="Q3736" s="23" t="n"/>
      <c r="R3736" s="25" t="inlineStr">
        <is>
          <t>Книга рассказывает о жизненном пути и учении великого философа Древнего Китая — Конфуция. Подробно воссоздана историческая эпоха, в которой жил великий человек, анализируются его труды, исследуется влияние личности мудреца на формирование государственного устройства Поднебесной.</t>
        </is>
      </c>
      <c r="S3736" s="26">
        <f>HYPERLINK("http://www.cnpol.ru/covers/20401.jpg","фото на сайте")</f>
        <v/>
      </c>
    </row>
    <row r="3737" ht="50.1" customHeight="1" s="3">
      <c r="A3737" s="23" t="inlineStr">
        <is>
          <t>Н</t>
        </is>
      </c>
      <c r="B3737" s="24" t="inlineStr">
        <is>
          <t>21092</t>
        </is>
      </c>
      <c r="C3737" s="23" t="inlineStr">
        <is>
          <t>ОИ ИБ</t>
        </is>
      </c>
      <c r="D3737" s="23" t="inlineStr">
        <is>
          <t>Мудрова И.А.</t>
        </is>
      </c>
      <c r="E3737" s="23" t="inlineStr">
        <is>
          <t>Легко ли быть принцессой. Как на самом деле живётся наследникам престола. Всегда ли сказка красивая и добрая</t>
        </is>
      </c>
      <c r="F3737" s="23" t="inlineStr">
        <is>
          <t>        </t>
        </is>
      </c>
      <c r="G3737" s="23" t="n">
        <v>605</v>
      </c>
      <c r="H3737" s="23" t="n">
        <v>10</v>
      </c>
      <c r="I3737" s="23" t="n">
        <v>12</v>
      </c>
      <c r="J3737" s="23" t="inlineStr">
        <is>
          <t>978-5-227-10643-8</t>
        </is>
      </c>
      <c r="K3737" s="23" t="inlineStr">
        <is>
          <t>70x108 1/32</t>
        </is>
      </c>
      <c r="L3737" s="23" t="inlineStr">
        <is>
          <t>тв</t>
        </is>
      </c>
      <c r="M3737" s="23" t="n">
        <v>255</v>
      </c>
      <c r="N3737" s="23" t="n">
        <v>2024</v>
      </c>
      <c r="O3737" s="23" t="n">
        <v>227</v>
      </c>
      <c r="P3737" s="23" t="n"/>
      <c r="Q3737" s="23" t="n"/>
      <c r="R3737" s="25" t="inlineStr">
        <is>
          <t>Жизнь принцев и принцесс часто далека от нашего представления о «сахарных» счастливых девочках и беспечных мальчиках… Только в сказках всё красиво, справедливо и свадьбы по любви. На самом деле высокое происхождение совсем не залог счастливой жизни, а дети даже самой бедной крестьянки иногда любимее царских отпрысков, ведь они ежедневно живут с мамой и не ограничены рамками бесконечных условностей… Истории наследников престола от императорских отпрысков до детей вождей различных племён иногда безрадостны. Детей продавали, а порой и приносили в жертву. Они служили разменной монетой в политических играх, заложниками, предметом торга при заключении династических браков. Например, совсем ещё маленькую девочку могли отдать замуж за зрелого мужчину, а мнение женщин при заключении брака даже не учитывалось…_x000D_
Из книги вы узнаете, как на самом деле живётся наследникам престолов, во что играли, что ели, чем болели принцы и принцессы. Как и кто их воспитывал и всегда ли сказка о детях из королевских семей долгая, красивая и добрая.</t>
        </is>
      </c>
      <c r="S3737" s="26">
        <f>HYPERLINK("http://www.cnpol.ru/covers/21092.jpg","фото на сайте")</f>
        <v/>
      </c>
    </row>
    <row r="3738" ht="50.1" customHeight="1" s="3">
      <c r="A3738" s="23" t="inlineStr">
        <is>
          <t>Н</t>
        </is>
      </c>
      <c r="B3738" s="24" t="inlineStr">
        <is>
          <t>21573</t>
        </is>
      </c>
      <c r="C3738" s="23" t="inlineStr">
        <is>
          <t>ОИ ИБ</t>
        </is>
      </c>
      <c r="D3738" s="23" t="inlineStr">
        <is>
          <t>Кастело А.</t>
        </is>
      </c>
      <c r="E3738" s="23" t="inlineStr">
        <is>
          <t>Наполеон</t>
        </is>
      </c>
      <c r="F3738" s="23" t="inlineStr">
        <is>
          <t>        </t>
        </is>
      </c>
      <c r="G3738" s="27" t="n">
        <v>1588</v>
      </c>
      <c r="H3738" s="23" t="n">
        <v>10</v>
      </c>
      <c r="I3738" s="23" t="n">
        <v>4</v>
      </c>
      <c r="J3738" s="23" t="inlineStr">
        <is>
          <t>978-5-9524-6385-1</t>
        </is>
      </c>
      <c r="K3738" s="23" t="inlineStr">
        <is>
          <t>84x108 1/32</t>
        </is>
      </c>
      <c r="L3738" s="23" t="inlineStr">
        <is>
          <t>тв</t>
        </is>
      </c>
      <c r="M3738" s="23" t="n">
        <v>685</v>
      </c>
      <c r="N3738" s="23" t="n">
        <v>2025</v>
      </c>
      <c r="O3738" s="23" t="n">
        <v>441</v>
      </c>
      <c r="P3738" s="23" t="n"/>
      <c r="Q3738" s="23" t="n"/>
      <c r="R3738" s="25" t="inlineStr">
        <is>
          <t>Во второй книге дилогии французского историка Андре Кастело рассказывается о царствовании и падении Наполеона Бонапарта. Автор разворачивает перед читателем объективную картину истории Франции на переломе эпох, знакомит с феноменом личности честолюбивого корсиканца, одержимого мечтой о великой империи.</t>
        </is>
      </c>
      <c r="S3738" s="26">
        <f>HYPERLINK("http://www.cnpol.ru/covers/21573.jpg","фото на сайте")</f>
        <v/>
      </c>
    </row>
    <row r="3739" ht="50.1" customHeight="1" s="3">
      <c r="A3739" s="23" t="inlineStr">
        <is>
          <t>Д</t>
        </is>
      </c>
      <c r="B3739" s="24" t="inlineStr">
        <is>
          <t>21981</t>
        </is>
      </c>
      <c r="C3739" s="23" t="inlineStr">
        <is>
          <t>ОИ ИБ</t>
        </is>
      </c>
      <c r="D3739" s="23" t="inlineStr">
        <is>
          <t>Лэмб Г.</t>
        </is>
      </c>
      <c r="E3739" s="23" t="inlineStr">
        <is>
          <t>Омар Хайям. Гений, поэт, ученый</t>
        </is>
      </c>
      <c r="F3739" s="23" t="inlineStr">
        <is>
          <t>        </t>
        </is>
      </c>
      <c r="G3739" s="27" t="n">
        <v>1184</v>
      </c>
      <c r="H3739" s="23" t="n">
        <v>10</v>
      </c>
      <c r="I3739" s="23" t="n">
        <v>6</v>
      </c>
      <c r="J3739" s="23" t="inlineStr">
        <is>
          <t>978-5-9524-6617-3</t>
        </is>
      </c>
      <c r="K3739" s="23" t="inlineStr">
        <is>
          <t>84x108 1/32</t>
        </is>
      </c>
      <c r="L3739" s="23" t="inlineStr">
        <is>
          <t>тв</t>
        </is>
      </c>
      <c r="M3739" s="23" t="n">
        <v>413</v>
      </c>
      <c r="N3739" s="23" t="n">
        <v>2026</v>
      </c>
      <c r="O3739" s="23" t="n">
        <v>460</v>
      </c>
      <c r="P3739" s="23" t="n"/>
      <c r="Q3739" s="23" t="n"/>
      <c r="R3739" s="25" t="inlineStr">
        <is>
          <t>Оригинальное беллетризованное жизнеописание Омара Хайяма — знаменитого персидского ученого, государственного деятеля и поэта, обессмертившего свое имя и время, в котором жил, в своих непревзойденных стихах.</t>
        </is>
      </c>
      <c r="S3739" s="26">
        <f>HYPERLINK("http://www.cnpol.ru/covers/21981.jpg","фото на сайте")</f>
        <v/>
      </c>
    </row>
    <row r="3740" ht="50.1" customHeight="1" s="3">
      <c r="A3740" s="23" t="inlineStr">
        <is>
          <t>Д</t>
        </is>
      </c>
      <c r="B3740" s="24" t="inlineStr">
        <is>
          <t>21332</t>
        </is>
      </c>
      <c r="C3740" s="23" t="inlineStr">
        <is>
          <t>ОИ ИБ</t>
        </is>
      </c>
      <c r="D3740" s="23" t="inlineStr">
        <is>
          <t>Брод М.</t>
        </is>
      </c>
      <c r="E3740" s="23" t="inlineStr">
        <is>
          <t>Франц Кафка. Узник абсолюта</t>
        </is>
      </c>
      <c r="F3740" s="23" t="inlineStr">
        <is>
          <t>        </t>
        </is>
      </c>
      <c r="G3740" s="23" t="n">
        <v>963</v>
      </c>
      <c r="H3740" s="23" t="n">
        <v>10</v>
      </c>
      <c r="I3740" s="23" t="n">
        <v>12</v>
      </c>
      <c r="J3740" s="23" t="inlineStr">
        <is>
          <t>978-5-9524-6248-9</t>
        </is>
      </c>
      <c r="K3740" s="23" t="inlineStr">
        <is>
          <t>84x108 1/32</t>
        </is>
      </c>
      <c r="L3740" s="23" t="inlineStr">
        <is>
          <t>тв</t>
        </is>
      </c>
      <c r="M3740" s="23" t="n">
        <v>286</v>
      </c>
      <c r="N3740" s="23" t="n">
        <v>2024</v>
      </c>
      <c r="O3740" s="23" t="n">
        <v>308</v>
      </c>
      <c r="P3740" s="23" t="n"/>
      <c r="Q3740" s="23" t="n"/>
      <c r="R3740" s="25" t="inlineStr">
        <is>
          <t>М. Брод, биограф и друг Франца Кафки, ярко и всеобъемлюще воссоздал трудный жизненный путь автора всемирно известных «Замка», «Процесса», «Америки». Комплексы нервного ребенка, завидовавшего своему отцу, му¬чительные раздумья о судьбе соотечественников на перекрестке еврейской, немецкой и славянской культур некогда могучей имперской Австрии, подробности частной жизни литературного гения, портреты кумиров и противников, связь размышлений литературного гения с теориями Фрейда — эти и многие другие по¬дробности жизни и творчества Франца Кафки нашли отражение в многогранном труде Макса Брода.</t>
        </is>
      </c>
      <c r="S3740" s="26">
        <f>HYPERLINK("http://www.cnpol.ru/covers/21332.jpg","фото на сайте")</f>
        <v/>
      </c>
    </row>
    <row r="3741" ht="50.1" customHeight="1" s="3">
      <c r="A3741" s="23" t="n"/>
      <c r="B3741" s="24" t="inlineStr">
        <is>
          <t>20563</t>
        </is>
      </c>
      <c r="C3741" s="23" t="inlineStr">
        <is>
          <t>ОИ ИБ</t>
        </is>
      </c>
      <c r="D3741" s="23" t="inlineStr">
        <is>
          <t>Холлингдейл Р. Д.</t>
        </is>
      </c>
      <c r="E3741" s="23" t="inlineStr">
        <is>
          <t>Фридрих Ницше. Трагедия неприкаянной души</t>
        </is>
      </c>
      <c r="F3741" s="23" t="inlineStr">
        <is>
          <t>        </t>
        </is>
      </c>
      <c r="G3741" s="27" t="n">
        <v>1110</v>
      </c>
      <c r="H3741" s="23" t="n">
        <v>10</v>
      </c>
      <c r="I3741" s="23" t="n">
        <v>10</v>
      </c>
      <c r="J3741" s="23" t="inlineStr">
        <is>
          <t>978-5-9524-5845-1</t>
        </is>
      </c>
      <c r="K3741" s="23" t="inlineStr">
        <is>
          <t>84x108 1/32</t>
        </is>
      </c>
      <c r="L3741" s="23" t="inlineStr">
        <is>
          <t>тв</t>
        </is>
      </c>
      <c r="M3741" s="23" t="n">
        <v>383</v>
      </c>
      <c r="N3741" s="23" t="n">
        <v>2023</v>
      </c>
      <c r="O3741" s="23" t="n">
        <v>380</v>
      </c>
      <c r="P3741" s="23" t="n"/>
      <c r="Q3741" s="23" t="n"/>
      <c r="R3741" s="25" t="inlineStr">
        <is>
          <t>Известный переводчик и почитатель творчества Ницше Р.Дж. Холлингдейл создал ясную и умную книгу об этом философе. Автор проводит четкую границу между реальными фактами и легендами, между философией и ее профанацией._x000D_
Ницше — знаковая фигура конца XIX — начала XX века, переломной вехи в истории человечества. Актуальны его идеи и в наше непростое и тоже переломное время.</t>
        </is>
      </c>
      <c r="S3741" s="26">
        <f>HYPERLINK("http://www.cnpol.ru/covers/20563.jpg","фото на сайте")</f>
        <v/>
      </c>
    </row>
    <row r="3742" ht="50.1" customHeight="1" s="3">
      <c r="A3742" s="23" t="n"/>
      <c r="B3742" s="24" t="inlineStr">
        <is>
          <t>12656</t>
        </is>
      </c>
      <c r="C3742" s="23" t="inlineStr">
        <is>
          <t>ОИ ИМВ</t>
        </is>
      </c>
      <c r="D3742" s="23" t="inlineStr">
        <is>
          <t>Адмирал Маршалль,подполковник Греффра</t>
        </is>
      </c>
      <c r="E3742" s="23" t="inlineStr">
        <is>
          <t>Вторая мировая война на море и в воздухе.Причины поражения военно-морских и воздушных сил  Германии</t>
        </is>
      </c>
      <c r="F3742" s="23" t="inlineStr">
        <is>
          <t>        </t>
        </is>
      </c>
      <c r="G3742" s="23" t="n">
        <v>724</v>
      </c>
      <c r="H3742" s="23" t="n">
        <v>10</v>
      </c>
      <c r="I3742" s="23" t="n">
        <v>12</v>
      </c>
      <c r="J3742" s="23" t="inlineStr">
        <is>
          <t>978-5-227-02808-2</t>
        </is>
      </c>
      <c r="K3742" s="23" t="inlineStr">
        <is>
          <t>84x108 1/32</t>
        </is>
      </c>
      <c r="L3742" s="23" t="inlineStr">
        <is>
          <t>тв</t>
        </is>
      </c>
      <c r="M3742" s="23" t="n">
        <v>384</v>
      </c>
      <c r="N3742" s="23" t="n">
        <v>2011</v>
      </c>
      <c r="O3742" s="23" t="n">
        <v>422</v>
      </c>
      <c r="P3742" s="23" t="n"/>
      <c r="Q3742" s="23" t="n"/>
      <c r="R3742" s="25" t="inlineStr">
        <is>
          <t>Перед вами уникальный очерк истории Второй мировой войны, подготовленный непосредственными участниками событий — старшими офицерами и генералами германского вермахта. В данном издании освещены важнейшие морские и воздушные сражения между Германией, Англией, СССР, США, Японией и другими государствами с 1939 по 1945 г., представлен полный профессиональный анализ причин и следствий неудач кригсмарине и люфтваффе, подробно рассмотрены вооружение и личный состав армий. Ход войны описан людьми, занимавшими ответственные посты и знакомыми со многими закулисными проблемами, которые не отражались в официальных отчетах и о которых можно было только догадываться. Книга снабжена комментариями, позволяющими объективно оценить события, наглядными схемами, картами и редкими фотографиями.</t>
        </is>
      </c>
      <c r="S3742" s="26">
        <f>HYPERLINK("http://www.cnpol.ru/covers/12656.jpg","фото на сайте")</f>
        <v/>
      </c>
    </row>
    <row r="3743" ht="50.1" customHeight="1" s="3">
      <c r="A3743" s="23" t="n"/>
      <c r="B3743" s="24" t="inlineStr">
        <is>
          <t>12690</t>
        </is>
      </c>
      <c r="C3743" s="23" t="inlineStr">
        <is>
          <t>ОИ ИМВ</t>
        </is>
      </c>
      <c r="D3743" s="23" t="inlineStr">
        <is>
          <t>Генерал майор Дитмар, полковник Эгельгаф</t>
        </is>
      </c>
      <c r="E3743" s="23" t="inlineStr">
        <is>
          <t>Вторая мировая война на суше.</t>
        </is>
      </c>
      <c r="F3743" s="23" t="inlineStr">
        <is>
          <t>        </t>
        </is>
      </c>
      <c r="G3743" s="23" t="n">
        <v>781</v>
      </c>
      <c r="H3743" s="23" t="n">
        <v>10</v>
      </c>
      <c r="I3743" s="23" t="n">
        <v>12</v>
      </c>
      <c r="J3743" s="23" t="inlineStr">
        <is>
          <t>978-5-227-02807-5</t>
        </is>
      </c>
      <c r="K3743" s="23" t="inlineStr">
        <is>
          <t>84x108 1/32</t>
        </is>
      </c>
      <c r="L3743" s="23" t="inlineStr">
        <is>
          <t>тв</t>
        </is>
      </c>
      <c r="M3743" s="23" t="n">
        <v>444</v>
      </c>
      <c r="N3743" s="23" t="n">
        <v>2011</v>
      </c>
      <c r="O3743" s="23" t="n">
        <v>490</v>
      </c>
      <c r="P3743" s="23" t="n"/>
      <c r="Q3743" s="23" t="n"/>
      <c r="R3743" s="25" t="inlineStr">
        <is>
          <t>Перед вами уникальный очерк истории Второй мировой войны, подготовленный непосредственными участниками событий – старшими офицерами и генералами германского вермахта. В данном издании подробно освещены Польская, Норвежская и другие важнейшие кампании германской армии, война с Советским Союзом, представлен полный профессиональный анализ причин и следствий неудач сухопутных войск, подробно рассмотрены вооружение и личный состав армий, структура командования вермахта. Ход войны описан людьми, занимавшими ответственные посты и знакомыми со многими закулисными проблемами, которые не отражались в официальных отчетах и о которых можно было только догадываться. Книга снабжена комментариями, позволяющими объективно оценить события, наглядными схемами, картами и редкими фотографиями.</t>
        </is>
      </c>
      <c r="S3743" s="26">
        <f>HYPERLINK("http://www.cnpol.ru/covers/12690.jpg","фото на сайте")</f>
        <v/>
      </c>
    </row>
    <row r="3744" ht="50.1" customHeight="1" s="3">
      <c r="A3744" s="23" t="n"/>
      <c r="B3744" s="24" t="inlineStr">
        <is>
          <t>14893</t>
        </is>
      </c>
      <c r="C3744" s="23" t="inlineStr">
        <is>
          <t>ОИ ИМВ</t>
        </is>
      </c>
      <c r="D3744" s="23" t="inlineStr">
        <is>
          <t>Табаченко А.И.</t>
        </is>
      </c>
      <c r="E3744" s="23" t="inlineStr">
        <is>
          <t>Покрышкинский авиаполк (серый). 16-й гвардейский истребительский авиационный полк в боях с Люфтваффе</t>
        </is>
      </c>
      <c r="F3744" s="23" t="inlineStr">
        <is>
          <t>        </t>
        </is>
      </c>
      <c r="G3744" s="23" t="n">
        <v>803</v>
      </c>
      <c r="H3744" s="23" t="n">
        <v>10</v>
      </c>
      <c r="I3744" s="23" t="n">
        <v>6</v>
      </c>
      <c r="J3744" s="23" t="inlineStr">
        <is>
          <t>978-5-227-04802-8</t>
        </is>
      </c>
      <c r="K3744" s="23" t="inlineStr">
        <is>
          <t>60x90 1/16</t>
        </is>
      </c>
      <c r="L3744" s="23" t="inlineStr">
        <is>
          <t>тв</t>
        </is>
      </c>
      <c r="M3744" s="23" t="n">
        <v>784</v>
      </c>
      <c r="N3744" s="23" t="n">
        <v>2014</v>
      </c>
      <c r="O3744" s="23" t="n">
        <v>684</v>
      </c>
      <c r="P3744" s="23" t="n"/>
      <c r="Q3744" s="23" t="n"/>
      <c r="R3744" s="25" t="n"/>
      <c r="S3744" s="26">
        <f>HYPERLINK("http://www.cnpol.ru/covers/14893.jpg","фото на сайте")</f>
        <v/>
      </c>
    </row>
    <row r="3745" ht="50.1" customHeight="1" s="3">
      <c r="A3745" s="23" t="n"/>
      <c r="B3745" s="24" t="inlineStr">
        <is>
          <t>16312</t>
        </is>
      </c>
      <c r="C3745" s="23" t="inlineStr">
        <is>
          <t>ОИ Книги для детей</t>
        </is>
      </c>
      <c r="D3745" s="23" t="inlineStr">
        <is>
          <t>Сонми Хван</t>
        </is>
      </c>
      <c r="E3745" s="23" t="inlineStr">
        <is>
          <t>Курочка, которая мечтала летать</t>
        </is>
      </c>
      <c r="F3745" s="23" t="inlineStr">
        <is>
          <t>        </t>
        </is>
      </c>
      <c r="G3745" s="23" t="n">
        <v>888</v>
      </c>
      <c r="H3745" s="23" t="n">
        <v>10</v>
      </c>
      <c r="I3745" s="23" t="n">
        <v>10</v>
      </c>
      <c r="J3745" s="23" t="inlineStr">
        <is>
          <t>978-5-227-05825-6</t>
        </is>
      </c>
      <c r="K3745" s="23" t="inlineStr">
        <is>
          <t>60x84 1/16</t>
        </is>
      </c>
      <c r="L3745" s="23" t="inlineStr">
        <is>
          <t>тв</t>
        </is>
      </c>
      <c r="M3745" s="23" t="n">
        <v>208</v>
      </c>
      <c r="N3745" s="23" t="n">
        <v>2015</v>
      </c>
      <c r="O3745" s="23" t="n">
        <v>386</v>
      </c>
      <c r="P3745" s="23" t="n"/>
      <c r="Q3745" s="23" t="n"/>
      <c r="R3745" s="25" t="n"/>
      <c r="S3745" s="26">
        <f>HYPERLINK("http://www.cnpol.ru/covers/16312.jpg","фото на сайте")</f>
        <v/>
      </c>
    </row>
    <row r="3746" ht="50.1" customHeight="1" s="3">
      <c r="A3746" s="23" t="inlineStr">
        <is>
          <t>Н</t>
        </is>
      </c>
      <c r="B3746" s="24" t="inlineStr">
        <is>
          <t>21950</t>
        </is>
      </c>
      <c r="C3746" s="23" t="inlineStr">
        <is>
          <t>ОИ КУЛ</t>
        </is>
      </c>
      <c r="D3746" s="23" t="inlineStr">
        <is>
          <t>Цветаева С.</t>
        </is>
      </c>
      <c r="E3746" s="23" t="inlineStr">
        <is>
          <t>Блюда из дикорастущих растений. Неиссякаемый источник витаминов к вашему столу</t>
        </is>
      </c>
      <c r="F3746" s="23" t="inlineStr">
        <is>
          <t>        </t>
        </is>
      </c>
      <c r="G3746" s="23" t="n">
        <v>239</v>
      </c>
      <c r="H3746" s="23" t="n">
        <v>10</v>
      </c>
      <c r="I3746" s="23" t="n">
        <v>10</v>
      </c>
      <c r="J3746" s="23" t="inlineStr">
        <is>
          <t>978-5-227-11211-8</t>
        </is>
      </c>
      <c r="K3746" s="23" t="inlineStr">
        <is>
          <t>84x108 1/32 (обл)</t>
        </is>
      </c>
      <c r="L3746" s="23" t="inlineStr">
        <is>
          <t>мяг</t>
        </is>
      </c>
      <c r="M3746" s="23" t="n">
        <v>255</v>
      </c>
      <c r="N3746" s="23" t="n">
        <v>2026</v>
      </c>
      <c r="O3746" s="23" t="n">
        <v>152</v>
      </c>
      <c r="P3746" s="23" t="n"/>
      <c r="Q3746" s="23" t="n"/>
      <c r="R3746" s="25" t="inlineStr">
        <is>
          <t>Большинство людей довольствуются продуктами из магазинов, кто-то собирает в лесу ягоды и грибы, а дикорастущие растения обычно применяют только для лечебных целей. Однако раньше множество даров природы использовались в пищу, иногда от неурожаев культурных растений, а иногда и просто потому, что это очень вкусно. Давайте вспомним эти рецепты и разнообразим привычное меню. Стоит только посмотреть вокруг, и становится понятно, что нас окружает неиссякаемый кладезь бесценных природных витаминов, которые к тому же абсолютно бесплатны. В поле, в лесу, на побережьях рек и даже на наших огородах множество трав, кустарников и деревьев, которые незаслуженно остаются без нашего кулинарного внимания. Предлагаем вам приготовить многофункциональную муку из корневищ кувшинок, кофейный напиток из корней камыша, салат из молодых побегов рогоза, суп из ряски, фарш из стрелолиста, омлет из бурачника, окрошку с донником, лепёшки из иван-чая, щи с календулой, кисель из кислицы, гарнир из клевера, пхали из крапивы, котлеты из лебеды, пюре из лопуха, винегрет с подорожником, икру из портулака, ромашковое печенье, соус с мать-и­мачехой, лавандовый сироп, квас из цикория, вино из одуванчиков и ещё несколько сотен наивкуснейших, простых и целебных блюд.</t>
        </is>
      </c>
      <c r="S3746" s="26">
        <f>HYPERLINK("http://www.cnpol.ru/covers/21950.jpg","фото на сайте")</f>
        <v/>
      </c>
    </row>
    <row r="3747" ht="50.1" customHeight="1" s="3">
      <c r="A3747" s="23" t="n"/>
      <c r="B3747" s="24" t="inlineStr">
        <is>
          <t>20247</t>
        </is>
      </c>
      <c r="C3747" s="23" t="inlineStr">
        <is>
          <t>ОИ КУЛ</t>
        </is>
      </c>
      <c r="D3747" s="23" t="inlineStr">
        <is>
          <t>Доктор Гамм</t>
        </is>
      </c>
      <c r="E3747" s="23" t="inlineStr">
        <is>
          <t>Буфет всевозможных водок. Более 540 старинных рецептов водок, ликеров, ароматических вод, сиропов и уксусов</t>
        </is>
      </c>
      <c r="F3747" s="23" t="inlineStr">
        <is>
          <t>        </t>
        </is>
      </c>
      <c r="G3747" s="23" t="n">
        <v>897</v>
      </c>
      <c r="H3747" s="23" t="n">
        <v>10</v>
      </c>
      <c r="I3747" s="23" t="n">
        <v>8</v>
      </c>
      <c r="J3747" s="23" t="inlineStr">
        <is>
          <t>978-5-227-09792-7</t>
        </is>
      </c>
      <c r="K3747" s="23" t="inlineStr">
        <is>
          <t>84x108 1/32</t>
        </is>
      </c>
      <c r="L3747" s="23" t="inlineStr">
        <is>
          <t>тв</t>
        </is>
      </c>
      <c r="M3747" s="23" t="n">
        <v>512</v>
      </c>
      <c r="N3747" s="23" t="n">
        <v>2022</v>
      </c>
      <c r="O3747" s="23" t="n">
        <v>382</v>
      </c>
      <c r="P3747" s="23" t="n"/>
      <c r="Q3747" s="23" t="n"/>
      <c r="R3747" s="25" t="inlineStr">
        <is>
          <t>Вы держите в руках незаменимую книгу для любителей действительно качественных напитков. Как известно, «хочешь, чтобы вышло хорошо, — сделай сам», и эта книга — отличный помощник в подобных начинаниях. Кроме того, что в ней подробно объясняются процессы брожения и перегонки, а также способы очищения конечного продукта от сивушного масла, она изобилует рецептами. Огромное количество самых разных видов водки: из меда, из ягод, из пива; виски; ром; сидр; эфирные масла; ароматические воды, в том числе для умывания; разнообразнейшие сиропы (в том числе лавандовый и фиалковый); морс; соки; фруктовые вина; ликеры; уксус (в том числе розовый, гвоздичный и коричный); дрожжи — все это можно приготовить своими руками из исключительно натуральных ингредиентов без всяких лишних добавок. Кроме того, книга научит отличать подлинный продукт от подделки, так как способы имитации более качественных напитков не меняются веками.</t>
        </is>
      </c>
      <c r="S3747" s="26">
        <f>HYPERLINK("http://www.cnpol.ru/covers/20247.jpg","фото на сайте")</f>
        <v/>
      </c>
    </row>
    <row r="3748" ht="50.1" customHeight="1" s="3">
      <c r="A3748" s="23" t="n"/>
      <c r="B3748" s="24" t="inlineStr">
        <is>
          <t>13678</t>
        </is>
      </c>
      <c r="C3748" s="23" t="inlineStr">
        <is>
          <t>ОИ КУЛ</t>
        </is>
      </c>
      <c r="D3748" s="23" t="inlineStr">
        <is>
          <t>Пигулевская И.С.</t>
        </is>
      </c>
      <c r="E3748" s="23" t="inlineStr">
        <is>
          <t>Готовим для малышей. Детское питание от рождения до школы</t>
        </is>
      </c>
      <c r="F3748" s="23" t="inlineStr">
        <is>
          <t>        </t>
        </is>
      </c>
      <c r="G3748" s="23" t="n">
        <v>295</v>
      </c>
      <c r="H3748" s="23" t="n">
        <v>10</v>
      </c>
      <c r="I3748" s="23" t="n">
        <v>20</v>
      </c>
      <c r="J3748" s="23" t="inlineStr">
        <is>
          <t>978-5-227-03303-1</t>
        </is>
      </c>
      <c r="K3748" s="23" t="inlineStr">
        <is>
          <t>84x108 1/32 (обл)</t>
        </is>
      </c>
      <c r="L3748" s="23" t="inlineStr">
        <is>
          <t>мяг</t>
        </is>
      </c>
      <c r="M3748" s="23" t="n">
        <v>317</v>
      </c>
      <c r="N3748" s="23" t="n">
        <v>2012</v>
      </c>
      <c r="O3748" s="23" t="n">
        <v>192</v>
      </c>
      <c r="P3748" s="23" t="n"/>
      <c r="Q3748" s="23" t="n"/>
      <c r="R3748" s="25" t="inlineStr">
        <is>
          <t>"Колоссальное количество рецептов и рекомендаций по питанию детей от рождения до подросткового возраста ждет вас на страницах книги. Автор рассказывает все об особенностях кормления детей. Из первой части книги вы узнаете все об основных разновидностях прикормов, необходимых для полноценного, сбалансированного питания ребенка от рождения до года. Во второй части — рецепты для детишек дошкольного возраста. В третьей части — подборка рецептов для школьников. А уж если ваш отпрыск не дай бог страдает пищевой аллергией, то вас порадует четвертая часть книги, в которой речь пойдет об особенностях питания детей, подверженных этому недугу. С помощью авторских советов вам не составит труда вкусно и безопасно накормить ребенка с непереносимостью каких либо продуктов.
С помощью нашей книги вы приготовите множество самых различных блюд: от нежных пюре, супчиков и соков до вторых блюд и восхитительных десертов. Питаясь правильно, ваше чадо будет счастливо и абсолютно здорово."</t>
        </is>
      </c>
      <c r="S3748" s="26">
        <f>HYPERLINK("http://www.cnpol.ru/covers/13678.jpg","фото на сайте")</f>
        <v/>
      </c>
    </row>
    <row r="3749" ht="50.1" customHeight="1" s="3">
      <c r="A3749" s="23" t="n"/>
      <c r="B3749" s="24" t="inlineStr">
        <is>
          <t>19587</t>
        </is>
      </c>
      <c r="C3749" s="23" t="inlineStr">
        <is>
          <t>ОИ КУЛ</t>
        </is>
      </c>
      <c r="D3749" s="23" t="inlineStr">
        <is>
          <t>Пигулевская И.С.</t>
        </is>
      </c>
      <c r="E3749" s="23" t="inlineStr">
        <is>
          <t>Готовим для малышей. Детское питание от рождения до школы</t>
        </is>
      </c>
      <c r="F3749" s="23" t="inlineStr">
        <is>
          <t>        </t>
        </is>
      </c>
      <c r="G3749" s="23" t="n">
        <v>295</v>
      </c>
      <c r="H3749" s="23" t="n">
        <v>10</v>
      </c>
      <c r="I3749" s="23" t="n">
        <v>16</v>
      </c>
      <c r="J3749" s="23" t="inlineStr">
        <is>
          <t>978-5-227-09457-5</t>
        </is>
      </c>
      <c r="K3749" s="23" t="inlineStr">
        <is>
          <t>84x108 1/32 (обл)</t>
        </is>
      </c>
      <c r="L3749" s="23" t="inlineStr">
        <is>
          <t>мяг</t>
        </is>
      </c>
      <c r="M3749" s="23" t="n">
        <v>320</v>
      </c>
      <c r="N3749" s="23" t="n">
        <v>2021</v>
      </c>
      <c r="O3749" s="23" t="n">
        <v>200</v>
      </c>
      <c r="P3749" s="23" t="n"/>
      <c r="Q3749" s="23" t="n"/>
      <c r="R3749" s="25" t="inlineStr">
        <is>
          <t>"Колоссальное количество рецептов и рекомендаций по питанию детей от рождения до подросткового возраста ждет вас на страницах книги. Автор рассказывает все об особенностях кормления детей. Из первой части книги вы узнаете все об основных разновидностях прикормов, необходимых для полноценного, сбалансированного питания ребенка от рождения до года. Во второй части — рецепты для детишек дошкольного возраста. В третьей части — подборка рецептов для школьников. А уж если ваш отпрыск не дай бог страдает пищевой аллергией, то вас порадует четвертая часть книги, в которой речь пойдет об особенностях питания детей, подверженных этому недугу. С помощью авторских советов вам не составит труда вкусно и безопасно накормить ребенка с непереносимостью каких либо продуктов.
С помощью нашей книги вы приготовите множество самых различных блюд: от нежных пюре, супчиков и соков до вторых блюд и восхитительных десертов. Питаясь правильно, ваше чадо будет счастливо и абсолютно здорово."</t>
        </is>
      </c>
      <c r="S3749" s="26">
        <f>HYPERLINK("http://www.cnpol.ru/covers/19587.jpg","фото на сайте")</f>
        <v/>
      </c>
    </row>
    <row r="3750" ht="50.1" customHeight="1" s="3">
      <c r="A3750" s="23" t="n"/>
      <c r="B3750" s="24" t="inlineStr">
        <is>
          <t>15109</t>
        </is>
      </c>
      <c r="C3750" s="23" t="inlineStr">
        <is>
          <t>ОИ КУЛ</t>
        </is>
      </c>
      <c r="D3750" s="23" t="inlineStr">
        <is>
          <t>Пигулевская И.С.</t>
        </is>
      </c>
      <c r="E3750" s="23" t="inlineStr">
        <is>
          <t>Еда для камасутры. Все о здоровой жизни и кулинарии</t>
        </is>
      </c>
      <c r="F3750" s="23" t="inlineStr">
        <is>
          <t>        </t>
        </is>
      </c>
      <c r="G3750" s="23" t="n">
        <v>158</v>
      </c>
      <c r="H3750" s="23" t="n">
        <v>10</v>
      </c>
      <c r="I3750" s="23" t="n">
        <v>32</v>
      </c>
      <c r="J3750" s="23" t="inlineStr">
        <is>
          <t>978-5-227-05161-5</t>
        </is>
      </c>
      <c r="K3750" s="23" t="inlineStr">
        <is>
          <t>84x108 1/32 (обл)</t>
        </is>
      </c>
      <c r="L3750" s="23" t="inlineStr">
        <is>
          <t>мяг</t>
        </is>
      </c>
      <c r="M3750" s="23" t="n">
        <v>190</v>
      </c>
      <c r="N3750" s="23" t="n">
        <v>2014</v>
      </c>
      <c r="O3750" s="23" t="n">
        <v>130</v>
      </c>
      <c r="P3750" s="23" t="n"/>
      <c r="Q3750" s="23" t="n"/>
      <c r="R3750" s="25" t="inlineStr">
        <is>
          <t>Что же такое надо есть и пить, чтобы жизнь казалась яркой, всего хотелось и, главное, моглось?! Чтобы всегда быть полным жизненных сил, стремиться любить и излучать здоровье? Ответ на эти животрепещущие вопросы вы найдете в нашей книге._x000D_
Всем известно, что еда выполняет самые разнообразные функции: она может услаждать взор и обоняние, быть единственной радостью для обжор, наказанием для капризных едоков и даже лекарством! Ведь при помощи правильно подобранной пищи можно решить многие проблемы со здоровьем._x000D_
Наша книга расскажет о том, как питаться, чтобы быть всегда молодым, сексуально активным и привлекательным. Вы узнаете, как недостаток витаминов делает из молодых людей стариков, какие продукты следует есть мужчинам, а какие женщинам, что такое афродизиаки и какие специи разбудят в вас фонтан желаний!</t>
        </is>
      </c>
      <c r="S3750" s="26">
        <f>HYPERLINK("http://www.cnpol.ru/covers/15109.jpg","фото на сайте")</f>
        <v/>
      </c>
    </row>
    <row r="3751" ht="50.1" customHeight="1" s="3">
      <c r="A3751" s="23" t="n"/>
      <c r="B3751" s="24" t="inlineStr">
        <is>
          <t>17474</t>
        </is>
      </c>
      <c r="C3751" s="23" t="inlineStr">
        <is>
          <t>ОИ КУЛ</t>
        </is>
      </c>
      <c r="D3751" s="23" t="inlineStr">
        <is>
          <t>Пигулевская И.С.</t>
        </is>
      </c>
      <c r="E3751" s="23" t="inlineStr">
        <is>
          <t>Здоровое пищеварение без лекарств</t>
        </is>
      </c>
      <c r="F3751" s="23" t="inlineStr">
        <is>
          <t>        </t>
        </is>
      </c>
      <c r="G3751" s="23" t="n">
        <v>229</v>
      </c>
      <c r="H3751" s="23" t="n">
        <v>10</v>
      </c>
      <c r="I3751" s="23" t="n">
        <v>14</v>
      </c>
      <c r="J3751" s="23" t="inlineStr">
        <is>
          <t>978-5-227-07534-5</t>
        </is>
      </c>
      <c r="K3751" s="23" t="inlineStr">
        <is>
          <t>84x108 1/32 (обл)</t>
        </is>
      </c>
      <c r="L3751" s="23" t="inlineStr">
        <is>
          <t>мяг</t>
        </is>
      </c>
      <c r="M3751" s="23" t="n">
        <v>190</v>
      </c>
      <c r="N3751" s="23" t="n">
        <v>2017</v>
      </c>
      <c r="O3751" s="23" t="n">
        <v>124</v>
      </c>
      <c r="P3751" s="23" t="n"/>
      <c r="Q3751" s="23" t="n"/>
      <c r="R3751" s="25" t="inlineStr">
        <is>
          <t>Мало кто задумывается о здоровье желудочно­кишечного тракта, если он функционирует безупречно. А зря! Здоровье всего организма ­напрямую зависит от его правильной работы, даже состояние нашего иммунитета связано с кишечником неразрывно… Как только хоть малюсенький кусочек пищи попадает к нам в рот, сразу же запускается волшебный механизм пищеварения: выделяется слюна, желудочный сок — процесс пошел…_x000D_
А чтобы этот процесс шел правильно, чтобы не мучиться от изжоги, вздутия и дисбактериоза, вооружитесь знаниями, которые предлагает вам эта книга, и тогда вы поймете, что правильная еда — лучшее лекарство!_x000D_
Ирина Пигулевская расскажет читателям о строении и особенностях работы органов пищеварения и о том, как поправить здоровье без таблеток. Ведь не все знают, что холестерин можно регулировать не только ограничением жиров и употреблением медикаментов, но и некоторыми продуктами, что помочь работе печени и очистить ее можно, употребляя некоторые соки и продукты питания и многое другое.</t>
        </is>
      </c>
      <c r="S3751" s="26">
        <f>HYPERLINK("http://www.cnpol.ru/covers/17474.jpg","фото на сайте")</f>
        <v/>
      </c>
    </row>
    <row r="3752" ht="50.1" customHeight="1" s="3">
      <c r="A3752" s="23" t="inlineStr">
        <is>
          <t>Н</t>
        </is>
      </c>
      <c r="B3752" s="24" t="inlineStr">
        <is>
          <t>21875</t>
        </is>
      </c>
      <c r="C3752" s="23" t="inlineStr">
        <is>
          <t>ОИ КУЛ</t>
        </is>
      </c>
      <c r="D3752" s="23" t="inlineStr">
        <is>
          <t>Лин Ван</t>
        </is>
      </c>
      <c r="E3752" s="23" t="inlineStr">
        <is>
          <t>Китайское искусство чаепития</t>
        </is>
      </c>
      <c r="F3752" s="23" t="inlineStr">
        <is>
          <t>        </t>
        </is>
      </c>
      <c r="G3752" s="23" t="n">
        <v>888</v>
      </c>
      <c r="H3752" s="23" t="n">
        <v>10</v>
      </c>
      <c r="I3752" s="23" t="n">
        <v>10</v>
      </c>
      <c r="J3752" s="23" t="inlineStr">
        <is>
          <t>978-5-9524-5880-2</t>
        </is>
      </c>
      <c r="K3752" s="23" t="inlineStr">
        <is>
          <t>84x108 1/32</t>
        </is>
      </c>
      <c r="L3752" s="23" t="inlineStr">
        <is>
          <t>тв</t>
        </is>
      </c>
      <c r="M3752" s="23" t="n">
        <v>239</v>
      </c>
      <c r="N3752" s="23" t="n">
        <v>2025</v>
      </c>
      <c r="O3752" s="23" t="n">
        <v>300</v>
      </c>
      <c r="P3752" s="23" t="n"/>
      <c r="Q3752" s="23" t="n"/>
      <c r="R3752" s="25" t="inlineStr">
        <is>
          <t>Книга рассказывает об истории происхождения чая и зарождении искусства чаепития в Древнем Китае. Автор приводит цитаты из древних трактатов, посвященных этому напитку, и прослеживает эволюцию искусства чаепития в разные исторические эпохи, объясняя его влияние на философию, культуру и традиции Китая.</t>
        </is>
      </c>
      <c r="S3752" s="26">
        <f>HYPERLINK("http://www.cnpol.ru/covers/21875.jpg","фото на сайте")</f>
        <v/>
      </c>
    </row>
    <row r="3753" ht="50.1" customHeight="1" s="3">
      <c r="A3753" s="23" t="inlineStr">
        <is>
          <t>Д</t>
        </is>
      </c>
      <c r="B3753" s="24" t="inlineStr">
        <is>
          <t>22078</t>
        </is>
      </c>
      <c r="C3753" s="23" t="inlineStr">
        <is>
          <t>ОИ КУЛ</t>
        </is>
      </c>
      <c r="D3753" s="23" t="inlineStr">
        <is>
          <t>Группа авторов</t>
        </is>
      </c>
      <c r="E3753" s="23" t="inlineStr">
        <is>
          <t>Кулинарная книга выживальщика. Остаться в живых: в лесу, в пустыне, на берегу. Разводим огонь, добываем воду, готовим еду в экстремальных условиях</t>
        </is>
      </c>
      <c r="F3753" s="23" t="inlineStr">
        <is>
          <t>        </t>
        </is>
      </c>
      <c r="G3753" s="23" t="n">
        <v>463</v>
      </c>
      <c r="H3753" s="23" t="n">
        <v>10</v>
      </c>
      <c r="I3753" s="23" t="n">
        <v>16</v>
      </c>
      <c r="J3753" s="23" t="inlineStr">
        <is>
          <t>978-5-227-10274-4</t>
        </is>
      </c>
      <c r="K3753" s="23" t="inlineStr">
        <is>
          <t>75x100 1/32</t>
        </is>
      </c>
      <c r="L3753" s="23" t="inlineStr">
        <is>
          <t>мяг</t>
        </is>
      </c>
      <c r="M3753" s="23" t="n">
        <v>319</v>
      </c>
      <c r="N3753" s="23" t="n">
        <v>2022</v>
      </c>
      <c r="O3753" s="23" t="n">
        <v>186</v>
      </c>
      <c r="P3753" s="23" t="n"/>
      <c r="Q3753" s="23" t="n"/>
      <c r="R3753" s="25" t="inlineStr">
        <is>
          <t>Куда бы ни забросила вас судьба: на далекий необитаемый остров или в глухую тайгу, знания, полученные из этой книги,  помогут остаться в живых и не погибнуть с голода даже в самой безнадежной ситуации! Вдали от супермаркетов, холодильника, огорода… Не имея под рукой крана или колодца с чистой водой… Без плиты и печи, наедине с дикой и опасной природой вы всегда сможете добыть огонь, пропитание и воду!_x000D_
Специалисты интернет-портала «Last Day Club» знают, что делать, и с радостью делятся с читателями своими уникальными знаниями по выживанию в экстремальных ситуациях. Невозможно угадать наперед, куда занесут обстоятельства — в лес, в пустыню или на водоем, — нужно заранее быть готовым ко всему и  суметь позаботиться о себе и спутниках. Вы узнаете множество рецептов заготовок и простейшие блюда из подручных продуктов, научитесь определять опасные и съедобные растения и грибы, ловить рыбу без удочки, находить воду в пустыне и разводить костер без спичек и зажигалки.</t>
        </is>
      </c>
      <c r="S3753" s="26">
        <f>HYPERLINK("http://www.cnpol.ru/covers/22078.jpg","фото на сайте")</f>
        <v/>
      </c>
    </row>
    <row r="3754" ht="50.1" customHeight="1" s="3">
      <c r="A3754" s="23" t="inlineStr">
        <is>
          <t>Д</t>
        </is>
      </c>
      <c r="B3754" s="24" t="inlineStr">
        <is>
          <t>22199</t>
        </is>
      </c>
      <c r="C3754" s="23" t="inlineStr">
        <is>
          <t>ОИ КУЛ</t>
        </is>
      </c>
      <c r="D3754" s="23" t="inlineStr">
        <is>
          <t>Эскофье О.</t>
        </is>
      </c>
      <c r="E3754" s="23" t="inlineStr">
        <is>
          <t>Кулинарный путеводитель. Рецепты от короля французской кухни</t>
        </is>
      </c>
      <c r="F3754" s="23" t="inlineStr">
        <is>
          <t>        </t>
        </is>
      </c>
      <c r="G3754" s="27" t="n">
        <v>3090</v>
      </c>
      <c r="H3754" s="23" t="n">
        <v>10</v>
      </c>
      <c r="I3754" s="23" t="n">
        <v>5</v>
      </c>
      <c r="J3754" s="23" t="inlineStr">
        <is>
          <t>978-5-227-11345-0</t>
        </is>
      </c>
      <c r="K3754" s="23" t="inlineStr">
        <is>
          <t>70x100 1/16</t>
        </is>
      </c>
      <c r="L3754" s="23" t="inlineStr">
        <is>
          <t>тв</t>
        </is>
      </c>
      <c r="M3754" s="23" t="n">
        <v>879</v>
      </c>
      <c r="N3754" s="23" t="n">
        <v>2026</v>
      </c>
      <c r="O3754" s="23" t="n">
        <v>1265</v>
      </c>
      <c r="P3754" s="23" t="n"/>
      <c r="Q3754" s="23" t="n"/>
      <c r="R3754" s="25" t="inlineStr">
        <is>
          <t>Эта книга - подлинная библия французской кулинарии, в которой собрано несколько тысяч рецептов от непревзойденного Огюста Эскофье, которого по праву назвали королем поваров и поваром королей. В книге собраны основные рецепты французских поваров, послужившие фундаментом для современной европейской кухни. Опытным профессионалам и кулинарам-любителям блистательный мастер предлагает подробное описание правил приготовления множества изысканных и сложных блюд.</t>
        </is>
      </c>
      <c r="S3754" s="26">
        <f>HYPERLINK("http://www.cnpol.ru/covers/22199.jpg","фото на сайте")</f>
        <v/>
      </c>
    </row>
    <row r="3755" ht="50.1" customHeight="1" s="3">
      <c r="A3755" s="23" t="n"/>
      <c r="B3755" s="24" t="inlineStr">
        <is>
          <t>17619</t>
        </is>
      </c>
      <c r="C3755" s="23" t="inlineStr">
        <is>
          <t>ОИ КУЛ</t>
        </is>
      </c>
      <c r="D3755" s="23" t="inlineStr">
        <is>
          <t>Жукова Т.</t>
        </is>
      </c>
      <c r="E3755" s="23" t="inlineStr">
        <is>
          <t>Малая энциклопедия консервирования</t>
        </is>
      </c>
      <c r="F3755" s="23" t="inlineStr">
        <is>
          <t>        </t>
        </is>
      </c>
      <c r="G3755" s="23" t="n">
        <v>196</v>
      </c>
      <c r="H3755" s="23" t="n">
        <v>10</v>
      </c>
      <c r="I3755" s="23" t="n">
        <v>20</v>
      </c>
      <c r="J3755" s="23" t="inlineStr">
        <is>
          <t>978-5-227-07559-8</t>
        </is>
      </c>
      <c r="K3755" s="23" t="inlineStr">
        <is>
          <t>84x108 1/32 (обл)</t>
        </is>
      </c>
      <c r="L3755" s="23" t="inlineStr">
        <is>
          <t>мяг</t>
        </is>
      </c>
      <c r="M3755" s="23" t="n">
        <v>223</v>
      </c>
      <c r="N3755" s="23" t="n">
        <v>2017</v>
      </c>
      <c r="O3755" s="23" t="n">
        <v>130</v>
      </c>
      <c r="P3755" s="23" t="n"/>
      <c r="Q3755" s="23" t="n"/>
      <c r="R3755" s="25" t="inlineStr">
        <is>
          <t>В книге приведены разнообразные, в том числе и старинные, рецепты и технологии консервирования овощей, плодов и ягод, грибов, рыбы и мясных продуктов. Советы, предложенные на страницах этой книги, помогут избежать ошибок при консервировании и тем самым решить проблему сохранения продуктов в течение долгого времени.</t>
        </is>
      </c>
      <c r="S3755" s="26">
        <f>HYPERLINK("http://www.cnpol.ru/covers/17619.jpg","фото на сайте")</f>
        <v/>
      </c>
    </row>
    <row r="3756" ht="50.1" customHeight="1" s="3">
      <c r="A3756" s="23" t="inlineStr">
        <is>
          <t>Д</t>
        </is>
      </c>
      <c r="B3756" s="24" t="inlineStr">
        <is>
          <t>21836</t>
        </is>
      </c>
      <c r="C3756" s="23" t="inlineStr">
        <is>
          <t>ОИ КУЛ</t>
        </is>
      </c>
      <c r="D3756" s="23" t="inlineStr">
        <is>
          <t>Михайлова Л.М.</t>
        </is>
      </c>
      <c r="E3756" s="23" t="inlineStr">
        <is>
          <t>Настольная книга домашнего винодела</t>
        </is>
      </c>
      <c r="F3756" s="23" t="inlineStr">
        <is>
          <t>        </t>
        </is>
      </c>
      <c r="G3756" s="23" t="n">
        <v>203</v>
      </c>
      <c r="H3756" s="23" t="n">
        <v>10</v>
      </c>
      <c r="I3756" s="23" t="n">
        <v>12</v>
      </c>
      <c r="J3756" s="23" t="inlineStr">
        <is>
          <t>978-5-227-11172-2</t>
        </is>
      </c>
      <c r="K3756" s="23" t="inlineStr">
        <is>
          <t>84x108 1/32 (обл)</t>
        </is>
      </c>
      <c r="L3756" s="23" t="inlineStr">
        <is>
          <t>мяг</t>
        </is>
      </c>
      <c r="M3756" s="23" t="n">
        <v>192</v>
      </c>
      <c r="N3756" s="23" t="n">
        <v>2025</v>
      </c>
      <c r="O3756" s="23" t="n">
        <v>118</v>
      </c>
      <c r="P3756" s="23" t="n"/>
      <c r="Q3756" s="23" t="n"/>
      <c r="R3756" s="25" t="inlineStr">
        <is>
          <t>В книге описаны способы приготовления в домашних условиях десертных, крепленых и игристых вин, ликеров, наливок, настоек, водки. Кроме того, вы узнаете о пользе винных напитков и о диетических винах, ознакомитесь с приготовлением медицинских вин и напитков на меду. Узнаете, как приготовить уникальные вина по старинным рецептам (даже из цветков одуванчиков!), спотыкачи, домашний коньяк. Всё о приготовлении винного сусла и болезнях вин…_x000D_
Книга предназначена для широкого круга читателей, интересующихся вопросами домашнего виноделия.</t>
        </is>
      </c>
      <c r="S3756" s="26">
        <f>HYPERLINK("http://www.cnpol.ru/covers/21836.jpg","фото на сайте")</f>
        <v/>
      </c>
    </row>
    <row r="3757" ht="50.1" customHeight="1" s="3">
      <c r="A3757" s="23" t="n"/>
      <c r="B3757" s="24" t="inlineStr">
        <is>
          <t>14764</t>
        </is>
      </c>
      <c r="C3757" s="23" t="inlineStr">
        <is>
          <t>ОИ КУЛ</t>
        </is>
      </c>
      <c r="D3757" s="23" t="inlineStr">
        <is>
          <t>Райхерт Г.</t>
        </is>
      </c>
      <c r="E3757" s="23" t="inlineStr">
        <is>
          <t>Подружимся с едой, или Наставление всем, кто ест. Записки не только о кулинарии</t>
        </is>
      </c>
      <c r="F3757" s="23" t="inlineStr">
        <is>
          <t>        </t>
        </is>
      </c>
      <c r="G3757" s="23" t="n">
        <v>763</v>
      </c>
      <c r="H3757" s="23" t="n">
        <v>10</v>
      </c>
      <c r="I3757" s="23" t="n">
        <v>10</v>
      </c>
      <c r="J3757" s="23" t="inlineStr">
        <is>
          <t>978-5-227-04530-0</t>
        </is>
      </c>
      <c r="K3757" s="23" t="inlineStr">
        <is>
          <t>84x108 1/32</t>
        </is>
      </c>
      <c r="L3757" s="23" t="inlineStr">
        <is>
          <t>тв</t>
        </is>
      </c>
      <c r="M3757" s="23" t="n">
        <v>542</v>
      </c>
      <c r="N3757" s="23" t="n">
        <v>2014</v>
      </c>
      <c r="O3757" s="23" t="n">
        <v>502</v>
      </c>
      <c r="P3757" s="23" t="n"/>
      <c r="Q3757" s="23" t="n"/>
      <c r="R3757" s="25" t="n"/>
      <c r="S3757" s="26">
        <f>HYPERLINK("http://www.cnpol.ru/covers/14764.jpg","фото на сайте")</f>
        <v/>
      </c>
    </row>
    <row r="3758" ht="50.1" customHeight="1" s="3">
      <c r="A3758" s="23" t="n"/>
      <c r="B3758" s="24" t="inlineStr">
        <is>
          <t>18527</t>
        </is>
      </c>
      <c r="C3758" s="23" t="inlineStr">
        <is>
          <t>ОИ КУЛ</t>
        </is>
      </c>
      <c r="D3758" s="23" t="inlineStr">
        <is>
          <t>Шукшина Е., Зигерт Й.</t>
        </is>
      </c>
      <c r="E3758" s="23" t="inlineStr">
        <is>
          <t>Постимся всем миром. Экзотические постные блюда из 70 стран</t>
        </is>
      </c>
      <c r="F3758" s="23" t="inlineStr">
        <is>
          <t>        </t>
        </is>
      </c>
      <c r="G3758" s="23" t="n">
        <v>948</v>
      </c>
      <c r="H3758" s="23" t="n">
        <v>10</v>
      </c>
      <c r="I3758" s="23" t="n">
        <v>5</v>
      </c>
      <c r="J3758" s="23" t="inlineStr">
        <is>
          <t>978-5-227-07874-2</t>
        </is>
      </c>
      <c r="K3758" s="23" t="inlineStr">
        <is>
          <t>70х90 1/16</t>
        </is>
      </c>
      <c r="L3758" s="23" t="inlineStr">
        <is>
          <t>тв</t>
        </is>
      </c>
      <c r="M3758" s="23" t="n">
        <v>448</v>
      </c>
      <c r="N3758" s="23" t="n">
        <v>2019</v>
      </c>
      <c r="O3758" s="23" t="n">
        <v>604</v>
      </c>
      <c r="P3758" s="23" t="n"/>
      <c r="Q3758" s="23" t="n"/>
      <c r="R3758" s="25" t="n"/>
      <c r="S3758" s="26">
        <f>HYPERLINK("http://www.cnpol.ru/covers/18527.jpg","фото на сайте")</f>
        <v/>
      </c>
    </row>
    <row r="3759" ht="50.1" customHeight="1" s="3">
      <c r="A3759" s="23" t="n"/>
      <c r="B3759" s="24" t="inlineStr">
        <is>
          <t>16203</t>
        </is>
      </c>
      <c r="C3759" s="23" t="inlineStr">
        <is>
          <t>ОИ КУЛ</t>
        </is>
      </c>
      <c r="D3759" s="23" t="inlineStr">
        <is>
          <t>Сойер А.</t>
        </is>
      </c>
      <c r="E3759" s="23" t="inlineStr">
        <is>
          <t>Таинства кулинарии. Гастрономическое великолепие Античного мира</t>
        </is>
      </c>
      <c r="F3759" s="23" t="inlineStr">
        <is>
          <t>        </t>
        </is>
      </c>
      <c r="G3759" s="23" t="n">
        <v>633</v>
      </c>
      <c r="H3759" s="23" t="n">
        <v>10</v>
      </c>
      <c r="I3759" s="23" t="n">
        <v>10</v>
      </c>
      <c r="J3759" s="23" t="inlineStr">
        <is>
          <t>978-5-9524-5163-6</t>
        </is>
      </c>
      <c r="K3759" s="23" t="inlineStr">
        <is>
          <t>84x108 1/32</t>
        </is>
      </c>
      <c r="L3759" s="23" t="inlineStr">
        <is>
          <t>тв</t>
        </is>
      </c>
      <c r="M3759" s="23" t="n">
        <v>479</v>
      </c>
      <c r="N3759" s="23" t="n">
        <v>2015</v>
      </c>
      <c r="O3759" s="23" t="n">
        <v>368</v>
      </c>
      <c r="P3759" s="23" t="n"/>
      <c r="Q3759" s="23" t="n"/>
      <c r="R3759" s="25" t="n"/>
      <c r="S3759" s="26">
        <f>HYPERLINK("http://www.cnpol.ru/covers/16203.jpg","фото на сайте")</f>
        <v/>
      </c>
    </row>
    <row r="3760" ht="50.1" customHeight="1" s="3">
      <c r="A3760" s="23" t="n"/>
      <c r="B3760" s="24" t="inlineStr">
        <is>
          <t>14661</t>
        </is>
      </c>
      <c r="C3760" s="23" t="inlineStr">
        <is>
          <t>ОИ ЛИТЕРАТУРА</t>
        </is>
      </c>
      <c r="D3760" s="23" t="inlineStr">
        <is>
          <t>Петелин В.В.</t>
        </is>
      </c>
      <c r="E3760" s="23" t="inlineStr">
        <is>
          <t>История русской литературы кн.2</t>
        </is>
      </c>
      <c r="F3760" s="23" t="n">
        <v>2</v>
      </c>
      <c r="G3760" s="27" t="n">
        <v>2316</v>
      </c>
      <c r="H3760" s="23" t="n">
        <v>10</v>
      </c>
      <c r="I3760" s="23" t="n">
        <v>6</v>
      </c>
      <c r="J3760" s="23" t="inlineStr">
        <is>
          <t>978-5-227-04623-9</t>
        </is>
      </c>
      <c r="K3760" s="23" t="inlineStr">
        <is>
          <t>60x90 1/16</t>
        </is>
      </c>
      <c r="L3760" s="23" t="inlineStr">
        <is>
          <t>тв</t>
        </is>
      </c>
      <c r="M3760" s="23" t="n">
        <v>959</v>
      </c>
      <c r="N3760" s="23" t="n">
        <v>2013</v>
      </c>
      <c r="O3760" s="23" t="n">
        <v>990</v>
      </c>
      <c r="P3760" s="23" t="n"/>
      <c r="Q3760" s="23" t="n"/>
      <c r="R3760" s="25" t="inlineStr">
        <is>
          <t>Во второй половине ХХ века русская литература шла своим драматическим путём, преодолевая жесткий идеологический контроль цензуры и партийных структур. В 1953 году писательские организации начали подготовку ко II съезду Союза писателей СССР, в газетах и журналах публиковались установочные статьи о социалистическом реализме, о положительном герое, о роли писателей в строительстве нового процветающего общества. Накануне съезда М. Шолохов представил 126 страниц романа «Поднятая целина» Д. Шепилову, который счёл, что «главы густо насыщены натуралистическими сценами и даже явно эротическими моментами», и сообщил об этом Хрущёву. Отправив главы на доработку, два партийных чиновника по-своему решили творческий вопрос. II съезд советских писателей (1954) проходил под строгим контролем сотрудников ЦК КПСС, лишь однажды прозвучала яркая речь М.А. Шолохова. По указанию высших ревнителей чистоты идеологии с критикой М. Шолохова выступил Ф. Гладков, вслед за ним — прозападные либералы. В тот период бушевала полемика вокруг романов В. Гроссмана «Жизнь и судьба», Б. Пастернака «Доктор Живаго», В. Дудинцева «Не хлебом единым», произведений А. Солженицына, развернулись дискуссии между журналами «Новый мир» и «Октябрь», а затем между журналами «Молодая гвардия» и «Новый мир». Итогом стала добровольная отставка Л. Соболева, председателя Союза писателей России, написавшего в президиум ЦК КПСС о том, что он не в силах победить антирусскую группу писателей: «Эта возня живо напоминает давние рапповские времена, когда искусство «организовать собрание», «подготовить выборы», «провести резолюцию» было доведено до совершенства, включительно до тщательного распределения ролей: кому, когда, где и о чём именно говорить. Противопоставить современным мастерам закулисной борьбы мы ничего не можем. У нас нет ни опыта, ни испытанных ораторов, и войско наше рассеяно по всему простору России, его не соберешь ни в Переделкине, ни в Малеевке для разработки «сценария» съезда, плановой таблицы и раздачи заданий» (Источник. 1998. № 3. С. 104). А со страниц журналов и книг к читателям приходили прекрасные произведения русских писателей, таких как Михаил Шолохов, Анна Ахматова, Борис Пастернак (сборники стихов), Александр Твардовский, Евгений Носов, Константин Воробьёв, Василий Белов, Виктор Астафьев, Аркадий Савеличев, Владимир Личутин, Николай Рубцов, Николай Тряпкин, Владимир Соколов, Юрий Кузнецов…Издание включает обзоры литературы нескольких десятилетий, литературные портреты.</t>
        </is>
      </c>
      <c r="S3760" s="26">
        <f>HYPERLINK("http://www.cnpol.ru/covers/14661.jpg","фото на сайте")</f>
        <v/>
      </c>
    </row>
    <row r="3761" ht="50.1" customHeight="1" s="3">
      <c r="A3761" s="23" t="n"/>
      <c r="B3761" s="24" t="inlineStr">
        <is>
          <t>18236</t>
        </is>
      </c>
      <c r="C3761" s="23" t="inlineStr">
        <is>
          <t>ОИ МЕД</t>
        </is>
      </c>
      <c r="D3761" s="23" t="inlineStr">
        <is>
          <t>Гроссвит М.</t>
        </is>
      </c>
      <c r="E3761" s="23" t="inlineStr">
        <is>
          <t>Борода. Искусство мужского шика</t>
        </is>
      </c>
      <c r="F3761" s="23" t="inlineStr">
        <is>
          <t>        </t>
        </is>
      </c>
      <c r="G3761" s="23" t="n">
        <v>256</v>
      </c>
      <c r="H3761" s="23" t="n">
        <v>10</v>
      </c>
      <c r="I3761" s="23" t="n">
        <v>40</v>
      </c>
      <c r="J3761" s="23" t="inlineStr">
        <is>
          <t>978-5-9524-5326-5</t>
        </is>
      </c>
      <c r="K3761" s="23" t="inlineStr">
        <is>
          <t>84x108 1/32</t>
        </is>
      </c>
      <c r="L3761" s="23" t="inlineStr">
        <is>
          <t>Интегр</t>
        </is>
      </c>
      <c r="M3761" s="23" t="n">
        <v>128</v>
      </c>
      <c r="N3761" s="23" t="n">
        <v>2018</v>
      </c>
      <c r="O3761" s="23" t="n">
        <v>114</v>
      </c>
      <c r="P3761" s="23" t="n"/>
      <c r="Q3761" s="23" t="n"/>
      <c r="R3761" s="25" t="inlineStr">
        <is>
          <t>От чего зависит успех? Об этом думают многие. Как правило, люди, добившиеся успеха, обладают независимым мышлением, личной инициативой, собственной позицией, а также сильным характером и ярко выраженной индивидуальностью. Но особенно важно, что они обладают стилем. Борода вполне отвечает современному проявлению стиля. Кроме того, она придает оригинальность, делает человека непохожим на других. Перед вами книга, автор которой делится своими знаниями и опытом относительно искусства создания имиджа с помощью бороды, дает советы, как подобрать бороду к вашему типу лица, как за ней ухаживать, чтобы всегда производить наилучшее впечатление.</t>
        </is>
      </c>
      <c r="S3761" s="26">
        <f>HYPERLINK("http://www.cnpol.ru/covers/18236.jpg","фото на сайте")</f>
        <v/>
      </c>
    </row>
    <row r="3762" ht="50.1" customHeight="1" s="3">
      <c r="A3762" s="23" t="n"/>
      <c r="B3762" s="24" t="inlineStr">
        <is>
          <t>19690</t>
        </is>
      </c>
      <c r="C3762" s="23" t="inlineStr">
        <is>
          <t>ОИ МЕД</t>
        </is>
      </c>
      <c r="D3762" s="23" t="inlineStr">
        <is>
          <t>Пигулевская И.С.</t>
        </is>
      </c>
      <c r="E3762" s="23" t="inlineStr">
        <is>
          <t>Восстанавливающие практики после ковида. Фитотерапия, лечебные ванны, тай­чи, цигун, правильное питание, аэротерапия, йога, галотерапия, дыхательная гимнастика</t>
        </is>
      </c>
      <c r="F3762" s="23" t="inlineStr">
        <is>
          <t>        </t>
        </is>
      </c>
      <c r="G3762" s="23" t="n">
        <v>229</v>
      </c>
      <c r="H3762" s="23" t="n">
        <v>10</v>
      </c>
      <c r="I3762" s="23" t="n">
        <v>18</v>
      </c>
      <c r="J3762" s="23" t="inlineStr">
        <is>
          <t>978-5-227-09543-5</t>
        </is>
      </c>
      <c r="K3762" s="23" t="inlineStr">
        <is>
          <t>84x108 1/32 (обл)</t>
        </is>
      </c>
      <c r="L3762" s="23" t="inlineStr">
        <is>
          <t>мяг</t>
        </is>
      </c>
      <c r="M3762" s="23" t="n">
        <v>256</v>
      </c>
      <c r="N3762" s="23" t="n">
        <v>2021</v>
      </c>
      <c r="O3762" s="23" t="n">
        <v>158</v>
      </c>
      <c r="P3762" s="23" t="n"/>
      <c r="Q3762" s="23" t="n"/>
      <c r="R3762" s="25" t="inlineStr">
        <is>
          <t>Каких только бед не приносят вирусные болезни… Как показал последний год, люди, переболевшие ковидом, получают отсроченный удар по разным системам организма: нарушается память, координация, сердечная деятельность, пищеварение. Люди испытывают суставные боли, расшатывается нервная система, мучают тревога и бессонница. Практически все выходят из этого заболевания с «пробоинами» в здоровье. Иногда восстановление длится недели, иногда месяцы… Как вернуться в рабочее состояние за самый короткий срок, расскажет эта злободневная книга._x000D_
Вам в помощь: дыхательные и умственные упражнения, йога, цигун, ароматерапия, ингаляции, аэротерапия, китайская гимнастика тай­чи, фитотерапия, лечебные ванны, галотерапия и, конечно же, правильное питание._x000D_
Читайте — и будьте здоровы!</t>
        </is>
      </c>
      <c r="S3762" s="26">
        <f>HYPERLINK("http://www.cnpol.ru/covers/19690.jpg","фото на сайте")</f>
        <v/>
      </c>
    </row>
    <row r="3763" ht="50.1" customHeight="1" s="3">
      <c r="A3763" s="23" t="inlineStr">
        <is>
          <t>Н</t>
        </is>
      </c>
      <c r="B3763" s="24" t="inlineStr">
        <is>
          <t>22303</t>
        </is>
      </c>
      <c r="C3763" s="23" t="inlineStr">
        <is>
          <t>ОИ МЕД</t>
        </is>
      </c>
      <c r="D3763" s="23" t="inlineStr">
        <is>
          <t>Пигулевская И.С.</t>
        </is>
      </c>
      <c r="E3763" s="23" t="inlineStr">
        <is>
          <t>Всё о витаминах, микро- и макроэлементах. Гипер- и гиповитаминозы, правильные дозировки, совместимость между собой</t>
        </is>
      </c>
      <c r="F3763" s="23" t="inlineStr">
        <is>
          <t>        </t>
        </is>
      </c>
      <c r="G3763" s="23" t="n">
        <v>301</v>
      </c>
      <c r="H3763" s="23" t="n">
        <v>10</v>
      </c>
      <c r="I3763" s="23" t="n">
        <v>12</v>
      </c>
      <c r="J3763" s="23" t="inlineStr">
        <is>
          <t>978-5-227-11405-1</t>
        </is>
      </c>
      <c r="K3763" s="23" t="inlineStr">
        <is>
          <t>84x108 1/32</t>
        </is>
      </c>
      <c r="L3763" s="23" t="inlineStr">
        <is>
          <t>мяг</t>
        </is>
      </c>
      <c r="M3763" s="23" t="n">
        <v>255</v>
      </c>
      <c r="N3763" s="23" t="n">
        <v>2026</v>
      </c>
      <c r="O3763" s="23" t="n">
        <v>158</v>
      </c>
      <c r="P3763" s="23" t="n"/>
      <c r="Q3763" s="23" t="n"/>
      <c r="R3763" s="25" t="inlineStr">
        <is>
          <t>Витамины, микро- и макроэлементы жизненно необходимы каждому живому организму. Они помогают поддерживать хорошее самочувствие. Только физиологически правильное количество витаминов и минералов поддерживает полноценный обмен веществ. Из этой книги вы узнаете всё, что необходимо знать об этих веществах: каковы признаки их недостатка или избытка и то, что и гипер- и гиповитаминоз одинаково опасны. Прочтёте, что является показанием и противопоказанием к применению, какая разница между жирорастворимыми и водорастворимыми витаминами, чем отличаются микро- и макроэлементы, чем грозит их дисбаланс, как правильно сочетать витамины с продуктами и между собой для того, чтобы получить максимальный положительный эффект, и ещё множество полезной информации для сохранения и поддержания здоровья.</t>
        </is>
      </c>
      <c r="S3763" s="26">
        <f>HYPERLINK("http://www.cnpol.ru/covers/22303.jpg","фото на сайте")</f>
        <v/>
      </c>
    </row>
    <row r="3764" ht="50.1" customHeight="1" s="3">
      <c r="A3764" s="23" t="inlineStr">
        <is>
          <t>Д</t>
        </is>
      </c>
      <c r="B3764" s="24" t="inlineStr">
        <is>
          <t>21263</t>
        </is>
      </c>
      <c r="C3764" s="23" t="inlineStr">
        <is>
          <t>ОИ МЕД</t>
        </is>
      </c>
      <c r="D3764" s="23" t="inlineStr">
        <is>
          <t>Пигулевская И.С.</t>
        </is>
      </c>
      <c r="E3764" s="23" t="inlineStr">
        <is>
          <t>Всё о гормонах, или Живём ГОРМОНично. Идеальный вес, желание жить, крепкий сон, здоровая красота, железные нервы, сексуальное влечение</t>
        </is>
      </c>
      <c r="F3764" s="23" t="inlineStr">
        <is>
          <t>        </t>
        </is>
      </c>
      <c r="G3764" s="23" t="n">
        <v>203</v>
      </c>
      <c r="H3764" s="23" t="n">
        <v>10</v>
      </c>
      <c r="I3764" s="23" t="n">
        <v>15</v>
      </c>
      <c r="J3764" s="23" t="inlineStr">
        <is>
          <t>978-5-227-10163-1</t>
        </is>
      </c>
      <c r="K3764" s="23" t="inlineStr">
        <is>
          <t>84x108 1/32 (обл)</t>
        </is>
      </c>
      <c r="L3764" s="23" t="inlineStr">
        <is>
          <t>мяг</t>
        </is>
      </c>
      <c r="M3764" s="23" t="n">
        <v>191</v>
      </c>
      <c r="N3764" s="23" t="n">
        <v>2024</v>
      </c>
      <c r="O3764" s="23" t="n">
        <v>122</v>
      </c>
      <c r="P3764" s="23" t="n"/>
      <c r="Q3764" s="23" t="n"/>
      <c r="R3764" s="25" t="inlineStr">
        <is>
          <t>Что наша жизнь? Игра!.. Но не просто игра, а игра ГОРМОНОВ! Да, да! Миром правят невидимые и беззвучные биологические вещества, выделяемые эндокринной системой. С поломкой эндокринной системы в прямом смысле может поломаться вся жизнь человека. Вы скучны, тревожны и все считают вас занудой? Проверьте уровень гормонов, возможно, понижен дофамин. У вас тахикардия, дрожат руки, снизился вес? Проверьте уровень гормона стресса — кортизола. Хочется рвать и метать? Скорее всего, включился гормон агрессии — норадреналин. Отеки, набор веса и потеря сексуального желания? Вы не клуша, наверняка шалит тиреотропин! Замучила бессонница — проверяем мелатонин. Малыш растет медленно, и вы думаете, что он мелкий по природе? Не тяните, проверьте, пока не поздно, гормоны гипофиза… Узнайте из книги, как работают гормоны, вам обязательно пригодятся эти знания!</t>
        </is>
      </c>
      <c r="S3764" s="26">
        <f>HYPERLINK("http://www.cnpol.ru/covers/21263.jpg","фото на сайте")</f>
        <v/>
      </c>
    </row>
    <row r="3765" ht="50.1" customHeight="1" s="3">
      <c r="A3765" s="23" t="inlineStr">
        <is>
          <t>Н</t>
        </is>
      </c>
      <c r="B3765" s="24" t="inlineStr">
        <is>
          <t>22159</t>
        </is>
      </c>
      <c r="C3765" s="23" t="inlineStr">
        <is>
          <t>ОИ МЕД</t>
        </is>
      </c>
      <c r="D3765" s="23" t="inlineStr">
        <is>
          <t>Пигулевская И.С.</t>
        </is>
      </c>
      <c r="E3765" s="23" t="inlineStr">
        <is>
          <t>Всё о пептидах. Детоксикация и иммунитет, бодрость и стройность, молодость и красота, регенерация и тонус, здоровье суставов, поднятие либидо</t>
        </is>
      </c>
      <c r="F3765" s="23" t="inlineStr">
        <is>
          <t>        </t>
        </is>
      </c>
      <c r="G3765" s="23" t="n">
        <v>229</v>
      </c>
      <c r="H3765" s="23" t="n">
        <v>10</v>
      </c>
      <c r="I3765" s="23" t="n">
        <v>14</v>
      </c>
      <c r="J3765" s="23" t="inlineStr">
        <is>
          <t>978-5-227-11293-4</t>
        </is>
      </c>
      <c r="K3765" s="23" t="inlineStr">
        <is>
          <t>84x108 1/32</t>
        </is>
      </c>
      <c r="L3765" s="23" t="inlineStr">
        <is>
          <t>мяг</t>
        </is>
      </c>
      <c r="M3765" s="23" t="n">
        <v>189</v>
      </c>
      <c r="N3765" s="23" t="n">
        <v>2026</v>
      </c>
      <c r="O3765" s="23" t="n">
        <v>117</v>
      </c>
      <c r="P3765" s="23" t="n"/>
      <c r="Q3765" s="23" t="n"/>
      <c r="R3765" s="25" t="inlineStr">
        <is>
          <t>Для правильной работы организма необходимы пептиды. Пептидные гормоны и нейропептиды регулируют большинство жизненно важных процессов, принимают участие в регенерации клеток. Пептиды иммунологического действия защищают организм от попавших в него токсинов. Однако с возрастом и при патологии возникает дефицит пептидов, который существенно ускоряет износ тканей, что, увы, приводит к старению и болезням… Что же делать? Смириться с неизбежным и толстым, вялым и не сексуальным встречать жизненный закат? Нет, не всё так грустно! Сегодня проблему недостаточности пептидов в организме научились решать. Пептиды широко используются в разных областях. В медицине их применяют для лечения гормональных нарушений, поддержки пациентов с заболеваниями сердца и сосудов, улучшения иммунной защиты, восстановления костной ткани и суставов после травм. В косметологии пептиды используют для омоложения кожи и похудения. В спорте пептиды используются для улучшения спортивных результатов, ускорения восстановления после тренировок и травм, а также при интенсивных физических нагрузках. Читайте книгу, из неё вы получите массу полезных знаний для здоровья, стройности и красоты.</t>
        </is>
      </c>
      <c r="S3765" s="26">
        <f>HYPERLINK("http://www.cnpol.ru/covers/22159.jpg","фото на сайте")</f>
        <v/>
      </c>
    </row>
    <row r="3766" ht="50.1" customHeight="1" s="3">
      <c r="A3766" s="23" t="inlineStr">
        <is>
          <t>Н</t>
        </is>
      </c>
      <c r="B3766" s="24" t="inlineStr">
        <is>
          <t>22230</t>
        </is>
      </c>
      <c r="C3766" s="23" t="inlineStr">
        <is>
          <t>ОИ МЕД</t>
        </is>
      </c>
      <c r="D3766" s="23" t="inlineStr">
        <is>
          <t>Пигулевская И.С.</t>
        </is>
      </c>
      <c r="E3766" s="23" t="inlineStr">
        <is>
          <t>Всё о холестерине. Плохой и хороший, необходимые анализы, вызываемые заболевания, очищение сосудов</t>
        </is>
      </c>
      <c r="F3766" s="23" t="inlineStr">
        <is>
          <t>        </t>
        </is>
      </c>
      <c r="G3766" s="23" t="n">
        <v>229</v>
      </c>
      <c r="H3766" s="23" t="n">
        <v>10</v>
      </c>
      <c r="I3766" s="23" t="n">
        <v>12</v>
      </c>
      <c r="J3766" s="23" t="inlineStr">
        <is>
          <t>978-5-227-11312-2</t>
        </is>
      </c>
      <c r="K3766" s="23" t="inlineStr">
        <is>
          <t>84x108 1/32</t>
        </is>
      </c>
      <c r="L3766" s="23" t="inlineStr">
        <is>
          <t>мяг</t>
        </is>
      </c>
      <c r="M3766" s="23" t="n">
        <v>191</v>
      </c>
      <c r="N3766" s="23" t="n">
        <v>2026</v>
      </c>
      <c r="O3766" s="23" t="n">
        <v>120</v>
      </c>
      <c r="P3766" s="23" t="n"/>
      <c r="Q3766" s="23" t="n"/>
      <c r="R3766" s="25" t="inlineStr">
        <is>
          <t>Страсти по холестерину кипят, не смолкая, на протяжении многих лет. Известно, что он является виновником атеросклероза и, как следствие, развития стенокардии, инфарктов и инсультов. Было время, когда холестерин объявили врагом и начали тотальную борьбу с ним. И тут оказалось, что бездумное понижение холестерина чревато неприятными для здоровья последствиями! Так что же такое на самом деле холестерин и так ли уж он опасен, как им пугают? Разобраться в этом вам поможет эта книга. Она доступно рассказывает: о том, что такое «плохой» холестерин — вызывающий атеросклероз и что такое «хороший» — препятствующий его развитию; какова норма содержания холестерина в крови и какие существуют анализы для определения его уровня; когда нужно регулировать холестерин, почему он повышается и как выровнять его показатели диетой; как самостоятельно провести чистку организма и оздоровиться. Автор поведает обо всем, что нужно для вашего хорошего самочувствия, и поделится лучшими народными рецептами при атеросклерозе. Будьте здоровы!</t>
        </is>
      </c>
      <c r="S3766" s="26">
        <f>HYPERLINK("http://www.cnpol.ru/covers/22230.jpg","фото на сайте")</f>
        <v/>
      </c>
    </row>
    <row r="3767" ht="50.1" customHeight="1" s="3">
      <c r="A3767" s="23" t="inlineStr">
        <is>
          <t>Н</t>
        </is>
      </c>
      <c r="B3767" s="24" t="inlineStr">
        <is>
          <t>21616</t>
        </is>
      </c>
      <c r="C3767" s="23" t="inlineStr">
        <is>
          <t>ОИ МЕД</t>
        </is>
      </c>
      <c r="D3767" s="23" t="inlineStr">
        <is>
          <t>Пигулевская И.С.</t>
        </is>
      </c>
      <c r="E3767" s="23" t="inlineStr">
        <is>
          <t>Все способы справиться с пьянством. Живи трезво!</t>
        </is>
      </c>
      <c r="F3767" s="23" t="inlineStr">
        <is>
          <t>        </t>
        </is>
      </c>
      <c r="G3767" s="23" t="n">
        <v>268</v>
      </c>
      <c r="H3767" s="23" t="n">
        <v>10</v>
      </c>
      <c r="I3767" s="23" t="n">
        <v>10</v>
      </c>
      <c r="J3767" s="23" t="inlineStr">
        <is>
          <t>978-5-227-11012-1</t>
        </is>
      </c>
      <c r="K3767" s="23" t="inlineStr">
        <is>
          <t>84x108 1/32</t>
        </is>
      </c>
      <c r="L3767" s="23" t="inlineStr">
        <is>
          <t>мяг</t>
        </is>
      </c>
      <c r="M3767" s="23" t="n">
        <v>287</v>
      </c>
      <c r="N3767" s="23" t="n">
        <v>2025</v>
      </c>
      <c r="O3767" s="23" t="n">
        <v>199</v>
      </c>
      <c r="P3767" s="23" t="n"/>
      <c r="Q3767" s="23" t="n"/>
      <c r="R3767" s="25" t="inlineStr">
        <is>
          <t>Ни один праздник не обходится без добрых тостов и звона бокалов… Но и по сей день не утихают споры на тему: алкоголь — это хорошо или плохо? Культура пития — это умение употреблять спиртное без нанесения ущерба своему здоровью, социальному и материальному статусу. Но часто случается, что человек теряет контроль, и употребление алкоголя из весёлого и расслабляющего действа переходит в зависимость. Когда тяга к выпивке управляет человеком, им уже должна заниматься медицина. А если человек управляет своим желанием выпить, но порой переступает за критическую черту, из-за чего потом корит себя, — тут есть что попытаться изменить к лучшему._x000D_
Мы не будем читать морали и призывать вас совсем отказаться от алкоголя, но если вы переусердствовали с приёмом горячительного и плохо чувствуете себя наутро или, не дай бог, оказались зависимы от алкоголя и желаете избавиться от этого, советы и рецепты, приведённые в книге, помогут снять похмельный синдром, очистить организм от продуктов распада алкоголя и вернуться к здоровой жизни. В помощь вам лечебная физкультура, народные методы, психотерапия, фитотерапия и помощь близких.</t>
        </is>
      </c>
      <c r="S3767" s="26">
        <f>HYPERLINK("http://www.cnpol.ru/covers/21616.jpg","фото на сайте")</f>
        <v/>
      </c>
    </row>
    <row r="3768" ht="50.1" customHeight="1" s="3">
      <c r="A3768" s="23" t="n"/>
      <c r="B3768" s="24" t="inlineStr">
        <is>
          <t>20555</t>
        </is>
      </c>
      <c r="C3768" s="23" t="inlineStr">
        <is>
          <t>ОИ МЕД</t>
        </is>
      </c>
      <c r="D3768" s="23" t="inlineStr">
        <is>
          <t>Пигулевская И.С.</t>
        </is>
      </c>
      <c r="E3768" s="23" t="inlineStr">
        <is>
          <t>Все, что нужно знать о сахарном диабете. Незаменимая книга для диабетика</t>
        </is>
      </c>
      <c r="F3768" s="23" t="inlineStr">
        <is>
          <t>        </t>
        </is>
      </c>
      <c r="G3768" s="23" t="n">
        <v>567</v>
      </c>
      <c r="H3768" s="23" t="n">
        <v>10</v>
      </c>
      <c r="I3768" s="23" t="n">
        <v>12</v>
      </c>
      <c r="J3768" s="23" t="inlineStr">
        <is>
          <t>978-5-227-09720-0</t>
        </is>
      </c>
      <c r="K3768" s="23" t="inlineStr">
        <is>
          <t>84x108 1/32</t>
        </is>
      </c>
      <c r="L3768" s="23" t="inlineStr">
        <is>
          <t>тв</t>
        </is>
      </c>
      <c r="M3768" s="23" t="n">
        <v>352</v>
      </c>
      <c r="N3768" s="23" t="n">
        <v>2023</v>
      </c>
      <c r="O3768" s="23" t="n">
        <v>280</v>
      </c>
      <c r="P3768" s="23" t="n"/>
      <c r="Q3768" s="23" t="n"/>
      <c r="R3768" s="25" t="inlineStr">
        <is>
          <t>Сахарный диабет называют бичом нашего времени. Его распространение не знает границ, во всем мире им болеют более 430 миллионов человек… Но! Диагноз «сахарный диабет» — не повод для паники и уж тем более не приговор. При соблюдении определенных правил ваша жизнь может быть долгой и насыщенной. Как сделать ее такой, расскажет наша книга. Из нее вы получите все необходимые для диабетика сведения: что такое диабет и каковы основные принципы его лечения; какие бывают диабетические осложнения и их профилактика; все о диете и разгрузочных днях; получите рецепты вкусных и полезных блюд; узнаете, какие необходимо сдавать анализы и как грамотно их прочитать, какие физические нагрузки помогут в лечении диабета и то, что фитотерапия стоит на страже вашего здоровья..._x000D_
Книга незаменима и полезна для всех, кто страдает диабетом, а также тем, чьи родные и близкие не понаслышке знакомы с этим заболеванием.</t>
        </is>
      </c>
      <c r="S3768" s="26">
        <f>HYPERLINK("http://www.cnpol.ru/covers/20555.jpg","фото на сайте")</f>
        <v/>
      </c>
    </row>
    <row r="3769" ht="50.1" customHeight="1" s="3">
      <c r="A3769" s="23" t="n"/>
      <c r="B3769" s="24" t="inlineStr">
        <is>
          <t>20004</t>
        </is>
      </c>
      <c r="C3769" s="23" t="inlineStr">
        <is>
          <t>ОИ МЕД</t>
        </is>
      </c>
      <c r="D3769" s="23" t="inlineStr">
        <is>
          <t>Синельников В.В.</t>
        </is>
      </c>
      <c r="E3769" s="23" t="inlineStr">
        <is>
          <t>Гомеопатия доктора Синельникова</t>
        </is>
      </c>
      <c r="F3769" s="23" t="inlineStr">
        <is>
          <t>        </t>
        </is>
      </c>
      <c r="G3769" s="27" t="n">
        <v>1611</v>
      </c>
      <c r="H3769" s="23" t="n">
        <v>10</v>
      </c>
      <c r="I3769" s="23" t="n">
        <v>3</v>
      </c>
      <c r="J3769" s="23" t="inlineStr">
        <is>
          <t>978-5-227-09770-5</t>
        </is>
      </c>
      <c r="K3769" s="23" t="inlineStr">
        <is>
          <t>84x108 1/16</t>
        </is>
      </c>
      <c r="L3769" s="23" t="inlineStr">
        <is>
          <t>тв</t>
        </is>
      </c>
      <c r="M3769" s="23" t="n">
        <v>623</v>
      </c>
      <c r="N3769" s="23" t="n">
        <v>2021</v>
      </c>
      <c r="O3769" s="23" t="n">
        <v>1258</v>
      </c>
      <c r="P3769" s="23" t="n"/>
      <c r="Q3769" s="23" t="n"/>
      <c r="R3769" s="25" t="inlineStr">
        <is>
          <t>В этом справочнике гомеопатических средств есть все необходимое для оптимального подбора лекарств, которые окажут правильное и щадящее действие на организм. Автор книги предлагает по симптомам, которые приводятся в специальном разделе, определить свое заболевание и подобрать лечебные средства. Полезные рекомендации и ценные советы опытного врача...</t>
        </is>
      </c>
      <c r="S3769" s="26">
        <f>HYPERLINK("http://www.cnpol.ru/covers/20004.jpg","фото на сайте")</f>
        <v/>
      </c>
    </row>
    <row r="3770" ht="50.1" customHeight="1" s="3">
      <c r="A3770" s="23" t="n"/>
      <c r="B3770" s="24" t="inlineStr">
        <is>
          <t>20046</t>
        </is>
      </c>
      <c r="C3770" s="23" t="inlineStr">
        <is>
          <t>ОИ МЕД</t>
        </is>
      </c>
      <c r="D3770" s="23" t="inlineStr">
        <is>
          <t>Синельников В.В.</t>
        </is>
      </c>
      <c r="E3770" s="23" t="inlineStr">
        <is>
          <t>Гомеопатия доктора Синельникова с СД</t>
        </is>
      </c>
      <c r="F3770" s="23" t="inlineStr">
        <is>
          <t>        </t>
        </is>
      </c>
      <c r="G3770" s="27" t="n">
        <v>1702</v>
      </c>
      <c r="H3770" s="23" t="n">
        <v>22</v>
      </c>
      <c r="I3770" s="23" t="n">
        <v>3</v>
      </c>
      <c r="J3770" s="23" t="inlineStr">
        <is>
          <t>978-5-227-09771-2</t>
        </is>
      </c>
      <c r="K3770" s="23" t="inlineStr">
        <is>
          <t>84x108 1/16</t>
        </is>
      </c>
      <c r="L3770" s="23" t="inlineStr">
        <is>
          <t>тв</t>
        </is>
      </c>
      <c r="M3770" s="23" t="n">
        <v>623</v>
      </c>
      <c r="N3770" s="23" t="n">
        <v>2021</v>
      </c>
      <c r="O3770" s="23" t="n">
        <v>1250</v>
      </c>
      <c r="P3770" s="23" t="n"/>
      <c r="Q3770" s="23" t="n"/>
      <c r="R3770" s="25" t="inlineStr">
        <is>
          <t>В этом справочнике гомеопатических средств есть все необходимое для оптимального подбора лекарств, которые окажут правильное и щадящее действие на организм. Автор книги предлагает по симптомам, которые приводятся в специальном разделе, определить свое заболевание и подобрать лечебные средства. Полезные рекомендации и ценные советы опытного врача помогут одолеть любой недуг.</t>
        </is>
      </c>
      <c r="S3770" s="26">
        <f>HYPERLINK("http://www.cnpol.ru/covers/20046.jpg","фото на сайте")</f>
        <v/>
      </c>
    </row>
    <row r="3771" ht="50.1" customHeight="1" s="3">
      <c r="A3771" s="23" t="n"/>
      <c r="B3771" s="24" t="inlineStr">
        <is>
          <t>19256</t>
        </is>
      </c>
      <c r="C3771" s="23" t="inlineStr">
        <is>
          <t>ОИ МЕД</t>
        </is>
      </c>
      <c r="D3771" s="23" t="inlineStr">
        <is>
          <t>Мазуркевич С.А.</t>
        </is>
      </c>
      <c r="E3771" s="23" t="inlineStr">
        <is>
          <t>Древние сексуальные руководства. Мифы, заблуждения и прочие удивительные и неожиданные сведения</t>
        </is>
      </c>
      <c r="F3771" s="23" t="inlineStr">
        <is>
          <t>        </t>
        </is>
      </c>
      <c r="G3771" s="23" t="n">
        <v>229</v>
      </c>
      <c r="H3771" s="23" t="n">
        <v>22</v>
      </c>
      <c r="I3771" s="23" t="n">
        <v>24</v>
      </c>
      <c r="J3771" s="23" t="inlineStr">
        <is>
          <t>978-5-227-07828-5</t>
        </is>
      </c>
      <c r="K3771" s="23" t="inlineStr">
        <is>
          <t>84x108 1/32 (обл)</t>
        </is>
      </c>
      <c r="L3771" s="23" t="inlineStr">
        <is>
          <t>мяг</t>
        </is>
      </c>
      <c r="M3771" s="23" t="n">
        <v>256</v>
      </c>
      <c r="N3771" s="23" t="n">
        <v>2020</v>
      </c>
      <c r="O3771" s="23" t="n">
        <v>162</v>
      </c>
      <c r="P3771" s="23" t="n"/>
      <c r="Q3771" s="23" t="n"/>
      <c r="R3771" s="25" t="inlineStr">
        <is>
          <t>Новая книга известного писателя и путешественника С. Мазуркевича посвящена древним трактатам о любви и сексе. Они, казалось бы, всем знакомы, но на самом деле мало кто имеет о них верное представление. _x000D_
Автор приложил все усилия, чтобы это чтение было занимательным и веселым. Несмотря на то что по ходу книги может показаться, что он местами подшучивает над авторами древних трактатов и их творениями, это не так. Это всего лишь такой стиль изложения, а ко всем древним мудрецам, оставившим нам в наследие свои трактаты, автор относится с величайшим уважением и преклоняется перед их мудростью.</t>
        </is>
      </c>
      <c r="S3771" s="26">
        <f>HYPERLINK("http://www.cnpol.ru/covers/19256.jpg","фото на сайте")</f>
        <v/>
      </c>
    </row>
    <row r="3772" ht="50.1" customHeight="1" s="3">
      <c r="A3772" s="23" t="n"/>
      <c r="B3772" s="24" t="inlineStr">
        <is>
          <t>17977</t>
        </is>
      </c>
      <c r="C3772" s="23" t="inlineStr">
        <is>
          <t>ОИ МЕД</t>
        </is>
      </c>
      <c r="D3772" s="23" t="inlineStr">
        <is>
          <t>Сорокин Ю.</t>
        </is>
      </c>
      <c r="E3772" s="23" t="inlineStr">
        <is>
          <t>Женский алкоголизм</t>
        </is>
      </c>
      <c r="F3772" s="23" t="inlineStr">
        <is>
          <t>        </t>
        </is>
      </c>
      <c r="G3772" s="23" t="n">
        <v>239</v>
      </c>
      <c r="H3772" s="23" t="n">
        <v>10</v>
      </c>
      <c r="I3772" s="23" t="n">
        <v>20</v>
      </c>
      <c r="J3772" s="23" t="inlineStr">
        <is>
          <t>978-5-227-07815-5</t>
        </is>
      </c>
      <c r="K3772" s="23" t="inlineStr">
        <is>
          <t>84x108 1/32 (обл)</t>
        </is>
      </c>
      <c r="L3772" s="23" t="inlineStr">
        <is>
          <t>мяг</t>
        </is>
      </c>
      <c r="M3772" s="23" t="n">
        <v>224</v>
      </c>
      <c r="N3772" s="23" t="n">
        <v>2018</v>
      </c>
      <c r="O3772" s="23" t="n">
        <v>208</v>
      </c>
      <c r="P3772" s="23" t="n"/>
      <c r="Q3772" s="23" t="n"/>
      <c r="R3772" s="25" t="inlineStr">
        <is>
          <t>Терпимость к пьющему мужчине и неприятие женского алкоголизма, кажется, заложены в самой природе человека: действительно, пьющий мужчина имеет право быть импозантным, забавным, ост­роумным, может быть, непонятым гением, а может быть, и вполне вписанным в ту или иную субкультуру бунтарем, но пьющая женщина… Это уже как будто и не женщина вовсе. Это существо с мутным взглядом, спутанными волосами, поплывшим макияжем… _x000D_
Можно ли перестать пить и снова полюбить мир и себя? Юрий Сорокин отвечает: можно! Его ответ — эта книга, в которой собраны непридуманные истории женщин, нашедших в себе силы вернуться к жизни без алкоголя и снова стать победительницами, а не побежденными — ведь только победительница может рассказать о себе всю правду и поделиться своим поистине страшным опытом с теми, кто разуверился в себе, с теми, кто полагает, что возврата нет, с теми, кто твердит, что женский алкоголизм неизлечим.</t>
        </is>
      </c>
      <c r="S3772" s="26">
        <f>HYPERLINK("http://www.cnpol.ru/covers/17977.jpg","фото на сайте")</f>
        <v/>
      </c>
    </row>
    <row r="3773" ht="50.1" customHeight="1" s="3">
      <c r="A3773" s="23" t="inlineStr">
        <is>
          <t>Н</t>
        </is>
      </c>
      <c r="B3773" s="24" t="inlineStr">
        <is>
          <t>21178</t>
        </is>
      </c>
      <c r="C3773" s="23" t="inlineStr">
        <is>
          <t>ОИ МЕД</t>
        </is>
      </c>
      <c r="D3773" s="23" t="inlineStr">
        <is>
          <t>Пигулевская И.С.</t>
        </is>
      </c>
      <c r="E3773" s="23" t="inlineStr">
        <is>
          <t>Здоровая печень. Избавляемся от проблем самого большого органа. Гепатит. Гепатоз. Жировая дистрофия. Цирроз…</t>
        </is>
      </c>
      <c r="F3773" s="23" t="inlineStr">
        <is>
          <t>        </t>
        </is>
      </c>
      <c r="G3773" s="23" t="n">
        <v>567</v>
      </c>
      <c r="H3773" s="23" t="n">
        <v>10</v>
      </c>
      <c r="I3773" s="23" t="n">
        <v>14</v>
      </c>
      <c r="J3773" s="23" t="inlineStr">
        <is>
          <t>978-5-227-10326-0</t>
        </is>
      </c>
      <c r="K3773" s="23" t="inlineStr">
        <is>
          <t>84x108 1/32</t>
        </is>
      </c>
      <c r="L3773" s="23" t="inlineStr">
        <is>
          <t>тв</t>
        </is>
      </c>
      <c r="M3773" s="23" t="n">
        <v>319</v>
      </c>
      <c r="N3773" s="23" t="n">
        <v>2024</v>
      </c>
      <c r="O3773" s="23" t="n">
        <v>273</v>
      </c>
      <c r="P3773" s="23" t="n"/>
      <c r="Q3773" s="23" t="n"/>
      <c r="R3773" s="25" t="inlineStr">
        <is>
          <t>Печень — поистине уникальный орган, который способен выполнять свои функции даже при трети сохранённой ткани. И этого хватает, чтобы организм функционировал нормально. Но это не должно расхолаживать человека и настраивать на оптимистический лад. Все многочисленные заболевания печени — а их насчитывается до полусотни — объединены одним, очень коварным признаком — долго остаются незаметными. Лечение заболеваний печени — задача очень сложная, так как почти при любом из них бывают затронуты многие другие системы и органы._x000D_
Из книги вы узнаете всё, что нужно знать о печени: каким заболеваниям она подвержена, каковы их признаки и принципы лечения, пройдёте тест для предварительного определения состояния печени и узнаете огромное количество народных и кулинарных рецептов для поддержания здоровья печени, её очистки и восстановления. Будьте здоровы и пусть ваше знакомство с болезнями печени состоится только на бумаге!</t>
        </is>
      </c>
      <c r="S3773" s="26">
        <f>HYPERLINK("http://www.cnpol.ru/covers/21178.jpg","фото на сайте")</f>
        <v/>
      </c>
    </row>
    <row r="3774" ht="50.1" customHeight="1" s="3">
      <c r="A3774" s="23" t="inlineStr">
        <is>
          <t>Н</t>
        </is>
      </c>
      <c r="B3774" s="24" t="inlineStr">
        <is>
          <t>21333</t>
        </is>
      </c>
      <c r="C3774" s="23" t="inlineStr">
        <is>
          <t>ОИ МЕД</t>
        </is>
      </c>
      <c r="D3774" s="23" t="inlineStr">
        <is>
          <t>Пигулевская И.С.</t>
        </is>
      </c>
      <c r="E3774" s="23" t="inlineStr">
        <is>
          <t>Здоровое сердце. Залог активности и вечной молодости. Аритмия. Инфаркт. Кардиомиопатия…</t>
        </is>
      </c>
      <c r="F3774" s="23" t="inlineStr">
        <is>
          <t>        </t>
        </is>
      </c>
      <c r="G3774" s="23" t="n">
        <v>567</v>
      </c>
      <c r="H3774" s="23" t="n">
        <v>10</v>
      </c>
      <c r="I3774" s="23" t="n">
        <v>14</v>
      </c>
      <c r="J3774" s="23" t="inlineStr">
        <is>
          <t>978-5-227-10279-9</t>
        </is>
      </c>
      <c r="K3774" s="23" t="inlineStr">
        <is>
          <t>84x108 1/32</t>
        </is>
      </c>
      <c r="L3774" s="23" t="inlineStr">
        <is>
          <t>тв</t>
        </is>
      </c>
      <c r="M3774" s="23" t="n">
        <v>319</v>
      </c>
      <c r="N3774" s="23" t="n">
        <v>2024</v>
      </c>
      <c r="O3774" s="23" t="n">
        <v>275</v>
      </c>
      <c r="P3774" s="23" t="n"/>
      <c r="Q3774" s="23" t="n"/>
      <c r="R3774" s="25" t="inlineStr">
        <is>
          <t>Заболевания сердца и сосудов — бич современности. Часто мы не думаем о своём сердце и не заботимся о нём до тех пор, пока оно работает исправно. Гром не грянет, мужик не перекрестится… Но стоит ли ждать грома? Не лучше позаботиться о своем «пламенном моторе» заранее, ведь от его правильной работы зависит наша жизнь. Читайте книгу, она познакомит вас с различными способами оздоровления сердечно-сосудистой системы и научит применять эти советы на практике. Она расскажет, как сохранить здоровье и бодрость на долгие годы, даст рекомендации по сохранению и восстановлению функций сердца. Здесь нет лишних сведений, вся информация проста и понятна. Вы узнаете, как оказать первую помощь при обмороке, каковы факторы риска, прочтёте всё необходимое о правильном питании при сердечно-сосудистых заболеваниях. Здесь же вы найдёте лучшие рецепты народной медицины, комплексы лечебной гимнастики, научитесь ментальному расслаблению, прогрессивной релаксации и многому другому…_x000D_
Желаем вам крепкого здоровья, и пусть ваши сердца бьются учащённо только от радости и замирают только от восторга и любви!</t>
        </is>
      </c>
      <c r="S3774" s="26">
        <f>HYPERLINK("http://www.cnpol.ru/covers/21333.jpg","фото на сайте")</f>
        <v/>
      </c>
    </row>
    <row r="3775" ht="50.1" customHeight="1" s="3">
      <c r="A3775" s="23" t="n"/>
      <c r="B3775" s="24" t="inlineStr">
        <is>
          <t>20885</t>
        </is>
      </c>
      <c r="C3775" s="23" t="inlineStr">
        <is>
          <t>ОИ МЕД</t>
        </is>
      </c>
      <c r="D3775" s="23" t="inlineStr">
        <is>
          <t>Пигулевская И.С.</t>
        </is>
      </c>
      <c r="E3775" s="23" t="inlineStr">
        <is>
          <t>Здоровые суставы. Гарантия подвижности и бодрости. Артрит. Артроз. Бурсит. Подагра…</t>
        </is>
      </c>
      <c r="F3775" s="23" t="inlineStr">
        <is>
          <t>        </t>
        </is>
      </c>
      <c r="G3775" s="23" t="n">
        <v>512</v>
      </c>
      <c r="H3775" s="23" t="n">
        <v>10</v>
      </c>
      <c r="I3775" s="23" t="n">
        <v>16</v>
      </c>
      <c r="J3775" s="23" t="inlineStr">
        <is>
          <t>978-5-227-10401-4</t>
        </is>
      </c>
      <c r="K3775" s="23" t="inlineStr">
        <is>
          <t>84x108 1/32</t>
        </is>
      </c>
      <c r="L3775" s="23" t="inlineStr">
        <is>
          <t>тв</t>
        </is>
      </c>
      <c r="M3775" s="23" t="n">
        <v>287</v>
      </c>
      <c r="N3775" s="23" t="n">
        <v>2023</v>
      </c>
      <c r="O3775" s="23" t="n">
        <v>263</v>
      </c>
      <c r="P3775" s="23" t="n"/>
      <c r="Q3775" s="23" t="n"/>
      <c r="R3775" s="25" t="inlineStr">
        <is>
          <t>Суставы постоянно испытывают нагрузку, они подвержены рискам, и проблемы с ними могут начаться в любом возрасте. В нашем организме около двухсот суставов, и от их здоровья напрямую зависит мобильность. Заболеваний суставов много, и болеть могут любые суставы, от челюстных до коленных. Широко распространенные артриты и артрозы, признаки которых находят даже у мумий великих фараонов, знакомы человечеству с древних времен. А еще спондилез, подагра, периартрит, синовит и бурсит… Плюс такие состояния, как артропатия и артралгия…_x000D__x000D_
Чтобы ваши суставы были здоровы, читайте нашу книгу, изучите правила бережного отношения к суставам, получите рецепты народной медицины для профилактики и лечения. В разделе о питании приведены диеты и обширный список продуктов, которые обладают свойством снижать воспаление суставов. Вспомогательными средствами будут мази, растирания, компрессы, лечебные ванны, физические упражнения…</t>
        </is>
      </c>
      <c r="S3775" s="26">
        <f>HYPERLINK("http://www.cnpol.ru/covers/20885.jpg","фото на сайте")</f>
        <v/>
      </c>
    </row>
    <row r="3776" ht="50.1" customHeight="1" s="3">
      <c r="A3776" s="23" t="n"/>
      <c r="B3776" s="24" t="inlineStr">
        <is>
          <t>20680</t>
        </is>
      </c>
      <c r="C3776" s="23" t="inlineStr">
        <is>
          <t>ОИ МЕД</t>
        </is>
      </c>
      <c r="D3776" s="23" t="inlineStr">
        <is>
          <t>Пигулевская И.С.</t>
        </is>
      </c>
      <c r="E3776" s="23" t="inlineStr">
        <is>
          <t>Здоровый кишечник. Гарантия прекрасного самочувствия. Колит. Дуоденит. Энтерит. Язва. Проктит…</t>
        </is>
      </c>
      <c r="F3776" s="23" t="inlineStr">
        <is>
          <t>        </t>
        </is>
      </c>
      <c r="G3776" s="23" t="n">
        <v>567</v>
      </c>
      <c r="H3776" s="23" t="n">
        <v>10</v>
      </c>
      <c r="I3776" s="23" t="n">
        <v>14</v>
      </c>
      <c r="J3776" s="23" t="inlineStr">
        <is>
          <t>978-5-227-10338-3</t>
        </is>
      </c>
      <c r="K3776" s="23" t="inlineStr">
        <is>
          <t>84x108 1/32</t>
        </is>
      </c>
      <c r="L3776" s="23" t="inlineStr">
        <is>
          <t>тв</t>
        </is>
      </c>
      <c r="M3776" s="23" t="n">
        <v>319</v>
      </c>
      <c r="N3776" s="23" t="n">
        <v>2023</v>
      </c>
      <c r="O3776" s="23" t="n">
        <v>274</v>
      </c>
      <c r="P3776" s="23" t="n"/>
      <c r="Q3776" s="23" t="n"/>
      <c r="R3776" s="25" t="inlineStr">
        <is>
          <t>Пожалуйста, отнеситесь бережно к своему организму. Если вам поставили неприятный диагноз, связанный с заболеванием кишечника, не затягивайте, ведь здоровый кишечник — гарантия нормального функционирования всего организма. Своевременное медикаментозное лечение и народные рецепты помогут вам свести неприятности от заболеваний к минимуму. Как устроен желудочно-кишечный тракт, каковы симптомы язвенной болезни кишечника, энтерита, аппендицита, колита, проктита, сигмоидита, тифлита, илеита, еюнита, целиакии, дисбактериоза и прочих недугов кишечника, вы узнаете из этой книги._x000D_
О том, какие методы диагностики применяют, как и чем лечиться, как правильно принимать лекарства, какие минеральные воды необходимо употреблять в разных случаях, расскажет наша книга. Особое внимание уделено лечебному питанию при различных кишечных проблемах, поскольку диета играет очень важную роль в поддержании нормального самочувствия и восстановлении пораженного кишечника.</t>
        </is>
      </c>
      <c r="S3776" s="26">
        <f>HYPERLINK("http://www.cnpol.ru/covers/20680.jpg","фото на сайте")</f>
        <v/>
      </c>
    </row>
    <row r="3777" ht="50.1" customHeight="1" s="3">
      <c r="A3777" s="23" t="n"/>
      <c r="B3777" s="24" t="inlineStr">
        <is>
          <t>20841</t>
        </is>
      </c>
      <c r="C3777" s="23" t="inlineStr">
        <is>
          <t>ОИ МЕД</t>
        </is>
      </c>
      <c r="D3777" s="23" t="inlineStr">
        <is>
          <t>Пигулевская И.С.</t>
        </is>
      </c>
      <c r="E3777" s="23" t="inlineStr">
        <is>
          <t>Идеальное давление. Залог долголетия и бодрости. Избавляемся от гипертонии и гипотонии…</t>
        </is>
      </c>
      <c r="F3777" s="23" t="inlineStr">
        <is>
          <t>        </t>
        </is>
      </c>
      <c r="G3777" s="23" t="n">
        <v>567</v>
      </c>
      <c r="H3777" s="23" t="n">
        <v>10</v>
      </c>
      <c r="I3777" s="23" t="n">
        <v>14</v>
      </c>
      <c r="J3777" s="23" t="inlineStr">
        <is>
          <t>978-5-227-10280-5</t>
        </is>
      </c>
      <c r="K3777" s="23" t="inlineStr">
        <is>
          <t>84x108 1/32</t>
        </is>
      </c>
      <c r="L3777" s="23" t="inlineStr">
        <is>
          <t>тв</t>
        </is>
      </c>
      <c r="M3777" s="23" t="n">
        <v>319</v>
      </c>
      <c r="N3777" s="23" t="n">
        <v>2023</v>
      </c>
      <c r="O3777" s="23" t="n">
        <v>279</v>
      </c>
      <c r="P3777" s="23" t="n"/>
      <c r="Q3777" s="23" t="n"/>
      <c r="R3777" s="25" t="inlineStr">
        <is>
          <t>Увы, сегодня гипертония приняла характер всемирной эпидемии. Проблемы с давлением настолько распространены, что практически нереально найти взрослого человека, который бы ни разу не почувствовал на себе его «скачки». Нередко гипертония сочетается с другими болезнями типа сахарного диабета, ожирения… Одно влияет на другое, и привести давление в норму бывает сложно… При этом повышенное давление является пусковым механизмом для развития разных заболеваний и осложнений, некоторые из них могут быть опасными для жизни. Именно поэтому гипертонию нельзя запускать. _x000D_
Гипотония вредит мозгу и другим органам, ведь при низком давлении кровь плохо доходит до капилляров, и начинается кислородное голодание. Автор рассказывает всё, что нужно знать о «неправильном» давлении. Вы узнаете: причины возникновения и методы профилактики недуга; как оказать первую помощь. Изучите правила измерения давления; получите рецепты народной медицины, правильного питания и многое другое.</t>
        </is>
      </c>
      <c r="S3777" s="26">
        <f>HYPERLINK("http://www.cnpol.ru/covers/20841.jpg","фото на сайте")</f>
        <v/>
      </c>
    </row>
    <row r="3778" ht="50.1" customHeight="1" s="3">
      <c r="A3778" s="23" t="n"/>
      <c r="B3778" s="24" t="inlineStr">
        <is>
          <t>19518</t>
        </is>
      </c>
      <c r="C3778" s="23" t="inlineStr">
        <is>
          <t>ОИ МЕД</t>
        </is>
      </c>
      <c r="D3778" s="23" t="inlineStr">
        <is>
          <t>Пигулевская И.С.</t>
        </is>
      </c>
      <c r="E3778" s="23" t="inlineStr">
        <is>
          <t>Избавляемся от анемии, или Железные правила здоровья. Причины и виды анемии. Анализы для постановки диагноза. Медикаментозное лечение. Исцеляющая диета</t>
        </is>
      </c>
      <c r="F3778" s="23" t="inlineStr">
        <is>
          <t>        </t>
        </is>
      </c>
      <c r="G3778" s="23" t="n">
        <v>229</v>
      </c>
      <c r="H3778" s="23" t="n">
        <v>10</v>
      </c>
      <c r="I3778" s="23" t="n">
        <v>20</v>
      </c>
      <c r="J3778" s="23" t="inlineStr">
        <is>
          <t>978-5-227-09320-2</t>
        </is>
      </c>
      <c r="K3778" s="23" t="inlineStr">
        <is>
          <t>84x108 1/32 (обл)</t>
        </is>
      </c>
      <c r="L3778" s="23" t="inlineStr">
        <is>
          <t>мяг</t>
        </is>
      </c>
      <c r="M3778" s="23" t="n">
        <v>192</v>
      </c>
      <c r="N3778" s="23" t="n">
        <v>2021</v>
      </c>
      <c r="O3778" s="23" t="n">
        <v>116</v>
      </c>
      <c r="P3778" s="23" t="n"/>
      <c r="Q3778" s="23" t="n"/>
      <c r="R3778" s="25" t="inlineStr">
        <is>
          <t>Анемия, или малокровие, — состояние, которое приносит много неприятностей, но его часто оставляют без внимания. Человек может уставать, мучиться головными болями, плохо спать и не высыпаться, но он будет списывать все на стрессы, усталость от работы, недосып, домашние обязанности, да мало ли на что еще… И часто, только случайно, сдав кровь по какому­либо поводу, узнает, что в организме недостаток железа и от этого кислородное голодание. Организм просто работает на износ!_x000D_
В России, по данным Минздрава, анемия есть у 15% населения. Причем больше всего ее выявляют у беременных, примерно 40%, то есть почти каждая вторая женщина, ожидающая малыша…_x000D_
Всем без исключения нужно периодически проверять уровень гемоглобина, и если он понижен, то обязательно корректировать. Чаще всего анемия бывает от недостатка железа, и, в основном, именно этому типу анемии посвящена книга. Препараты железа назначают, если анемия выраженная, но они имеют побочные действия, и далеко не все легко переносят курсы их приема. Проще поднимать гемоглобин правильным питанием. Проще и вкуснее! Поэтому автор предлагает рецепты полезных при анемии блюд и продуктов, которые помогут избавиться от недуга и существенно улучшить качество жизни.</t>
        </is>
      </c>
      <c r="S3778" s="26">
        <f>HYPERLINK("http://www.cnpol.ru/covers/19518.jpg","фото на сайте")</f>
        <v/>
      </c>
    </row>
    <row r="3779" ht="50.1" customHeight="1" s="3">
      <c r="A3779" s="23" t="n"/>
      <c r="B3779" s="24" t="inlineStr">
        <is>
          <t>19252</t>
        </is>
      </c>
      <c r="C3779" s="23" t="inlineStr">
        <is>
          <t>ОИ МЕД</t>
        </is>
      </c>
      <c r="D3779" s="23" t="inlineStr">
        <is>
          <t>Пигулевская И.С.</t>
        </is>
      </c>
      <c r="E3779" s="23" t="inlineStr">
        <is>
          <t>Исцеляющее питание при вирусах. От гриппа до COVID­19</t>
        </is>
      </c>
      <c r="F3779" s="23" t="inlineStr">
        <is>
          <t>        </t>
        </is>
      </c>
      <c r="G3779" s="23" t="n">
        <v>229</v>
      </c>
      <c r="H3779" s="23" t="n">
        <v>10</v>
      </c>
      <c r="I3779" s="23" t="n">
        <v>18</v>
      </c>
      <c r="J3779" s="23" t="inlineStr">
        <is>
          <t>978-5-227-09192-5</t>
        </is>
      </c>
      <c r="K3779" s="23" t="inlineStr">
        <is>
          <t>84x108 1/32 (обл)</t>
        </is>
      </c>
      <c r="L3779" s="23" t="inlineStr">
        <is>
          <t>мяг</t>
        </is>
      </c>
      <c r="M3779" s="23" t="n">
        <v>256</v>
      </c>
      <c r="N3779" s="23" t="n">
        <v>2020</v>
      </c>
      <c r="O3779" s="23" t="n">
        <v>156</v>
      </c>
      <c r="P3779" s="23" t="n"/>
      <c r="Q3779" s="23" t="n"/>
      <c r="R3779" s="25" t="inlineStr">
        <is>
          <t>Бороться с таким мощным врагом, как вирус, может только сильный организм. Чудодейственных лекарств от вируса нет. Лекарства могут только подстегнуть иммунитет, смягчить симптомы и справиться с вторичными осложнениями… Первостепенное значение при заболеваниях, вызванных вирусами, имеет питание, как во время болезни, так и в период восстановления после нее. Как сказал Мигель де Сервантес, «здоровье всего тела куется в кузнице нашего желудка». Диеты при разных вирусных инфекциях могут значительно отличаться друг от друга! Как питаться при различных недугах, вы найдете на страницах книги. Организм в противостоянии вирусам должен спасать себя сам, поэтому он должен иметь силы на борьбу. Думать о защитных силах своего организма человек разумный обязан всегда, а не в тот момент, когда его уже атаковал вирус. А как правильно питаться, чтобы ваш иммунитет креп день ото дня, рассказывает Ирина Пигулевская.</t>
        </is>
      </c>
      <c r="S3779" s="26">
        <f>HYPERLINK("http://www.cnpol.ru/covers/19252.jpg","фото на сайте")</f>
        <v/>
      </c>
    </row>
    <row r="3780" ht="50.1" customHeight="1" s="3">
      <c r="A3780" s="23" t="inlineStr">
        <is>
          <t>Н</t>
        </is>
      </c>
      <c r="B3780" s="24" t="inlineStr">
        <is>
          <t>22231</t>
        </is>
      </c>
      <c r="C3780" s="23" t="inlineStr">
        <is>
          <t>ОИ МЕД</t>
        </is>
      </c>
      <c r="D3780" s="23" t="inlineStr">
        <is>
          <t>Пигулевская И.С.</t>
        </is>
      </c>
      <c r="E3780" s="23" t="inlineStr">
        <is>
          <t>Исцеляющее питание. GAPS­, MIND-диеты. Как состояние кишечника воздействует на здоровье всего организма</t>
        </is>
      </c>
      <c r="F3780" s="23" t="inlineStr">
        <is>
          <t>        </t>
        </is>
      </c>
      <c r="G3780" s="23" t="n">
        <v>229</v>
      </c>
      <c r="H3780" s="23" t="n">
        <v>10</v>
      </c>
      <c r="I3780" s="23" t="n">
        <v>12</v>
      </c>
      <c r="J3780" s="23" t="inlineStr">
        <is>
          <t>978-5-9524-6498-8</t>
        </is>
      </c>
      <c r="K3780" s="23" t="inlineStr">
        <is>
          <t>84x108 1/32</t>
        </is>
      </c>
      <c r="L3780" s="23" t="inlineStr">
        <is>
          <t>мяг</t>
        </is>
      </c>
      <c r="M3780" s="23" t="n">
        <v>191</v>
      </c>
      <c r="N3780" s="23" t="n">
        <v>2026</v>
      </c>
      <c r="O3780" s="23" t="n">
        <v>120</v>
      </c>
      <c r="P3780" s="23" t="n"/>
      <c r="Q3780" s="23" t="n"/>
      <c r="R3780" s="25" t="inlineStr">
        <is>
          <t>"А вы знаете, что 70% иммунных клеток находится в кишечнике? Оздоровление кишечника влияет на общее состояние организма и работу всех его систем. И какими бы недугами вы ни страдали, борьбу с ними надо начинать с восстановления микробиома кишечника и пищеварения. Даже бич нашего века депрессия, разнообразные аллергии — всё зависит от состояния ЖКТ. Поддерживая здоровье пищеварительной системы, можно снижать восприимчивость к стрессу. Это положительно сказывается и на качестве сна, и на когнитивных функциях, включая память и внимание.
В этой книге мы познакомим вас с GAPS-диетой Натальи Кэмпбелл-Макбрайд, которая утверждает, что здоровье нашей пищеварительной системы является основой жизнеспособности всего организма. Также вы узнаете о MIND-диете, которая подходит не только для профилактики когнитивных нарушений, но и для улучшения общего самочувствия, поддержания энергии и здоровья сосудов. Особое внимание уделено лечебному питанию при различных кишечных проблемах. Книга рассчитана на самый широкий круг читателей, заботящихся о своём здоровье."</t>
        </is>
      </c>
      <c r="S3780" s="26">
        <f>HYPERLINK("http://www.cnpol.ru/covers/22231.jpg","фото на сайте")</f>
        <v/>
      </c>
    </row>
    <row r="3781" ht="50.1" customHeight="1" s="3">
      <c r="A3781" s="23" t="inlineStr">
        <is>
          <t>Н</t>
        </is>
      </c>
      <c r="B3781" s="24" t="inlineStr">
        <is>
          <t>21874</t>
        </is>
      </c>
      <c r="C3781" s="23" t="inlineStr">
        <is>
          <t>ОИ МЕД</t>
        </is>
      </c>
      <c r="D3781" s="23" t="inlineStr">
        <is>
          <t>Шичэнь Ли</t>
        </is>
      </c>
      <c r="E3781" s="23" t="inlineStr">
        <is>
          <t>Китайские целебные травы. Классический труд по фармакологииавы. Классический труд по фармакологии</t>
        </is>
      </c>
      <c r="F3781" s="23" t="inlineStr">
        <is>
          <t>        </t>
        </is>
      </c>
      <c r="G3781" s="27" t="n">
        <v>1152</v>
      </c>
      <c r="H3781" s="23" t="n">
        <v>10</v>
      </c>
      <c r="I3781" s="23" t="n">
        <v>8</v>
      </c>
      <c r="J3781" s="23" t="inlineStr">
        <is>
          <t>978-5-9524-5878-9</t>
        </is>
      </c>
      <c r="K3781" s="23" t="inlineStr">
        <is>
          <t>84x108 1/32</t>
        </is>
      </c>
      <c r="L3781" s="23" t="inlineStr">
        <is>
          <t>тв</t>
        </is>
      </c>
      <c r="M3781" s="23" t="n">
        <v>398</v>
      </c>
      <c r="N3781" s="23" t="n">
        <v>2026</v>
      </c>
      <c r="O3781" s="23" t="n">
        <v>253</v>
      </c>
      <c r="P3781" s="23" t="n"/>
      <c r="Q3781" s="23" t="n"/>
      <c r="R3781" s="25" t="inlineStr">
        <is>
          <t>Вниманию читателей предлагается современная редакция классического труда китайского целителя XVI?века Ли Шичэня «Материя медика» («Пен Цао»), в котором обобщен богатый опыт народной медицины в области фитотерапии. В книге, представляющей большой исторический и практический интерес, подробно описаны полезные свойства лекарственных растений и целебных веществ, рассказано о формах и способах применения природных лечебных препаратов, традиционно используемых на Востоке, интерес к которым европейских медиков все более возрастает.</t>
        </is>
      </c>
      <c r="S3781" s="26">
        <f>HYPERLINK("http://www.cnpol.ru/covers/21874.jpg","фото на сайте")</f>
        <v/>
      </c>
    </row>
    <row r="3782" ht="50.1" customHeight="1" s="3">
      <c r="A3782" s="23" t="inlineStr">
        <is>
          <t>Н</t>
        </is>
      </c>
      <c r="B3782" s="24" t="inlineStr">
        <is>
          <t>21189</t>
        </is>
      </c>
      <c r="C3782" s="23" t="inlineStr">
        <is>
          <t>ОИ МЕД</t>
        </is>
      </c>
      <c r="D3782" s="23" t="inlineStr">
        <is>
          <t>Палош Ш.</t>
        </is>
      </c>
      <c r="E3782" s="23" t="inlineStr">
        <is>
          <t>Китайское искусство целительства. Проверенные временем методики лечения природными средствами</t>
        </is>
      </c>
      <c r="F3782" s="23" t="inlineStr">
        <is>
          <t>        </t>
        </is>
      </c>
      <c r="G3782" s="23" t="n">
        <v>936</v>
      </c>
      <c r="H3782" s="23" t="n">
        <v>10</v>
      </c>
      <c r="I3782" s="23" t="n">
        <v>14</v>
      </c>
      <c r="J3782" s="23" t="inlineStr">
        <is>
          <t>978-5-227-10698-8</t>
        </is>
      </c>
      <c r="K3782" s="23" t="inlineStr">
        <is>
          <t>84x108 1/32</t>
        </is>
      </c>
      <c r="L3782" s="23" t="inlineStr">
        <is>
          <t>тв</t>
        </is>
      </c>
      <c r="M3782" s="23" t="n">
        <v>282</v>
      </c>
      <c r="N3782" s="23" t="n">
        <v>2024</v>
      </c>
      <c r="O3782" s="23" t="n">
        <v>340</v>
      </c>
      <c r="P3782" s="23" t="n"/>
      <c r="Q3782" s="23" t="n"/>
      <c r="R3782" s="25" t="inlineStr">
        <is>
          <t>Эта книга — подробный справочник по истории и практике традиционного искусства китайского врачевания. Она содержит подробное описание основных принципов и методик народного целительства: акупунктуры, диагностики по пульсу, массажа, дыхательной гимнастики. Приводятся особенности использования различных лекарственных средств и растений.</t>
        </is>
      </c>
      <c r="S3782" s="26">
        <f>HYPERLINK("http://www.cnpol.ru/covers/21189.jpg","фото на сайте")</f>
        <v/>
      </c>
    </row>
    <row r="3783" ht="50.1" customHeight="1" s="3">
      <c r="A3783" s="23" t="n"/>
      <c r="B3783" s="24" t="inlineStr">
        <is>
          <t>18147</t>
        </is>
      </c>
      <c r="C3783" s="23" t="inlineStr">
        <is>
          <t>ОИ МЕД</t>
        </is>
      </c>
      <c r="D3783" s="23" t="inlineStr">
        <is>
          <t>Чой ен Джун</t>
        </is>
      </c>
      <c r="E3783" s="23" t="inlineStr">
        <is>
          <t>Ключ к здоровью вашего ребенка</t>
        </is>
      </c>
      <c r="F3783" s="23" t="inlineStr">
        <is>
          <t>        </t>
        </is>
      </c>
      <c r="G3783" s="23" t="n">
        <v>743</v>
      </c>
      <c r="H3783" s="23" t="n">
        <v>10</v>
      </c>
      <c r="I3783" s="23" t="n">
        <v>11</v>
      </c>
      <c r="J3783" s="23" t="inlineStr">
        <is>
          <t>978-5-227-08187-2</t>
        </is>
      </c>
      <c r="K3783" s="23" t="inlineStr">
        <is>
          <t>70х90 1/16</t>
        </is>
      </c>
      <c r="L3783" s="23" t="inlineStr">
        <is>
          <t>тв</t>
        </is>
      </c>
      <c r="M3783" s="23" t="n">
        <v>256</v>
      </c>
      <c r="N3783" s="23" t="n">
        <v>2018</v>
      </c>
      <c r="O3783" s="23" t="n">
        <v>410</v>
      </c>
      <c r="P3783" s="23" t="n"/>
      <c r="Q3783" s="23" t="n"/>
      <c r="R3783" s="25" t="inlineStr">
        <is>
          <t>Издание посвящено сохранению и восстановлению здоровья наших детей. Возможно, проблемы вас уже настигли. Возможно, вы поддаетесь отчаянию, возможно, вы теряете надежду… Стоп! Без паники! В ваших руках уникальная книга-ключ, с помощью которой откроется дверь в здоровье и долголетие. Эта книга предназначена тем, кто хочет знать, как именно восстановить здоровье ребенка, растить его в благополучии и любви, дать ему действительно счастливую жизнь. Тем, кто признает, что здоровье — это каждодневное творчество, каждодневная реализация, а объект этого уникального творчества — вы сами. Эта книга – концентрат многолетнего опыта, и адресована она людям, которые хотят осмысленно отнестись к урокам, дарованным им жизнью. Любое заболевание – это урок, и нужно понимать, что и болезнь ребенка – урок также. Болезнь обращает внимание на проблему, создавая такую ситуацию, которую невозможно игнорировать, откладывать, которой нельзя пренебрегать… Болезнь ребенка — это всегда прямое указание на то, что родителям пора заняться собой, решить проблемы, которые, возможно, были отложены. Выучите уроки заданные жизнью правильно!_x000D_
Даже если лично вы пока не обрели своего врача, опирайтесь на эту книгу. Сейчас в строй борцов за ваше здоровье, за здоровье ваших детей рядом с вами встаю я – со всем моим опытом и со всей любовью к людям. Вместе мы справимся. По крайней мере, сделаем первый серьезный шаг.</t>
        </is>
      </c>
      <c r="S3783" s="26">
        <f>HYPERLINK("http://www.cnpol.ru/covers/18147.jpg","фото на сайте")</f>
        <v/>
      </c>
    </row>
    <row r="3784" ht="50.1" customHeight="1" s="3">
      <c r="A3784" s="23" t="n"/>
      <c r="B3784" s="24" t="inlineStr">
        <is>
          <t>19519</t>
        </is>
      </c>
      <c r="C3784" s="23" t="inlineStr">
        <is>
          <t>ОИ МЕД</t>
        </is>
      </c>
      <c r="D3784" s="23" t="inlineStr">
        <is>
          <t>Пигулевская И.С.</t>
        </is>
      </c>
      <c r="E3784" s="23" t="inlineStr">
        <is>
          <t>Лечебное дыхание. Дыхательные упражнения. Первая помощь. Народные рецепты. Профилактика. Лечение</t>
        </is>
      </c>
      <c r="F3784" s="23" t="inlineStr">
        <is>
          <t>        </t>
        </is>
      </c>
      <c r="G3784" s="23" t="n">
        <v>229</v>
      </c>
      <c r="H3784" s="23" t="n">
        <v>10</v>
      </c>
      <c r="I3784" s="23" t="n">
        <v>20</v>
      </c>
      <c r="J3784" s="23" t="inlineStr">
        <is>
          <t>978-5-9524-5361-6</t>
        </is>
      </c>
      <c r="K3784" s="23" t="inlineStr">
        <is>
          <t>84x108 1/32 (обл)</t>
        </is>
      </c>
      <c r="L3784" s="23" t="inlineStr">
        <is>
          <t>мяг</t>
        </is>
      </c>
      <c r="M3784" s="23" t="n">
        <v>160</v>
      </c>
      <c r="N3784" s="23" t="n">
        <v>2021</v>
      </c>
      <c r="O3784" s="23" t="n">
        <v>152</v>
      </c>
      <c r="P3784" s="23" t="n"/>
      <c r="Q3784" s="23" t="n"/>
      <c r="R3784" s="25" t="inlineStr">
        <is>
          <t>Человек может выжить несколько дней без воды, несколько недель без еды. Но без воздуха всего несколько минут! Это прозрачное, незаметное, невесомое чудо — воздух, мы не думаем, как он входит и выходит в лёгкие, и всё это до тех пор, пока с дыханием не возникают проблемы. Бронхит, пневмония, плеврит, ринит и прочие неприятности с дыхательной системой, лор­заболевания, стресс и аллергия… Любой из этих диагнозов приводит к нарушению дыхания и, соответственно, снижению качества жизни._x000D_
Наша книга поможет вам преодолеть проблемы, вызванные заболеваниями органов дыхания. Вам в помощь: дыхательные упражнения, йога, цигун, ароматерапия, ингаляции, аэротерапия, галотерапия и конечно же русская баня. Вы научитесь оказывать первую помощь при проблемах с дыханием, получите народные рецепты исцеления, узнаете всё о профилактике и лечении. Будьте здоровы!</t>
        </is>
      </c>
      <c r="S3784" s="26">
        <f>HYPERLINK("http://www.cnpol.ru/covers/19519.jpg","фото на сайте")</f>
        <v/>
      </c>
    </row>
    <row r="3785" ht="50.1" customHeight="1" s="3">
      <c r="A3785" s="23" t="n"/>
      <c r="B3785" s="24" t="inlineStr">
        <is>
          <t>19899</t>
        </is>
      </c>
      <c r="C3785" s="23" t="inlineStr">
        <is>
          <t>ОИ МЕД</t>
        </is>
      </c>
      <c r="D3785" s="23" t="inlineStr">
        <is>
          <t>Пигулевская И.С.</t>
        </is>
      </c>
      <c r="E3785" s="23" t="inlineStr">
        <is>
          <t>Лечение бессонницы. 100% гарантия улучшения вашего сна</t>
        </is>
      </c>
      <c r="F3785" s="23" t="inlineStr">
        <is>
          <t>        </t>
        </is>
      </c>
      <c r="G3785" s="23" t="n">
        <v>229</v>
      </c>
      <c r="H3785" s="23" t="n">
        <v>10</v>
      </c>
      <c r="I3785" s="23" t="n">
        <v>18</v>
      </c>
      <c r="J3785" s="23" t="inlineStr">
        <is>
          <t>978-5-227-09585-5</t>
        </is>
      </c>
      <c r="K3785" s="23" t="inlineStr">
        <is>
          <t>84x108 1/32</t>
        </is>
      </c>
      <c r="L3785" s="23" t="inlineStr">
        <is>
          <t>мяг</t>
        </is>
      </c>
      <c r="M3785" s="23" t="n">
        <v>255</v>
      </c>
      <c r="N3785" s="23" t="n">
        <v>2021</v>
      </c>
      <c r="O3785" s="23" t="n">
        <v>154</v>
      </c>
      <c r="P3785" s="23" t="n"/>
      <c r="Q3785" s="23" t="n"/>
      <c r="R3785" s="25" t="inlineStr">
        <is>
          <t>Правильный сон — залог здоровья и благополучия. Почти треть жизни мы тратим на это состояние, приносящее восстановление сил. Но примерно половина населения России недовольны качеством ночного отдыха! У каждого третьего жителя городов в той или иной мере сон нарушен… Кому­то сложно заснуть из­за влияния стрессов и переживаний, другие страдают от проблем со сном из­за посменной работы, третьи не могут уснуть из­за перевозбуждения психики компьютерами и телевизором, яркого света или активности домочадцев. Если сон не наступает вовремя, постепенно происходит сбой биологических часов, подступают нервозность, тревога, и недалеко до болезни… Чтобы этого не случилось, автор расскажет вам, каковы причины бессонницы, и научит с ней бороться, чтобы быть здоровым, ведь в состоянии сна организм накапливает потраченные за период бодрствования силы, разгружается психика, снижается уровень стресса, обновляются клетки, выводятся шлаки. Хотите просыпаться бодрым и свежим и засыпать сладко и крепко, как уставший младенец?_x000D_
Читайте книгу.</t>
        </is>
      </c>
      <c r="S3785" s="26">
        <f>HYPERLINK("http://www.cnpol.ru/covers/19899.jpg","фото на сайте")</f>
        <v/>
      </c>
    </row>
    <row r="3786" ht="50.1" customHeight="1" s="3">
      <c r="A3786" s="23" t="n"/>
      <c r="B3786" s="24" t="inlineStr">
        <is>
          <t>19835</t>
        </is>
      </c>
      <c r="C3786" s="23" t="inlineStr">
        <is>
          <t>ОИ МЕД</t>
        </is>
      </c>
      <c r="D3786" s="23" t="inlineStr">
        <is>
          <t>Пигулевская И.С.</t>
        </is>
      </c>
      <c r="E3786" s="23" t="inlineStr">
        <is>
          <t>Лечение гипертонии. Причины возникновения и методы профилактики. Лишний вес. Питание. Гипертония и беременность. Лекарственное лечение и народная медицина. Правила измерения давления. Признаки инсульта и первая помощь</t>
        </is>
      </c>
      <c r="F3786" s="23" t="inlineStr">
        <is>
          <t>        </t>
        </is>
      </c>
      <c r="G3786" s="23" t="n">
        <v>229</v>
      </c>
      <c r="H3786" s="23" t="n">
        <v>10</v>
      </c>
      <c r="I3786" s="23" t="n">
        <v>24</v>
      </c>
      <c r="J3786" s="23" t="inlineStr">
        <is>
          <t>978-5-227-09655-5</t>
        </is>
      </c>
      <c r="K3786" s="23" t="inlineStr">
        <is>
          <t>84x108 1/32</t>
        </is>
      </c>
      <c r="L3786" s="23" t="inlineStr">
        <is>
          <t>мяг</t>
        </is>
      </c>
      <c r="M3786" s="23" t="n">
        <v>255</v>
      </c>
      <c r="N3786" s="23" t="n">
        <v>2021</v>
      </c>
      <c r="O3786" s="23" t="n">
        <v>154</v>
      </c>
      <c r="P3786" s="23" t="n"/>
      <c r="Q3786" s="23" t="n"/>
      <c r="R3786" s="25" t="inlineStr">
        <is>
          <t>"Сегодня гипертония приняла характер всемирной эпидемии. 40% населения России страдают ею, и даже при лечении этой болезни только у 17% женщин давление приходит в норму, а у мужчин — вообще у 6%! А все потому, что лечение не начинается вовремя, на ранних стадиях заболевания. Проблема еще и в том, что обычно гипертония сочетается с другими болезнями типа сахарного диабета, ожирения. Одно влияет на другое, и привести давление в норму бывает сложно… При этом повышенное давление является пусковым механизмом для развития разных заболеваний и осложнений, некоторые из них могут быть опасными для жизни. Именно поэтому гипертонию нельзя запускать. 
В этой книге автор рассказывает все, что нужно знать о гипертонии. Вы узнаете: причины возникновения и методы профилактики заболевания; что такое гипертонический криз; каковы признаки инсульта; как оказать первую помощь; как сочетаются гипертония и беременность. Изучите правила измерения давления; получите рецепты народной медицины. В разделе о питании приведены диеты и обширный список продуктов, которые обладают свойством снижать давление. Вспомогательными средствами будут ароматерапия, лечебные ванны, физические упражнения…
Читайте — и будьте здоровы!
"</t>
        </is>
      </c>
      <c r="S3786" s="26">
        <f>HYPERLINK("http://www.cnpol.ru/covers/19835.jpg","фото на сайте")</f>
        <v/>
      </c>
    </row>
    <row r="3787" ht="50.1" customHeight="1" s="3">
      <c r="A3787" s="23" t="n"/>
      <c r="B3787" s="24" t="inlineStr">
        <is>
          <t>19853</t>
        </is>
      </c>
      <c r="C3787" s="23" t="inlineStr">
        <is>
          <t>ОИ МЕД</t>
        </is>
      </c>
      <c r="D3787" s="23" t="inlineStr">
        <is>
          <t>Пигулевская И.С.</t>
        </is>
      </c>
      <c r="E3787" s="23" t="inlineStr">
        <is>
          <t>Лечение деревьями. 500 рецептов от 100 недугов</t>
        </is>
      </c>
      <c r="F3787" s="23" t="inlineStr">
        <is>
          <t>        </t>
        </is>
      </c>
      <c r="G3787" s="23" t="n">
        <v>229</v>
      </c>
      <c r="H3787" s="23" t="n">
        <v>10</v>
      </c>
      <c r="I3787" s="23" t="n">
        <v>20</v>
      </c>
      <c r="J3787" s="23" t="inlineStr">
        <is>
          <t>978-5-227-09558-9</t>
        </is>
      </c>
      <c r="K3787" s="23" t="inlineStr">
        <is>
          <t>84x108 1/32</t>
        </is>
      </c>
      <c r="L3787" s="23" t="inlineStr">
        <is>
          <t>мяг</t>
        </is>
      </c>
      <c r="M3787" s="23" t="n">
        <v>256</v>
      </c>
      <c r="N3787" s="23" t="n">
        <v>2021</v>
      </c>
      <c r="O3787" s="23" t="n">
        <v>246</v>
      </c>
      <c r="P3787" s="23" t="n"/>
      <c r="Q3787" s="23" t="n"/>
      <c r="R3787" s="25" t="inlineStr">
        <is>
          <t>Деревья… Молчаливые стражи Земли, дарующие нам бесценный кислород, спасительную тень в жаркий полдень, вкусные и полезные плоды в пищу и благоухающие цветы, радующие обоняние. Мы редко задумываемся о том, как много дают нам зеленые альтруисты. А дают они нам целебный древесный сок, душистый кофе, вкусный чай, лечебную кору, эфирные масла, живительные листья и почки, изысканный шоколад… Из бруса строятся дома и бани, дровами топятся камины и печи, из лозы и лыка плетутся корзины… Любая часть деревьев по своему полезна для человека! Но сегодня мы поговорим только о лечебном применении деревьев. В книге представлено более пятисот самых действенных рецептов от нескольких сотен болезней. Фиточаи и отвары, плоды и шишки, настои и настойки, дёготь и семена, банные веники и целебные ванночки встанут на защиту вашего здоровья.</t>
        </is>
      </c>
      <c r="S3787" s="26">
        <f>HYPERLINK("http://www.cnpol.ru/covers/19853.jpg","фото на сайте")</f>
        <v/>
      </c>
    </row>
    <row r="3788" ht="50.1" customHeight="1" s="3">
      <c r="A3788" s="23" t="inlineStr">
        <is>
          <t>Н</t>
        </is>
      </c>
      <c r="B3788" s="24" t="inlineStr">
        <is>
          <t>20996</t>
        </is>
      </c>
      <c r="C3788" s="23" t="inlineStr">
        <is>
          <t>ОИ МЕД</t>
        </is>
      </c>
      <c r="D3788" s="23" t="inlineStr">
        <is>
          <t>Пигулевская И.С.</t>
        </is>
      </c>
      <c r="E3788" s="23" t="inlineStr">
        <is>
          <t>Мамина школа. Растим здорового, умного и сытого ребенка. Советы и рецепты педиатров, педагогов, поваров. Для родителей малышей от 0 до школы</t>
        </is>
      </c>
      <c r="F3788" s="23" t="inlineStr">
        <is>
          <t>        </t>
        </is>
      </c>
      <c r="G3788" s="23" t="n">
        <v>567</v>
      </c>
      <c r="H3788" s="23" t="n">
        <v>10</v>
      </c>
      <c r="I3788" s="23" t="n">
        <v>14</v>
      </c>
      <c r="J3788" s="23" t="inlineStr">
        <is>
          <t>978-5-227-10587-5</t>
        </is>
      </c>
      <c r="K3788" s="23" t="inlineStr">
        <is>
          <t>84x108 1/32</t>
        </is>
      </c>
      <c r="L3788" s="23" t="inlineStr">
        <is>
          <t>тв</t>
        </is>
      </c>
      <c r="M3788" s="23" t="n">
        <v>319</v>
      </c>
      <c r="N3788" s="23" t="n">
        <v>2024</v>
      </c>
      <c r="O3788" s="23" t="n">
        <v>268</v>
      </c>
      <c r="P3788" s="23" t="n"/>
      <c r="Q3788" s="23" t="n"/>
      <c r="R3788" s="25" t="inlineStr">
        <is>
          <t>Все мы когда-то были малышами и понимаем, насколько важно гармонично и правильно прожить этот период, ведь в нём закладывается психическое и физическое здоровье, то есть задел на всю дальнейшую жизнь человека. Мы вырастаем и сами становимся родителями… Иметь детей безмерное счастье, но и огромная ответственность. Каждый родитель хочет своему ребёнку всего самого хорошего. И очень волнуется, если ему кажется, что малыш отстаёт в развитии или ведёт себя «не так». А как это — «так»? Чем кормить? Как лечить? Что можно и что нельзя детям? Когда можно обойтись домашними средствами, а когда пора паниковать и бежать к врачу? На эти и многие другие вопросы касательно питания, развития и здоровья дошкольников расскажет эта книга.</t>
        </is>
      </c>
      <c r="S3788" s="26">
        <f>HYPERLINK("http://www.cnpol.ru/covers/20996.jpg","фото на сайте")</f>
        <v/>
      </c>
    </row>
    <row r="3789" ht="50.1" customHeight="1" s="3">
      <c r="A3789" s="23" t="n"/>
      <c r="B3789" s="24" t="inlineStr">
        <is>
          <t>19830</t>
        </is>
      </c>
      <c r="C3789" s="23" t="inlineStr">
        <is>
          <t>ОИ МЕД</t>
        </is>
      </c>
      <c r="D3789" s="23" t="inlineStr">
        <is>
          <t>Дорошенко Р.</t>
        </is>
      </c>
      <c r="E3789" s="23" t="inlineStr">
        <is>
          <t>Моё второе рождение в 50. Три шага в будущее без страданий, хаоса и слёз</t>
        </is>
      </c>
      <c r="F3789" s="23" t="inlineStr">
        <is>
          <t>        </t>
        </is>
      </c>
      <c r="G3789" s="23" t="n">
        <v>437</v>
      </c>
      <c r="H3789" s="23" t="n">
        <v>10</v>
      </c>
      <c r="I3789" s="23" t="n">
        <v>20</v>
      </c>
      <c r="J3789" s="23" t="inlineStr">
        <is>
          <t>978-5-227-09341-7</t>
        </is>
      </c>
      <c r="K3789" s="23" t="inlineStr">
        <is>
          <t>84x108 1/32 (обл)</t>
        </is>
      </c>
      <c r="L3789" s="23" t="inlineStr">
        <is>
          <t>мяг</t>
        </is>
      </c>
      <c r="M3789" s="23" t="n">
        <v>351</v>
      </c>
      <c r="N3789" s="23" t="n">
        <v>2021</v>
      </c>
      <c r="O3789" s="23" t="n">
        <v>162</v>
      </c>
      <c r="P3789" s="23" t="n"/>
      <c r="Q3789" s="23" t="n"/>
      <c r="R3789" s="25" t="n"/>
      <c r="S3789" s="26">
        <f>HYPERLINK("http://www.cnpol.ru/covers/19830.jpg","фото на сайте")</f>
        <v/>
      </c>
    </row>
    <row r="3790" ht="50.1" customHeight="1" s="3">
      <c r="A3790" s="23" t="inlineStr">
        <is>
          <t>Н</t>
        </is>
      </c>
      <c r="B3790" s="24" t="inlineStr">
        <is>
          <t>21720</t>
        </is>
      </c>
      <c r="C3790" s="23" t="inlineStr">
        <is>
          <t>ОИ МЕД</t>
        </is>
      </c>
      <c r="D3790" s="23" t="inlineStr">
        <is>
          <t>Пигулевская И.С.</t>
        </is>
      </c>
      <c r="E3790" s="23" t="inlineStr">
        <is>
          <t>Настольная книга офисного работника. Сохраняем здоровье при сидячем образе жизни</t>
        </is>
      </c>
      <c r="F3790" s="23" t="inlineStr">
        <is>
          <t>        </t>
        </is>
      </c>
      <c r="G3790" s="23" t="n">
        <v>268</v>
      </c>
      <c r="H3790" s="23" t="n">
        <v>10</v>
      </c>
      <c r="I3790" s="23" t="n">
        <v>10</v>
      </c>
      <c r="J3790" s="23" t="inlineStr">
        <is>
          <t>978-5-227-11108-1</t>
        </is>
      </c>
      <c r="K3790" s="23" t="inlineStr">
        <is>
          <t>84x108 1/32</t>
        </is>
      </c>
      <c r="L3790" s="23" t="inlineStr">
        <is>
          <t>мяг</t>
        </is>
      </c>
      <c r="M3790" s="23" t="n">
        <v>255</v>
      </c>
      <c r="N3790" s="23" t="n">
        <v>2025</v>
      </c>
      <c r="O3790" s="23" t="n">
        <v>120</v>
      </c>
      <c r="P3790" s="23" t="n"/>
      <c r="Q3790" s="23" t="n"/>
      <c r="R3790" s="25" t="inlineStr">
        <is>
          <t>Современные реалии привели к резкому сокращению активности у человека. Люди практически не ходят пешком, мы даже опаздываем и торопимся, сидя за рулём или в метро… Это приводит к гиподинамии — пониженной активности, которая запускает негативные изменения в работе многих органов и систем. Какие опасности таит в себе малоподвижный образ жизни? Замедляется метаболизм и накапливается жировая масса. Длительное сидение приводит к застою крови в венах, что может стать причиной геморроя и варикоза. Неправильная поза за компьютером приводит к перенапряжению мышц спины, что может спровоцировать сколиоз, остеохондроз и межпозвоночные грыжи. Повышается риск сердечно-сосудистых заболеваний. Сидячий образ жизни может привести к депрессии, тревожности, ухудшению памяти и концентрации внимания. Что же делать? Не стоит паниковать! Есть ряд простых, но действенных правил, которые помогут вам сохранить здоровье, даже если ваша работа предполагает большую часть времени проводить сидя. Наша книга подскажет вам, как сделать расслабляющие упражнения для всех частей тела, не сходя с рабочего места, научит заниматься йогой, не вставая со стула, расскажет о важности правильного освещения, питьевого режима и своевременного питания.</t>
        </is>
      </c>
      <c r="S3790" s="26">
        <f>HYPERLINK("http://www.cnpol.ru/covers/21720.jpg","фото на сайте")</f>
        <v/>
      </c>
    </row>
    <row r="3791" ht="50.1" customHeight="1" s="3">
      <c r="A3791" s="23" t="inlineStr">
        <is>
          <t>Н</t>
        </is>
      </c>
      <c r="B3791" s="24" t="inlineStr">
        <is>
          <t>22310</t>
        </is>
      </c>
      <c r="C3791" s="23" t="inlineStr">
        <is>
          <t>ОИ МЕД</t>
        </is>
      </c>
      <c r="D3791" s="23" t="inlineStr">
        <is>
          <t>Пигулевская И.С.</t>
        </is>
      </c>
      <c r="E3791" s="23" t="inlineStr">
        <is>
          <t>Нейробика. Гимнастика для мозга взрослым и малышам. Эффективная зарядка для разума. Методики улучшения работы мозга. Нейрогимнастика для всех возрастов. Способы развития логического мышления</t>
        </is>
      </c>
      <c r="F3791" s="23" t="inlineStr">
        <is>
          <t>        </t>
        </is>
      </c>
      <c r="G3791" s="23" t="n">
        <v>567</v>
      </c>
      <c r="H3791" s="23" t="n">
        <v>10</v>
      </c>
      <c r="I3791" s="23" t="n">
        <v>22</v>
      </c>
      <c r="J3791" s="23" t="inlineStr">
        <is>
          <t>978-5-227-11263-7</t>
        </is>
      </c>
      <c r="K3791" s="23" t="inlineStr">
        <is>
          <t>84x108 1/32</t>
        </is>
      </c>
      <c r="L3791" s="23" t="inlineStr">
        <is>
          <t>тв</t>
        </is>
      </c>
      <c r="M3791" s="23" t="n">
        <v>255</v>
      </c>
      <c r="N3791" s="23" t="n">
        <v>2026</v>
      </c>
      <c r="O3791" s="23" t="n">
        <v>241</v>
      </c>
      <c r="P3791" s="23" t="n"/>
      <c r="Q3791" s="23" t="n"/>
      <c r="R3791" s="25" t="inlineStr">
        <is>
          <t>"Что такое нейробика? Это слово произошло из сочетания «нейро» плюс «аэробика», ведь для поддержания работоспособности головному мозгу, как и мышцам, необходима зарядка, а нейробика как раз и призвана стать такой зарядкой. Нейробика применима для всех возрастов, ведь она универсальное средство для всех, кто хочет сохранить мыслительные способности и умственную работоспособность. Недавние исследования показали, что мозг взрослых людей может меняться и развиваться, а память поддается тренировке!
Основной плюс данной методики в том, что её упражнения нацелены на использование всех пяти чувств человека, причём делается это необычным образом и в максимально непривычных комбинациях. Именно это помогает мозгу создавать новые ассоциативные связи между различными видами информации. Человеку необходимо регулярно менять рутинные действия на новые, непривычные, которые задействуют органы чувств, то есть выполнять обычные действия необычным способом, создавать новые впечатления. Нейробика даёт возможность лучше концентрироваться и усваивать новые знания. Книга будет полезна всем членам вашей семьи от малышей до стариков: взрослым она поможет поддерживать мозг в отличном состоянии и избежать ухудшения памяти, а дети будут развиваться с помощью необычных, а значит, интересных для них упражнений."</t>
        </is>
      </c>
      <c r="S3791" s="26">
        <f>HYPERLINK("http://www.cnpol.ru/covers/22310.jpg","фото на сайте")</f>
        <v/>
      </c>
    </row>
    <row r="3792" ht="50.1" customHeight="1" s="3">
      <c r="A3792" s="23" t="n"/>
      <c r="B3792" s="24" t="inlineStr">
        <is>
          <t>19700</t>
        </is>
      </c>
      <c r="C3792" s="23" t="inlineStr">
        <is>
          <t>ОИ МЕД</t>
        </is>
      </c>
      <c r="D3792" s="23" t="inlineStr">
        <is>
          <t>Пигулевская И.С.</t>
        </is>
      </c>
      <c r="E3792" s="23" t="inlineStr">
        <is>
          <t>Облысение. Причины алопеции. Лечение, восстановление и уход за разными типами волос. Чистка организма. Супердиета для шикарной шевелюры</t>
        </is>
      </c>
      <c r="F3792" s="23" t="inlineStr">
        <is>
          <t>        </t>
        </is>
      </c>
      <c r="G3792" s="23" t="n">
        <v>229</v>
      </c>
      <c r="H3792" s="23" t="n">
        <v>10</v>
      </c>
      <c r="I3792" s="23" t="n">
        <v>24</v>
      </c>
      <c r="J3792" s="23" t="inlineStr">
        <is>
          <t>978-5-227-09542-8</t>
        </is>
      </c>
      <c r="K3792" s="23" t="inlineStr">
        <is>
          <t>84x108 1/32 (обл)</t>
        </is>
      </c>
      <c r="L3792" s="23" t="inlineStr">
        <is>
          <t>мяг</t>
        </is>
      </c>
      <c r="M3792" s="23" t="n">
        <v>192</v>
      </c>
      <c r="N3792" s="23" t="n">
        <v>2021</v>
      </c>
      <c r="O3792" s="23" t="n">
        <v>116</v>
      </c>
      <c r="P3792" s="23" t="n"/>
      <c r="Q3792" s="23" t="n"/>
      <c r="R3792" s="25" t="n"/>
      <c r="S3792" s="26">
        <f>HYPERLINK("http://www.cnpol.ru/covers/19700.jpg","фото на сайте")</f>
        <v/>
      </c>
    </row>
    <row r="3793" ht="50.1" customHeight="1" s="3">
      <c r="A3793" s="23" t="n"/>
      <c r="B3793" s="24" t="inlineStr">
        <is>
          <t>15452</t>
        </is>
      </c>
      <c r="C3793" s="23" t="inlineStr">
        <is>
          <t>ОИ МЕД</t>
        </is>
      </c>
      <c r="D3793" s="23" t="inlineStr">
        <is>
          <t>Грекова Т., Мещерякова Н.</t>
        </is>
      </c>
      <c r="E3793" s="23" t="inlineStr">
        <is>
          <t>Полная правда о щитовидной железе</t>
        </is>
      </c>
      <c r="F3793" s="23" t="inlineStr">
        <is>
          <t>        </t>
        </is>
      </c>
      <c r="G3793" s="23" t="n">
        <v>186</v>
      </c>
      <c r="H3793" s="23" t="n">
        <v>10</v>
      </c>
      <c r="I3793" s="23" t="n">
        <v>24</v>
      </c>
      <c r="J3793" s="23" t="inlineStr">
        <is>
          <t>978-5-227-04920-9</t>
        </is>
      </c>
      <c r="K3793" s="23" t="inlineStr">
        <is>
          <t>84x108 1/32 (обл)</t>
        </is>
      </c>
      <c r="L3793" s="23" t="inlineStr">
        <is>
          <t>мяг</t>
        </is>
      </c>
      <c r="M3793" s="23" t="n">
        <v>220</v>
      </c>
      <c r="N3793" s="23" t="n">
        <v>2014</v>
      </c>
      <c r="O3793" s="23" t="n">
        <v>138</v>
      </c>
      <c r="P3793" s="23" t="n"/>
      <c r="Q3793" s="23" t="n"/>
      <c r="R3793" s="25" t="n"/>
      <c r="S3793" s="26">
        <f>HYPERLINK("http://www.cnpol.ru/covers/15452.jpg","фото на сайте")</f>
        <v/>
      </c>
    </row>
    <row r="3794" ht="50.1" customHeight="1" s="3">
      <c r="A3794" s="23" t="n"/>
      <c r="B3794" s="24" t="inlineStr">
        <is>
          <t>15702</t>
        </is>
      </c>
      <c r="C3794" s="23" t="inlineStr">
        <is>
          <t>ОИ МЕД</t>
        </is>
      </c>
      <c r="D3794" s="23" t="inlineStr">
        <is>
          <t>Грекова Т., Мещерякова Н.</t>
        </is>
      </c>
      <c r="E3794" s="23" t="inlineStr">
        <is>
          <t>Полная правда о щитовидной железе</t>
        </is>
      </c>
      <c r="F3794" s="23" t="inlineStr">
        <is>
          <t>        </t>
        </is>
      </c>
      <c r="G3794" s="23" t="n">
        <v>186</v>
      </c>
      <c r="H3794" s="23" t="n">
        <v>10</v>
      </c>
      <c r="I3794" s="23" t="n">
        <v>24</v>
      </c>
      <c r="J3794" s="23" t="inlineStr">
        <is>
          <t>978-5-227-05540-8</t>
        </is>
      </c>
      <c r="K3794" s="23" t="inlineStr">
        <is>
          <t>84x108 1/32 (обл)</t>
        </is>
      </c>
      <c r="L3794" s="23" t="inlineStr">
        <is>
          <t>мяг</t>
        </is>
      </c>
      <c r="M3794" s="23" t="n">
        <v>220</v>
      </c>
      <c r="N3794" s="23" t="n">
        <v>2014</v>
      </c>
      <c r="O3794" s="23" t="n">
        <v>138</v>
      </c>
      <c r="P3794" s="23" t="n"/>
      <c r="Q3794" s="23" t="n"/>
      <c r="R3794" s="25" t="n"/>
      <c r="S3794" s="26">
        <f>HYPERLINK("http://www.cnpol.ru/covers/15702.jpg","фото на сайте")</f>
        <v/>
      </c>
    </row>
    <row r="3795" ht="50.1" customHeight="1" s="3">
      <c r="A3795" s="23" t="inlineStr">
        <is>
          <t>Д</t>
        </is>
      </c>
      <c r="B3795" s="24" t="inlineStr">
        <is>
          <t>21815</t>
        </is>
      </c>
      <c r="C3795" s="23" t="inlineStr">
        <is>
          <t>ОИ МЕД</t>
        </is>
      </c>
      <c r="D3795" s="23" t="inlineStr">
        <is>
          <t>Пондер К</t>
        </is>
      </c>
      <c r="E3795" s="23" t="inlineStr">
        <is>
          <t>Практика духовного врачевания. Вековые секреты исцеления</t>
        </is>
      </c>
      <c r="F3795" s="23" t="inlineStr">
        <is>
          <t>        </t>
        </is>
      </c>
      <c r="G3795" s="27" t="n">
        <v>1004</v>
      </c>
      <c r="H3795" s="23" t="n">
        <v>10</v>
      </c>
      <c r="I3795" s="23" t="n">
        <v>6</v>
      </c>
      <c r="J3795" s="23" t="inlineStr">
        <is>
          <t>978-5-9524-6533-6</t>
        </is>
      </c>
      <c r="K3795" s="23" t="inlineStr">
        <is>
          <t>84x108 1/32</t>
        </is>
      </c>
      <c r="L3795" s="23" t="inlineStr">
        <is>
          <t>тв</t>
        </is>
      </c>
      <c r="M3795" s="23" t="n">
        <v>303</v>
      </c>
      <c r="N3795" s="23" t="n">
        <v>2025</v>
      </c>
      <c r="O3795" s="23" t="n">
        <v>363</v>
      </c>
      <c r="P3795" s="23" t="n"/>
      <c r="Q3795" s="23" t="n"/>
      <c r="R3795" s="25" t="inlineStr">
        <is>
          <t>Кэтрин Пондер — одна из самых выдающихся женщин второй половины XX века, автор сенсационной книги «Динамические законы процветания», лауреат многих премий и наград. Автор книги стояла у самых истоков духовного врачевания. Она поможет вам обнаружить причину недомогания, чтобы с помощью силы сознания вызволить неисчерпаемые возможности, скрытые в вашем организме.</t>
        </is>
      </c>
      <c r="S3795" s="26">
        <f>HYPERLINK("http://www.cnpol.ru/covers/21815.jpg","фото на сайте")</f>
        <v/>
      </c>
    </row>
    <row r="3796" ht="50.1" customHeight="1" s="3">
      <c r="A3796" s="23" t="n"/>
      <c r="B3796" s="24" t="inlineStr">
        <is>
          <t>18043</t>
        </is>
      </c>
      <c r="C3796" s="23" t="inlineStr">
        <is>
          <t>ОИ МЕД</t>
        </is>
      </c>
      <c r="D3796" s="23" t="inlineStr">
        <is>
          <t>Мовсесян А.</t>
        </is>
      </c>
      <c r="E3796" s="23" t="inlineStr">
        <is>
          <t>Профилактика возрастзависимых заболеваний. Факторы снижающие риск возникновения рака, болезни Альцгеймера, Паркинсона, возрастных нарушений зрения, сердечно-сосудистой системы, опорно-двигательной системы…</t>
        </is>
      </c>
      <c r="F3796" s="23" t="inlineStr">
        <is>
          <t>        </t>
        </is>
      </c>
      <c r="G3796" s="23" t="n">
        <v>743</v>
      </c>
      <c r="H3796" s="23" t="n">
        <v>10</v>
      </c>
      <c r="I3796" s="23" t="n">
        <v>12</v>
      </c>
      <c r="J3796" s="23" t="inlineStr">
        <is>
          <t>978-5-227-08072-1</t>
        </is>
      </c>
      <c r="K3796" s="23" t="inlineStr">
        <is>
          <t>60x90 1/16</t>
        </is>
      </c>
      <c r="L3796" s="23" t="inlineStr">
        <is>
          <t>тв</t>
        </is>
      </c>
      <c r="M3796" s="23" t="n">
        <v>480</v>
      </c>
      <c r="N3796" s="23" t="n">
        <v>2018</v>
      </c>
      <c r="O3796" s="23" t="n">
        <v>512</v>
      </c>
      <c r="P3796" s="23" t="n"/>
      <c r="Q3796" s="23" t="n"/>
      <c r="R3796" s="25" t="n"/>
      <c r="S3796" s="26">
        <f>HYPERLINK("http://www.cnpol.ru/covers/18043.jpg","фото на сайте")</f>
        <v/>
      </c>
    </row>
    <row r="3797" ht="50.1" customHeight="1" s="3">
      <c r="A3797" s="23" t="n"/>
      <c r="B3797" s="24" t="inlineStr">
        <is>
          <t>19093</t>
        </is>
      </c>
      <c r="C3797" s="23" t="inlineStr">
        <is>
          <t>ОИ МЕД</t>
        </is>
      </c>
      <c r="D3797" s="23" t="inlineStr">
        <is>
          <t>Корсун В.Ф. и др.</t>
        </is>
      </c>
      <c r="E3797" s="23" t="inlineStr">
        <is>
          <t>Псориаз. Старинные и современные методы лечения. Травы жизни</t>
        </is>
      </c>
      <c r="F3797" s="23" t="inlineStr">
        <is>
          <t>        </t>
        </is>
      </c>
      <c r="G3797" s="23" t="n">
        <v>284</v>
      </c>
      <c r="H3797" s="23" t="n">
        <v>10</v>
      </c>
      <c r="I3797" s="23" t="n">
        <v>16</v>
      </c>
      <c r="J3797" s="23" t="inlineStr">
        <is>
          <t>978-5-227-08872-7</t>
        </is>
      </c>
      <c r="K3797" s="23" t="inlineStr">
        <is>
          <t>84x108 1/32 (обл)</t>
        </is>
      </c>
      <c r="L3797" s="23" t="inlineStr">
        <is>
          <t>мяг</t>
        </is>
      </c>
      <c r="M3797" s="23" t="n">
        <v>304</v>
      </c>
      <c r="N3797" s="23" t="n">
        <v>2020</v>
      </c>
      <c r="O3797" s="23" t="n">
        <v>185</v>
      </c>
      <c r="P3797" s="23" t="n"/>
      <c r="Q3797" s="23" t="n"/>
      <c r="R3797" s="25" t="n"/>
      <c r="S3797" s="26">
        <f>HYPERLINK("http://www.cnpol.ru/covers/19093.jpg","фото на сайте")</f>
        <v/>
      </c>
    </row>
    <row r="3798" ht="50.1" customHeight="1" s="3">
      <c r="A3798" s="23" t="inlineStr">
        <is>
          <t>Н</t>
        </is>
      </c>
      <c r="B3798" s="24" t="inlineStr">
        <is>
          <t>21180</t>
        </is>
      </c>
      <c r="C3798" s="23" t="inlineStr">
        <is>
          <t>ОИ МЕД</t>
        </is>
      </c>
      <c r="D3798" s="23" t="inlineStr">
        <is>
          <t>Пигулевская И.С.</t>
        </is>
      </c>
      <c r="E3798" s="23" t="inlineStr">
        <is>
          <t>Развиваем интеллект. Упражнения для развития внимания, памяти, логики</t>
        </is>
      </c>
      <c r="F3798" s="23" t="inlineStr">
        <is>
          <t>        </t>
        </is>
      </c>
      <c r="G3798" s="23" t="n">
        <v>567</v>
      </c>
      <c r="H3798" s="23" t="n">
        <v>10</v>
      </c>
      <c r="I3798" s="23" t="n">
        <v>20</v>
      </c>
      <c r="J3798" s="23" t="inlineStr">
        <is>
          <t>978-5-227-10725-1</t>
        </is>
      </c>
      <c r="K3798" s="23" t="inlineStr">
        <is>
          <t>84x108 1/32</t>
        </is>
      </c>
      <c r="L3798" s="23" t="inlineStr">
        <is>
          <t>тв</t>
        </is>
      </c>
      <c r="M3798" s="23" t="n">
        <v>255</v>
      </c>
      <c r="N3798" s="23" t="n">
        <v>2024</v>
      </c>
      <c r="O3798" s="23" t="n">
        <v>270</v>
      </c>
      <c r="P3798" s="23" t="n"/>
      <c r="Q3798" s="23" t="n"/>
      <c r="R3798" s="25" t="inlineStr">
        <is>
          <t>Интеллект — это уникальное свойство сознания, которое позволяет адаптироваться к окружающему миру, преодолевать сложные проблемы и достигать жизненных целей.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ключевую роль в развитии которого играют непрерывное обучение и саморазвитие. Участие в онлайн-курсах, мастер-классах и образовательных семинарах позволяет осваивать новые знания и обновлять старые — развивать нейронные связи. Интеллектуальное развитие — величина непостоянная. Умственные способности можно и нужно развивать, причём в любом возрасте. Известно много случаев, когда даже глубокие старики сохраняли «здравый рассудок», потому что постоянно тренировали свой мозг. Хотите сохранить на долгие годы высокий интеллект, ясный ум и твёрдую память? Читайте книгу, и вы получите массу полезной информации, загадок и упражнений для развития внимания, памяти и логики.</t>
        </is>
      </c>
      <c r="S3798" s="26">
        <f>HYPERLINK("http://www.cnpol.ru/covers/21180.jpg","фото на сайте")</f>
        <v/>
      </c>
    </row>
    <row r="3799" ht="50.1" customHeight="1" s="3">
      <c r="A3799" s="23" t="n"/>
      <c r="B3799" s="24" t="inlineStr">
        <is>
          <t>20930</t>
        </is>
      </c>
      <c r="C3799" s="23" t="inlineStr">
        <is>
          <t>ОИ МЕД</t>
        </is>
      </c>
      <c r="D3799" s="23" t="inlineStr">
        <is>
          <t>Пигулевская И.С.</t>
        </is>
      </c>
      <c r="E3799" s="23" t="inlineStr">
        <is>
          <t>Самодиагностика. Контроль за состоянием своего здоровья. Самостоятельно читаем сигналы организма</t>
        </is>
      </c>
      <c r="F3799" s="23" t="inlineStr">
        <is>
          <t>        </t>
        </is>
      </c>
      <c r="G3799" s="23" t="n">
        <v>567</v>
      </c>
      <c r="H3799" s="23" t="n">
        <v>10</v>
      </c>
      <c r="I3799" s="23" t="n">
        <v>18</v>
      </c>
      <c r="J3799" s="23" t="inlineStr">
        <is>
          <t>978-5-227-10490-8</t>
        </is>
      </c>
      <c r="K3799" s="23" t="inlineStr">
        <is>
          <t>84x108 1/32</t>
        </is>
      </c>
      <c r="L3799" s="23" t="inlineStr">
        <is>
          <t>тв</t>
        </is>
      </c>
      <c r="M3799" s="23" t="n">
        <v>286</v>
      </c>
      <c r="N3799" s="23" t="n">
        <v>2023</v>
      </c>
      <c r="O3799" s="23" t="n">
        <v>260</v>
      </c>
      <c r="P3799" s="23" t="n"/>
      <c r="Q3799" s="23" t="n"/>
      <c r="R3799" s="25" t="inlineStr">
        <is>
          <t>Каждый из нас хочет быть здоровым. А для этого не нужно запускать болезни, необходимо ловить их в зачаточном состоянии и сразу принимать соответствующие меры… Легко сказать, но трудно сделать, ведь иногда мы не обращаем внимания на признаки нездоровья, которые транслирует наш организм, и обращаемся к врачу, когда драгоценное время упущено. Пожалуйста! Будьте внимательны к малейшим изменениям своего состояния, знайте, что многие недуги можно распознать по незначительным признакам, нужно только уметь читать тихие сигналы SOS, посылаемые телом задолго до беды. Мы расскажем, как по состоянию ногтей узнать о неполадках в здоровье; какие знаки подают волосы, ведь проблемы с ними не просто косметический недостаток. О чём расскажет запах тела? Попахивает ацетоном? Срочно меряйте сахар! Вы регулярно моетесь, а кожа пахнет мочой? Проверьте почки! Многое может рассказать ваш язык, и не в прямом смысле — наболтать, а своим внешним видом: тёмно-красный налёт — интоксикация, синюшный цвет — проблемы с лёгкими и сердцем, бледный — истощение, серый налёт — ищите паразитов… Просто кладезем информации о вашем здоровье станет цвет белков глаз, количество и запах пота, чистота и частота дыхания и много, много других посылов тела. Отдельно расскажем, как прочитать свои анализы, каковы нормы показателей крови, мочи, гормонов, и дадим ещё кучу полезной информации, которая поможет вам быть здоровым.</t>
        </is>
      </c>
      <c r="S3799" s="26">
        <f>HYPERLINK("http://www.cnpol.ru/covers/20930.jpg","фото на сайте")</f>
        <v/>
      </c>
    </row>
    <row r="3800" ht="50.1" customHeight="1" s="3">
      <c r="A3800" s="23" t="n"/>
      <c r="B3800" s="24" t="inlineStr">
        <is>
          <t>14614</t>
        </is>
      </c>
      <c r="C3800" s="23" t="inlineStr">
        <is>
          <t>ОИ МЕД</t>
        </is>
      </c>
      <c r="D3800" s="23" t="inlineStr">
        <is>
          <t>Гиллинов М, Ниссен С</t>
        </is>
      </c>
      <c r="E3800" s="23" t="inlineStr">
        <is>
          <t>Сердце.Справочник кардиопациента</t>
        </is>
      </c>
      <c r="F3800" s="23" t="inlineStr">
        <is>
          <t>        </t>
        </is>
      </c>
      <c r="G3800" s="23" t="n">
        <v>927</v>
      </c>
      <c r="H3800" s="23" t="n">
        <v>10</v>
      </c>
      <c r="I3800" s="23" t="n">
        <v>10</v>
      </c>
      <c r="J3800" s="23" t="inlineStr">
        <is>
          <t>978-5-227-04640-6</t>
        </is>
      </c>
      <c r="K3800" s="23" t="inlineStr">
        <is>
          <t>60x90 1/16</t>
        </is>
      </c>
      <c r="L3800" s="23" t="inlineStr">
        <is>
          <t>тв</t>
        </is>
      </c>
      <c r="M3800" s="23" t="n">
        <v>559</v>
      </c>
      <c r="N3800" s="23" t="n">
        <v>2013</v>
      </c>
      <c r="O3800" s="23" t="n">
        <v>622</v>
      </c>
      <c r="P3800" s="23" t="n"/>
      <c r="Q3800" s="23" t="n"/>
      <c r="R3800" s="25" t="n"/>
      <c r="S3800" s="26">
        <f>HYPERLINK("http://www.cnpol.ru/covers/14614.jpg","фото на сайте")</f>
        <v/>
      </c>
    </row>
    <row r="3801" ht="50.1" customHeight="1" s="3">
      <c r="A3801" s="23" t="n"/>
      <c r="B3801" s="24" t="inlineStr">
        <is>
          <t>16811</t>
        </is>
      </c>
      <c r="C3801" s="23" t="inlineStr">
        <is>
          <t>ОИ МЕД</t>
        </is>
      </c>
      <c r="D3801" s="23" t="inlineStr">
        <is>
          <t>Гиллинов М, Ниссен С</t>
        </is>
      </c>
      <c r="E3801" s="23" t="inlineStr">
        <is>
          <t>Сердце.Справочник кардиопациента</t>
        </is>
      </c>
      <c r="F3801" s="23" t="inlineStr">
        <is>
          <t>        </t>
        </is>
      </c>
      <c r="G3801" s="27" t="n">
        <v>1098</v>
      </c>
      <c r="H3801" s="23" t="n">
        <v>10</v>
      </c>
      <c r="I3801" s="23" t="n">
        <v>10</v>
      </c>
      <c r="J3801" s="23" t="inlineStr">
        <is>
          <t>978-5-227-06845-3</t>
        </is>
      </c>
      <c r="K3801" s="23" t="inlineStr">
        <is>
          <t>60x90 1/16</t>
        </is>
      </c>
      <c r="L3801" s="23" t="inlineStr">
        <is>
          <t>тв</t>
        </is>
      </c>
      <c r="M3801" s="23" t="n">
        <v>560</v>
      </c>
      <c r="N3801" s="23" t="n">
        <v>2016</v>
      </c>
      <c r="O3801" s="23" t="n">
        <v>602</v>
      </c>
      <c r="P3801" s="23" t="n"/>
      <c r="Q3801" s="23" t="n"/>
      <c r="R3801" s="25" t="n"/>
      <c r="S3801" s="26">
        <f>HYPERLINK("http://www.cnpol.ru/covers/16811.jpg","фото на сайте")</f>
        <v/>
      </c>
    </row>
    <row r="3802" ht="50.1" customHeight="1" s="3">
      <c r="A3802" s="23" t="inlineStr">
        <is>
          <t>Н</t>
        </is>
      </c>
      <c r="B3802" s="24" t="inlineStr">
        <is>
          <t>22235</t>
        </is>
      </c>
      <c r="C3802" s="23" t="inlineStr">
        <is>
          <t>ОИ МЕД</t>
        </is>
      </c>
      <c r="D3802" s="23" t="inlineStr">
        <is>
          <t>Климов М.</t>
        </is>
      </c>
      <c r="E3802" s="23" t="inlineStr">
        <is>
          <t>Советский супертренажёр для мозга. Эффективные упражнения от легендарных разведчиков для развития мышления, реакции и памяти</t>
        </is>
      </c>
      <c r="F3802" s="23" t="inlineStr">
        <is>
          <t>        </t>
        </is>
      </c>
      <c r="G3802" s="23" t="n">
        <v>467</v>
      </c>
      <c r="H3802" s="23" t="n">
        <v>10</v>
      </c>
      <c r="I3802" s="23" t="n">
        <v>16</v>
      </c>
      <c r="J3802" s="23" t="inlineStr">
        <is>
          <t>978-5-227-11326-9</t>
        </is>
      </c>
      <c r="K3802" s="23" t="inlineStr">
        <is>
          <t>84x108 1/32</t>
        </is>
      </c>
      <c r="L3802" s="23" t="inlineStr">
        <is>
          <t>тв</t>
        </is>
      </c>
      <c r="M3802" s="23" t="n">
        <v>221</v>
      </c>
      <c r="N3802" s="23" t="n">
        <v>2026</v>
      </c>
      <c r="O3802" s="23" t="n">
        <v>221</v>
      </c>
      <c r="P3802" s="23" t="n"/>
      <c r="Q3802" s="23" t="n"/>
      <c r="R3802" s="25" t="inlineStr">
        <is>
          <t>Всем хочется иметь интеллект, внимание и реакцию как у разведчиков. Ведь они имеют отличную память, аналитический склад ума, мгновенно принимают правильные решения, способны к продолжительной концентрации… Возможно ли это? Да! Ведь память и способность быстро мыслить можно развивать в любом возрасте.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ключевую роль в развитии которого играют непрерывное обучение и саморазвитие. Читайте книгу, и вы получите массу полезной информации для развития внимания, памяти и логики. Издание будет полезно всем членам вашей семьи от малышей до стариков: взрослым она поможет поддерживать мозг в отличном состоянии, а дети будут развиваться с помощью необычных, а значит, интересных для них тренировок. Вас ждут упражнения на устойчивость и концентрацию внимания, интеллектуальные игры, логические загадки, головоломки, приёмы нейробики, нейрогимнастика, советы по правильному питанию и приёму витаминов и микроэлеменов, дыхательная гимнастика для мозга, целебные мудры и даже способы борьбы с головной болью. Да, да! Ведь только ясная голова готова к учению.</t>
        </is>
      </c>
      <c r="S3802" s="26">
        <f>HYPERLINK("http://www.cnpol.ru/covers/22235.jpg","фото на сайте")</f>
        <v/>
      </c>
    </row>
    <row r="3803" ht="50.1" customHeight="1" s="3">
      <c r="A3803" s="23" t="n"/>
      <c r="B3803" s="24" t="inlineStr">
        <is>
          <t>17654</t>
        </is>
      </c>
      <c r="C3803" s="23" t="inlineStr">
        <is>
          <t>ОИ МЕД</t>
        </is>
      </c>
      <c r="D3803" s="23" t="inlineStr">
        <is>
          <t>Гилязитдинов М.К.</t>
        </is>
      </c>
      <c r="E3803" s="23" t="inlineStr">
        <is>
          <t>Советы от доктора Неболита. Практические советы для крепкого здоровья</t>
        </is>
      </c>
      <c r="F3803" s="23" t="inlineStr">
        <is>
          <t>        </t>
        </is>
      </c>
      <c r="G3803" s="23" t="n">
        <v>888</v>
      </c>
      <c r="H3803" s="23" t="n">
        <v>10</v>
      </c>
      <c r="I3803" s="23" t="n">
        <v>8</v>
      </c>
      <c r="J3803" s="23" t="inlineStr">
        <is>
          <t>978-5-227-07371-6</t>
        </is>
      </c>
      <c r="K3803" s="23" t="inlineStr">
        <is>
          <t>70х90 1/16</t>
        </is>
      </c>
      <c r="L3803" s="23" t="inlineStr">
        <is>
          <t>тв</t>
        </is>
      </c>
      <c r="M3803" s="23" t="n">
        <v>336</v>
      </c>
      <c r="N3803" s="23" t="n">
        <v>2017</v>
      </c>
      <c r="O3803" s="23" t="n">
        <v>508</v>
      </c>
      <c r="P3803" s="23" t="n"/>
      <c r="Q3803" s="23" t="n"/>
      <c r="R3803" s="25" t="n"/>
      <c r="S3803" s="26">
        <f>HYPERLINK("http://www.cnpol.ru/covers/17654.jpg","фото на сайте")</f>
        <v/>
      </c>
    </row>
    <row r="3804" ht="50.1" customHeight="1" s="3">
      <c r="A3804" s="23" t="inlineStr">
        <is>
          <t>Н</t>
        </is>
      </c>
      <c r="B3804" s="24" t="inlineStr">
        <is>
          <t>21502</t>
        </is>
      </c>
      <c r="C3804" s="23" t="inlineStr">
        <is>
          <t>ОИ МЕД</t>
        </is>
      </c>
      <c r="D3804" s="23" t="inlineStr">
        <is>
          <t>Пигулевская И.С.</t>
        </is>
      </c>
      <c r="E3804" s="23" t="inlineStr">
        <is>
          <t>Тренируем иммунитет. Гарантия вашего здоровья. Укрепляем естественную защиту организма</t>
        </is>
      </c>
      <c r="F3804" s="23" t="inlineStr">
        <is>
          <t>        </t>
        </is>
      </c>
      <c r="G3804" s="23" t="n">
        <v>567</v>
      </c>
      <c r="H3804" s="23" t="n">
        <v>10</v>
      </c>
      <c r="I3804" s="23" t="n">
        <v>16</v>
      </c>
      <c r="J3804" s="23" t="inlineStr">
        <is>
          <t>978-5-227-10981-1</t>
        </is>
      </c>
      <c r="K3804" s="23" t="inlineStr">
        <is>
          <t>84x108 1/32</t>
        </is>
      </c>
      <c r="L3804" s="23" t="inlineStr">
        <is>
          <t>тв</t>
        </is>
      </c>
      <c r="M3804" s="23" t="n">
        <v>254</v>
      </c>
      <c r="N3804" s="23" t="n">
        <v>2025</v>
      </c>
      <c r="O3804" s="23" t="n">
        <v>233</v>
      </c>
      <c r="P3804" s="23" t="n"/>
      <c r="Q3804" s="23" t="n"/>
      <c r="R3804" s="25" t="inlineStr">
        <is>
          <t>Не зная отдыха наш бессменный защитник — иммунитет стоит на страже здоровья. Поддержите его, это в ваших интересах! Используйте описанные в книге простые способы его укрепления, и вы будете молоды и здоровы долгие годы. Разработана масса лекарств для повышения иммунитета, но тут палка о двух концах: многие из них имеют побочные действия и далеко не всем подходят. Так что же делать? Ответ прост: обратитесь к незаслуженно забытым, проверенным веками народным способам укрепления защитных сил организма. Наши предки не имели понятия, что такое иммунитет, но тем не менее они знали самые действенные рецепты для сохранения богатырского здоровья. Многие из них собраны в нашей книге. Здесь вы найдете рецепты целебных отваров и настоев из лекарственных трав и известных всем овощей и фруктов. Лечение с помощью меда и продуктов пчеловодства, главу о пользе русской бани и снежных ванн. Также вы узнаете, как правильно питаться и закаливаться, чтобы не одна хворь не взяла. Отдельная глава посвящена укреплению иммунитета детей с помощью нелекарственных методов.</t>
        </is>
      </c>
      <c r="S3804" s="26">
        <f>HYPERLINK("http://www.cnpol.ru/covers/21502.jpg","фото на сайте")</f>
        <v/>
      </c>
    </row>
    <row r="3805" ht="50.1" customHeight="1" s="3">
      <c r="A3805" s="23" t="n"/>
      <c r="B3805" s="24" t="inlineStr">
        <is>
          <t>19631</t>
        </is>
      </c>
      <c r="C3805" s="23" t="inlineStr">
        <is>
          <t>ОИ МЕД</t>
        </is>
      </c>
      <c r="D3805" s="23" t="inlineStr">
        <is>
          <t>Пигулевская И.С.</t>
        </is>
      </c>
      <c r="E3805" s="23" t="inlineStr">
        <is>
          <t>Тренируем мозг и память. Здоровое питание, правильное дыхание, физические упражнения, народные рецепты, фитотерапия</t>
        </is>
      </c>
      <c r="F3805" s="23" t="inlineStr">
        <is>
          <t>        </t>
        </is>
      </c>
      <c r="G3805" s="23" t="n">
        <v>593</v>
      </c>
      <c r="H3805" s="23" t="n">
        <v>10</v>
      </c>
      <c r="I3805" s="23" t="n">
        <v>12</v>
      </c>
      <c r="J3805" s="23" t="inlineStr">
        <is>
          <t>978-5-227-09462-9</t>
        </is>
      </c>
      <c r="K3805" s="23" t="inlineStr">
        <is>
          <t>84x108 1/32</t>
        </is>
      </c>
      <c r="L3805" s="23" t="inlineStr">
        <is>
          <t>тв</t>
        </is>
      </c>
      <c r="M3805" s="23" t="n">
        <v>352</v>
      </c>
      <c r="N3805" s="23" t="n">
        <v>2021</v>
      </c>
      <c r="O3805" s="23" t="n">
        <v>284</v>
      </c>
      <c r="P3805" s="23" t="n"/>
      <c r="Q3805" s="23" t="n"/>
      <c r="R3805" s="25" t="n"/>
      <c r="S3805" s="26">
        <f>HYPERLINK("http://www.cnpol.ru/covers/19631.jpg","фото на сайте")</f>
        <v/>
      </c>
    </row>
    <row r="3806" ht="50.1" customHeight="1" s="3">
      <c r="A3806" s="23" t="inlineStr">
        <is>
          <t>Н</t>
        </is>
      </c>
      <c r="B3806" s="24" t="inlineStr">
        <is>
          <t>21134</t>
        </is>
      </c>
      <c r="C3806" s="23" t="inlineStr">
        <is>
          <t>ОИ МЕД</t>
        </is>
      </c>
      <c r="D3806" s="23" t="inlineStr">
        <is>
          <t>Пигулевская И.С.</t>
        </is>
      </c>
      <c r="E3806" s="23" t="inlineStr">
        <is>
          <t>Умная книга для развития мозга. Плохая память не приговор! Простые упражнения для «прокачки» мозга. Эффективные способы улучшения мышления и интеллекта</t>
        </is>
      </c>
      <c r="F3806" s="23" t="inlineStr">
        <is>
          <t>        </t>
        </is>
      </c>
      <c r="G3806" s="23" t="n">
        <v>567</v>
      </c>
      <c r="H3806" s="23" t="n">
        <v>10</v>
      </c>
      <c r="I3806" s="23" t="n">
        <v>20</v>
      </c>
      <c r="J3806" s="23" t="inlineStr">
        <is>
          <t>978-5-227-10707-7</t>
        </is>
      </c>
      <c r="K3806" s="23" t="inlineStr">
        <is>
          <t>84x108 1/32</t>
        </is>
      </c>
      <c r="L3806" s="23" t="inlineStr">
        <is>
          <t>тв</t>
        </is>
      </c>
      <c r="M3806" s="23" t="n">
        <v>255</v>
      </c>
      <c r="N3806" s="23" t="n">
        <v>2024</v>
      </c>
      <c r="O3806" s="23" t="n">
        <v>282</v>
      </c>
      <c r="P3806" s="23" t="n"/>
      <c r="Q3806" s="23" t="n"/>
      <c r="R3806" s="25" t="inlineStr">
        <is>
          <t>Наш мозг способен работать намного эффективнее, чем мы можем себе представить. Благодаря скрытым возможностям разума мы совершаем открытия, добиваемся поставленных целей, воплощаем самые заветные мечты.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Хотите сохранить на долгие годы ясный ум и твёрдую память? Читайте книгу! Из неё вы узнаете, какие отделы мозга связаны с памятью, какие нарушения памяти выделяют, как можно укрепить и тренировать память. Также автор рассказывает, какие лекарственные травы и упражнения помогут. Вы получите информацию, какие заболевания снижают умственные способности, ведь гипертония и сахарный диабет нарушают обмен веществ и ухудшают работу мозга! Вы прочтёте, почему происходят нарушения мозговой деятельности, что можно и нужно сделать для профилактики нарушений памяти, получите список полезных и вредных для мозга продуктов и множество рецептов блюд и напитков, которые взбодрят ваш разум.</t>
        </is>
      </c>
      <c r="S3806" s="26">
        <f>HYPERLINK("http://www.cnpol.ru/covers/21134.jpg","фото на сайте")</f>
        <v/>
      </c>
    </row>
    <row r="3807" ht="50.1" customHeight="1" s="3">
      <c r="A3807" s="23" t="n"/>
      <c r="B3807" s="24" t="inlineStr">
        <is>
          <t>15794</t>
        </is>
      </c>
      <c r="C3807" s="23" t="inlineStr">
        <is>
          <t>ОИ МЕД</t>
        </is>
      </c>
      <c r="D3807" s="23" t="inlineStr">
        <is>
          <t>Лонг Д.</t>
        </is>
      </c>
      <c r="E3807" s="23" t="inlineStr">
        <is>
          <t>Утки тоже делают "это". Путешествие во времени к истокам сексуальности</t>
        </is>
      </c>
      <c r="F3807" s="23" t="inlineStr">
        <is>
          <t>        </t>
        </is>
      </c>
      <c r="G3807" s="23" t="n">
        <v>486</v>
      </c>
      <c r="H3807" s="23" t="n">
        <v>10</v>
      </c>
      <c r="I3807" s="23" t="n">
        <v>20</v>
      </c>
      <c r="J3807" s="23" t="inlineStr">
        <is>
          <t>978-5-227-05806-5</t>
        </is>
      </c>
      <c r="K3807" s="23" t="inlineStr">
        <is>
          <t>80x100 1/32</t>
        </is>
      </c>
      <c r="L3807" s="23" t="inlineStr">
        <is>
          <t>тв</t>
        </is>
      </c>
      <c r="M3807" s="23" t="n">
        <v>223</v>
      </c>
      <c r="N3807" s="23" t="n">
        <v>2015</v>
      </c>
      <c r="O3807" s="23" t="n">
        <v>208</v>
      </c>
      <c r="P3807" s="23" t="n"/>
      <c r="Q3807" s="23" t="n"/>
      <c r="R3807" s="25" t="n"/>
      <c r="S3807" s="26">
        <f>HYPERLINK("http://www.cnpol.ru/covers/15794.jpg","фото на сайте")</f>
        <v/>
      </c>
    </row>
    <row r="3808" ht="50.1" customHeight="1" s="3">
      <c r="A3808" s="23" t="n"/>
      <c r="B3808" s="24" t="inlineStr">
        <is>
          <t>18980</t>
        </is>
      </c>
      <c r="C3808" s="23" t="inlineStr">
        <is>
          <t>ОИ МЕД</t>
        </is>
      </c>
      <c r="D3808" s="23" t="inlineStr">
        <is>
          <t>Корсун В.Ф. и др.</t>
        </is>
      </c>
      <c r="E3808" s="23" t="inlineStr">
        <is>
          <t>Фитотерапия при заболеваниях печени. Травы жизни</t>
        </is>
      </c>
      <c r="F3808" s="23" t="inlineStr">
        <is>
          <t>        </t>
        </is>
      </c>
      <c r="G3808" s="23" t="n">
        <v>284</v>
      </c>
      <c r="H3808" s="23" t="n">
        <v>10</v>
      </c>
      <c r="I3808" s="23" t="n">
        <v>12</v>
      </c>
      <c r="J3808" s="23" t="inlineStr">
        <is>
          <t>978-5-227-08637-2</t>
        </is>
      </c>
      <c r="K3808" s="23" t="inlineStr">
        <is>
          <t>84x108 1/32 (обл)</t>
        </is>
      </c>
      <c r="L3808" s="23" t="inlineStr">
        <is>
          <t>мяг</t>
        </is>
      </c>
      <c r="M3808" s="23" t="n">
        <v>384</v>
      </c>
      <c r="N3808" s="23" t="n">
        <v>2019</v>
      </c>
      <c r="O3808" s="23" t="n">
        <v>230</v>
      </c>
      <c r="P3808" s="23" t="n"/>
      <c r="Q3808" s="23" t="n"/>
      <c r="R3808" s="25" t="n"/>
      <c r="S3808" s="26">
        <f>HYPERLINK("http://www.cnpol.ru/covers/18980.jpg","фото на сайте")</f>
        <v/>
      </c>
    </row>
    <row r="3809" ht="50.1" customHeight="1" s="3">
      <c r="A3809" s="23" t="n"/>
      <c r="B3809" s="24" t="inlineStr">
        <is>
          <t>19283</t>
        </is>
      </c>
      <c r="C3809" s="23" t="inlineStr">
        <is>
          <t>ОИ МЕД</t>
        </is>
      </c>
      <c r="D3809" s="23" t="inlineStr">
        <is>
          <t>Корсун В.Ф. и др.</t>
        </is>
      </c>
      <c r="E3809" s="23" t="inlineStr">
        <is>
          <t>Фитотерапия при заболеваниях сердца. Травы жизни</t>
        </is>
      </c>
      <c r="F3809" s="23" t="inlineStr">
        <is>
          <t>        </t>
        </is>
      </c>
      <c r="G3809" s="23" t="n">
        <v>284</v>
      </c>
      <c r="H3809" s="23" t="n">
        <v>10</v>
      </c>
      <c r="I3809" s="23" t="n">
        <v>12</v>
      </c>
      <c r="J3809" s="23" t="inlineStr">
        <is>
          <t>978-5-227-09185-7</t>
        </is>
      </c>
      <c r="K3809" s="23" t="inlineStr">
        <is>
          <t>84x108 1/32 (обл)</t>
        </is>
      </c>
      <c r="L3809" s="23" t="inlineStr">
        <is>
          <t>мяг</t>
        </is>
      </c>
      <c r="M3809" s="23" t="n">
        <v>384</v>
      </c>
      <c r="N3809" s="23" t="n">
        <v>2020</v>
      </c>
      <c r="O3809" s="23" t="n">
        <v>226</v>
      </c>
      <c r="P3809" s="23" t="n"/>
      <c r="Q3809" s="23" t="n"/>
      <c r="R3809" s="25" t="n"/>
      <c r="S3809" s="26">
        <f>HYPERLINK("http://www.cnpol.ru/covers/19283.jpg","фото на сайте")</f>
        <v/>
      </c>
    </row>
    <row r="3810" ht="50.1" customHeight="1" s="3">
      <c r="A3810" s="23" t="n"/>
      <c r="B3810" s="24" t="inlineStr">
        <is>
          <t>18149</t>
        </is>
      </c>
      <c r="C3810" s="23" t="inlineStr">
        <is>
          <t>ОИ МЕД</t>
        </is>
      </c>
      <c r="D3810" s="23" t="inlineStr">
        <is>
          <t>Корсун В.Ф. и др.</t>
        </is>
      </c>
      <c r="E3810" s="23" t="inlineStr">
        <is>
          <t>Фитотерапия против рака. Книга надежды</t>
        </is>
      </c>
      <c r="F3810" s="23" t="inlineStr">
        <is>
          <t>        </t>
        </is>
      </c>
      <c r="G3810" s="23" t="n">
        <v>284</v>
      </c>
      <c r="H3810" s="23" t="n">
        <v>10</v>
      </c>
      <c r="I3810" s="23" t="n">
        <v>10</v>
      </c>
      <c r="J3810" s="23" t="inlineStr">
        <is>
          <t>978-5-227-08173-5</t>
        </is>
      </c>
      <c r="K3810" s="23" t="inlineStr">
        <is>
          <t>84x108 1/32 (обл)</t>
        </is>
      </c>
      <c r="L3810" s="23" t="inlineStr">
        <is>
          <t>мяг</t>
        </is>
      </c>
      <c r="M3810" s="23" t="n">
        <v>320</v>
      </c>
      <c r="N3810" s="23" t="n">
        <v>2018</v>
      </c>
      <c r="O3810" s="23" t="n">
        <v>194</v>
      </c>
      <c r="P3810" s="23" t="n"/>
      <c r="Q3810" s="23" t="n"/>
      <c r="R3810" s="25" t="n"/>
      <c r="S3810" s="26">
        <f>HYPERLINK("http://www.cnpol.ru/covers/18149.jpg","фото на сайте")</f>
        <v/>
      </c>
    </row>
    <row r="3811" ht="50.1" customHeight="1" s="3">
      <c r="A3811" s="23" t="n"/>
      <c r="B3811" s="24" t="inlineStr">
        <is>
          <t>18945</t>
        </is>
      </c>
      <c r="C3811" s="23" t="inlineStr">
        <is>
          <t>ОИ МЕД</t>
        </is>
      </c>
      <c r="D3811" s="23" t="inlineStr">
        <is>
          <t>Лаврова Р.</t>
        </is>
      </c>
      <c r="E3811" s="23" t="inlineStr">
        <is>
          <t>Целебная сила эфирных масел для красоты и здоровья</t>
        </is>
      </c>
      <c r="F3811" s="23" t="inlineStr">
        <is>
          <t>        </t>
        </is>
      </c>
      <c r="G3811" s="23" t="n">
        <v>248</v>
      </c>
      <c r="H3811" s="23" t="n">
        <v>10</v>
      </c>
      <c r="I3811" s="23" t="n">
        <v>18</v>
      </c>
      <c r="J3811" s="23" t="inlineStr">
        <is>
          <t>978-5-227-08849-9</t>
        </is>
      </c>
      <c r="K3811" s="23" t="inlineStr">
        <is>
          <t>84x108 1/32 (обл)</t>
        </is>
      </c>
      <c r="L3811" s="23" t="inlineStr">
        <is>
          <t>мяг</t>
        </is>
      </c>
      <c r="M3811" s="23" t="n">
        <v>388</v>
      </c>
      <c r="N3811" s="23" t="n">
        <v>2019</v>
      </c>
      <c r="O3811" s="23" t="n">
        <v>264</v>
      </c>
      <c r="P3811" s="23" t="n"/>
      <c r="Q3811" s="23" t="n"/>
      <c r="R3811" s="25" t="n"/>
      <c r="S3811" s="26">
        <f>HYPERLINK("http://www.cnpol.ru/covers/18945.jpg","фото на сайте")</f>
        <v/>
      </c>
    </row>
    <row r="3812" ht="50.1" customHeight="1" s="3">
      <c r="A3812" s="23" t="inlineStr">
        <is>
          <t>Д</t>
        </is>
      </c>
      <c r="B3812" s="24" t="inlineStr">
        <is>
          <t>21708</t>
        </is>
      </c>
      <c r="C3812" s="23" t="inlineStr">
        <is>
          <t>ОИ МЕД</t>
        </is>
      </c>
      <c r="D3812" s="23" t="inlineStr">
        <is>
          <t>Бадмаев П.</t>
        </is>
      </c>
      <c r="E3812" s="23" t="inlineStr">
        <is>
          <t>Чжуд-ши. Главное руководство по врачебной науке Тибета</t>
        </is>
      </c>
      <c r="F3812" s="23" t="inlineStr">
        <is>
          <t>        </t>
        </is>
      </c>
      <c r="G3812" s="23" t="n">
        <v>274</v>
      </c>
      <c r="H3812" s="23" t="n">
        <v>10</v>
      </c>
      <c r="I3812" s="23" t="n">
        <v>9</v>
      </c>
      <c r="J3812" s="23" t="inlineStr">
        <is>
          <t>978-5-227-11073-2</t>
        </is>
      </c>
      <c r="K3812" s="23" t="inlineStr">
        <is>
          <t>84x108 1/32 (обл)</t>
        </is>
      </c>
      <c r="L3812" s="23" t="inlineStr">
        <is>
          <t>мяг</t>
        </is>
      </c>
      <c r="M3812" s="23" t="n">
        <v>319</v>
      </c>
      <c r="N3812" s="23" t="n">
        <v>2025</v>
      </c>
      <c r="O3812" s="23" t="n">
        <v>197</v>
      </c>
      <c r="P3812" s="23" t="n"/>
      <c r="Q3812" s="23" t="n"/>
      <c r="R3812" s="25" t="inlineStr">
        <is>
          <t>Тибетская медицина – это нечто малодоступное нашему пониманию, нечто таинственное, но, безусловно, вызывающее доверие. Врачебная наука, названная ее создателями – тибетскими ламами – чжуд-ши, что означает «четыре основы», несет собой практическую ценность и сегодня, несмотря на примитивные по современным меркам средства и способы лечения: травами, минералами, очищенной водой. Чжуд-ши трудами и мудростью создавали целители в монастырях, отгороженных от остального мира. Расшифровал, адаптировал и сделал чжуд-ши достоянием врачебной науки Петр Александрович Бадмаев – человек незаурядный и, без преувеличения сказать, легендарный.</t>
        </is>
      </c>
      <c r="S3812" s="26">
        <f>HYPERLINK("http://www.cnpol.ru/covers/21708.jpg","фото на сайте")</f>
        <v/>
      </c>
    </row>
    <row r="3813" ht="50.1" customHeight="1" s="3">
      <c r="A3813" s="23" t="inlineStr">
        <is>
          <t>Н</t>
        </is>
      </c>
      <c r="B3813" s="24" t="inlineStr">
        <is>
          <t>21467</t>
        </is>
      </c>
      <c r="C3813" s="23" t="inlineStr">
        <is>
          <t>ОИ МЕД</t>
        </is>
      </c>
      <c r="D3813" s="23" t="inlineStr">
        <is>
          <t>Пигулевская И.С.</t>
        </is>
      </c>
      <c r="E3813" s="23" t="inlineStr">
        <is>
          <t>Читаем язык тела, или слушаем глазами. О чем говорят позы, мимика, жесты. Учимся понимать взрослых и малышей</t>
        </is>
      </c>
      <c r="F3813" s="23" t="inlineStr">
        <is>
          <t>        </t>
        </is>
      </c>
      <c r="G3813" s="23" t="n">
        <v>452</v>
      </c>
      <c r="H3813" s="23" t="n">
        <v>10</v>
      </c>
      <c r="I3813" s="23" t="n">
        <v>20</v>
      </c>
      <c r="J3813" s="23" t="inlineStr">
        <is>
          <t>978-5-227-10833-3</t>
        </is>
      </c>
      <c r="K3813" s="23" t="inlineStr">
        <is>
          <t>84x108 1/32</t>
        </is>
      </c>
      <c r="L3813" s="23" t="inlineStr">
        <is>
          <t>тв</t>
        </is>
      </c>
      <c r="M3813" s="23" t="n">
        <v>191</v>
      </c>
      <c r="N3813" s="23" t="n">
        <v>2025</v>
      </c>
      <c r="O3813" s="23" t="n">
        <v>199</v>
      </c>
      <c r="P3813" s="23" t="n"/>
      <c r="Q3813" s="23" t="n"/>
      <c r="R3813" s="25" t="inlineStr">
        <is>
          <t>За счёт мимики, жестов и прочих невербальных сигналов мы получаем около 80% информации. Умение читать язык тела особенно ценно для представителей определённых профессий: психологов, педагогов, бизнесменов, политиков. Язык тела — это особый способ коммуникации. Основные его элементы: жесты, мимика, позы и осанка. Язык тела помогает выражать эмоции и настроение без использования слов. Вы легко сможете понять, как к вам относится собеседник, говорит ли он правду, комфортно ли вашему ребёнку…_x000D_
Обладателю знаний языка телодвижений открываются невероятные возможности. Это можно сравнить с магией или волшебством. В жизни очень важно понимать людей. Например, обладателю знаний языка телодвижений легче устроиться на работу, выгоднее что-то продать или купить, легче выиграть в споре или начать отношения._x000D_
Наша книга ознакомит вас с основными элементами языка тела взрослых и детей. Надеемся, что эти знания помогут сосуществовать в современном мире.</t>
        </is>
      </c>
      <c r="S3813" s="26">
        <f>HYPERLINK("http://www.cnpol.ru/covers/21467.jpg","фото на сайте")</f>
        <v/>
      </c>
    </row>
    <row r="3814" ht="50.1" customHeight="1" s="3">
      <c r="A3814" s="23" t="n"/>
      <c r="B3814" s="24" t="inlineStr">
        <is>
          <t>16779</t>
        </is>
      </c>
      <c r="C3814" s="23" t="inlineStr">
        <is>
          <t>ОИ МЕД</t>
        </is>
      </c>
      <c r="D3814" s="23" t="inlineStr">
        <is>
          <t>Михайлова Л.И.</t>
        </is>
      </c>
      <c r="E3814" s="23" t="inlineStr">
        <is>
          <t>Энциклопедия народной медицины</t>
        </is>
      </c>
      <c r="F3814" s="23" t="inlineStr">
        <is>
          <t>        </t>
        </is>
      </c>
      <c r="G3814" s="23" t="n">
        <v>781</v>
      </c>
      <c r="H3814" s="23" t="n">
        <v>10</v>
      </c>
      <c r="I3814" s="23" t="n">
        <v>5</v>
      </c>
      <c r="J3814" s="23" t="inlineStr">
        <is>
          <t>978-5-227-06673-2</t>
        </is>
      </c>
      <c r="K3814" s="23" t="inlineStr">
        <is>
          <t>84x108 1/16</t>
        </is>
      </c>
      <c r="L3814" s="23" t="inlineStr">
        <is>
          <t>тв</t>
        </is>
      </c>
      <c r="M3814" s="23" t="n">
        <v>368</v>
      </c>
      <c r="N3814" s="23" t="n">
        <v>2016</v>
      </c>
      <c r="O3814" s="23" t="n">
        <v>614</v>
      </c>
      <c r="P3814" s="23" t="n"/>
      <c r="Q3814" s="23" t="n"/>
      <c r="R3814" s="25" t="n"/>
      <c r="S3814" s="26">
        <f>HYPERLINK("http://www.cnpol.ru/covers/16779.jpg","фото на сайте")</f>
        <v/>
      </c>
    </row>
    <row r="3815" ht="50.1" customHeight="1" s="3">
      <c r="A3815" s="23" t="n"/>
      <c r="B3815" s="24" t="inlineStr">
        <is>
          <t>20961</t>
        </is>
      </c>
      <c r="C3815" s="23" t="inlineStr">
        <is>
          <t>ОИ МИФ</t>
        </is>
      </c>
      <c r="D3815" s="23" t="inlineStr">
        <is>
          <t>Тренчени-Вальдапфель И.</t>
        </is>
      </c>
      <c r="E3815" s="23" t="inlineStr">
        <is>
          <t>Мифология. Фантастические истории о сотворении мира, деяниях богов и героев</t>
        </is>
      </c>
      <c r="F3815" s="23" t="inlineStr">
        <is>
          <t>        </t>
        </is>
      </c>
      <c r="G3815" s="27" t="n">
        <v>1326</v>
      </c>
      <c r="H3815" s="23" t="n">
        <v>10</v>
      </c>
      <c r="I3815" s="23" t="n">
        <v>8</v>
      </c>
      <c r="J3815" s="23" t="inlineStr">
        <is>
          <t>978-5-9524-6024-9</t>
        </is>
      </c>
      <c r="K3815" s="23" t="inlineStr">
        <is>
          <t>84x108 1/32</t>
        </is>
      </c>
      <c r="L3815" s="23" t="inlineStr">
        <is>
          <t>тв</t>
        </is>
      </c>
      <c r="M3815" s="23" t="n">
        <v>511</v>
      </c>
      <c r="N3815" s="23" t="n">
        <v>2024</v>
      </c>
      <c r="O3815" s="23" t="n">
        <v>585</v>
      </c>
      <c r="P3815" s="23" t="n"/>
      <c r="Q3815" s="23" t="n"/>
      <c r="R3815" s="25" t="inlineStr">
        <is>
          <t>Вы совершите увлекательную прогулку по Невскому проспекту и узнаете о многих тайнах, былях и небылицах главной улицы Санкт-Петербурга. Путешествие начинается от Александро-Невской лавры и заканчивается у Адмиралтейства. Книга поможет вам с пользой провести время и открыть для себя много нового о жизни Северной столицы.</t>
        </is>
      </c>
      <c r="S3815" s="26">
        <f>HYPERLINK("http://www.cnpol.ru/covers/20961.jpg","фото на сайте")</f>
        <v/>
      </c>
    </row>
    <row r="3816" ht="50.1" customHeight="1" s="3">
      <c r="A3816" s="23" t="n"/>
      <c r="B3816" s="24" t="inlineStr">
        <is>
          <t>13383</t>
        </is>
      </c>
      <c r="C3816" s="23" t="inlineStr">
        <is>
          <t>ОИ НИ</t>
        </is>
      </c>
      <c r="D3816" s="23" t="inlineStr">
        <is>
          <t>Чуприн К.В.</t>
        </is>
      </c>
      <c r="E3816" s="23" t="inlineStr">
        <is>
          <t>Последняя крепость Сталина. Военные секреты Северной Кореи</t>
        </is>
      </c>
      <c r="F3816" s="23" t="inlineStr">
        <is>
          <t>        </t>
        </is>
      </c>
      <c r="G3816" s="23" t="n">
        <v>428</v>
      </c>
      <c r="H3816" s="23" t="n">
        <v>10</v>
      </c>
      <c r="I3816" s="23" t="n">
        <v>10</v>
      </c>
      <c r="J3816" s="23" t="inlineStr">
        <is>
          <t>978-5-227-03421-2</t>
        </is>
      </c>
      <c r="K3816" s="23" t="inlineStr">
        <is>
          <t>84x108 1/32</t>
        </is>
      </c>
      <c r="L3816" s="23" t="inlineStr">
        <is>
          <t>тв</t>
        </is>
      </c>
      <c r="M3816" s="23" t="n">
        <v>443</v>
      </c>
      <c r="N3816" s="23" t="n">
        <v>2012</v>
      </c>
      <c r="O3816" s="23" t="n">
        <v>332</v>
      </c>
      <c r="P3816" s="23" t="n"/>
      <c r="Q3816" s="23" t="n"/>
      <c r="R3816" s="25" t="n"/>
      <c r="S3816" s="26">
        <f>HYPERLINK("http://www.cnpol.ru/covers/13383.jpg","фото на сайте")</f>
        <v/>
      </c>
    </row>
    <row r="3817" ht="50.1" customHeight="1" s="3">
      <c r="A3817" s="23" t="inlineStr">
        <is>
          <t>Н</t>
        </is>
      </c>
      <c r="B3817" s="24" t="inlineStr">
        <is>
          <t>21700</t>
        </is>
      </c>
      <c r="C3817" s="23" t="inlineStr">
        <is>
          <t>ОИ НПЛ</t>
        </is>
      </c>
      <c r="D3817" s="23" t="inlineStr">
        <is>
          <t>Белл Эрик Т.</t>
        </is>
      </c>
      <c r="E3817" s="23" t="inlineStr">
        <is>
          <t>Магия чисел. Нумерология Пифагора с древности до наших дней</t>
        </is>
      </c>
      <c r="F3817" s="23" t="inlineStr">
        <is>
          <t>        </t>
        </is>
      </c>
      <c r="G3817" s="27" t="n">
        <v>1110</v>
      </c>
      <c r="H3817" s="23" t="n">
        <v>10</v>
      </c>
      <c r="I3817" s="23" t="n">
        <v>5</v>
      </c>
      <c r="J3817" s="23" t="inlineStr">
        <is>
          <t>978-5-9524-5815-4</t>
        </is>
      </c>
      <c r="K3817" s="23" t="inlineStr">
        <is>
          <t>84x108 1/32</t>
        </is>
      </c>
      <c r="L3817" s="23" t="inlineStr">
        <is>
          <t>тв</t>
        </is>
      </c>
      <c r="M3817" s="23" t="n">
        <v>383</v>
      </c>
      <c r="N3817" s="23" t="n">
        <v>2022</v>
      </c>
      <c r="O3817" s="23" t="n">
        <v>300</v>
      </c>
      <c r="P3817" s="23" t="n"/>
      <c r="Q3817" s="23" t="n"/>
      <c r="R3817" s="25" t="inlineStr">
        <is>
          <t>Американский математик, исследователь в области теории чисел Эрик Т. Белл посвятил свою книгу истории происхождения математической мысли и разработки численной теории с момента ее зарождения в древности до современной эпохи. Обоснованно и убедительно автор демонстрирует влияние, которое оказала «магия чисел» на развитие религии, философии, науки и математики. Э.Т. Белл рассматривает процесс превращения числа из инструмента счета в объект культуры, сформировавшийся в VI веке до н. э. в школе древнегреческого философа, мистика, физика-экспериментатора и математика Пифагора — главного героя его исследования. Основополагающим моментом учения великого ученого древности стала доктрина о том, что «все сущее есть число». Доктор Белл изучил развитие этой доктрины: ее упадок в XVII веке и блистательное возрождение в современной физике. Автор также представил и проанализировал труды таких гигантов математики, как Галилей, Джордано Бруно, Ньютон.</t>
        </is>
      </c>
      <c r="S3817" s="26">
        <f>HYPERLINK("http://www.cnpol.ru/covers/21700.jpg","фото на сайте")</f>
        <v/>
      </c>
    </row>
    <row r="3818" ht="50.1" customHeight="1" s="3">
      <c r="A3818" s="23" t="n"/>
      <c r="B3818" s="24" t="inlineStr">
        <is>
          <t>16879</t>
        </is>
      </c>
      <c r="C3818" s="23" t="inlineStr">
        <is>
          <t>ОИ ПРОЗА</t>
        </is>
      </c>
      <c r="D3818" s="23" t="inlineStr">
        <is>
          <t>Прилепин З.</t>
        </is>
      </c>
      <c r="E3818" s="23" t="inlineStr">
        <is>
          <t>"Лимонка" в тюрьму</t>
        </is>
      </c>
      <c r="F3818" s="23" t="inlineStr">
        <is>
          <t>        </t>
        </is>
      </c>
      <c r="G3818" s="23" t="n">
        <v>763</v>
      </c>
      <c r="H3818" s="23" t="n">
        <v>10</v>
      </c>
      <c r="I3818" s="23" t="n">
        <v>12</v>
      </c>
      <c r="J3818" s="23" t="inlineStr">
        <is>
          <t>978-5-227-06579-7</t>
        </is>
      </c>
      <c r="K3818" s="23" t="inlineStr">
        <is>
          <t>84x108 1/32</t>
        </is>
      </c>
      <c r="L3818" s="23" t="inlineStr">
        <is>
          <t>тв</t>
        </is>
      </c>
      <c r="M3818" s="23" t="n">
        <v>416</v>
      </c>
      <c r="N3818" s="23" t="n">
        <v>2016</v>
      </c>
      <c r="O3818" s="23" t="n">
        <v>436</v>
      </c>
      <c r="P3818" s="23" t="n"/>
      <c r="Q3818" s="23" t="n"/>
      <c r="R3818" s="25" t="inlineStr">
        <is>
          <t>Архипелаг ГУЛАГ возле вас, сегодня и сейчас. Он рядом — за кирпичной стеной на углу соседней улицы, на окраине вашего города или в недальнем поселке за высоким забором с колючкой. Это другой мир, который рядом с вами._x000D_
Мир, который рядом, — ад, который рядом..._x000D_
В сборник вошли произведения людей, которых воля случая или сознательный выбор бросили в Архипелаг ГУЛАГ XXI века. Камеры и автозаки, допросы, этапы, свидания и пытки. Чувства, мысли, стихи, проза, боль._x000D_
Не все авторы ещё на воле, всем авторам нет и сорока...</t>
        </is>
      </c>
      <c r="S3818" s="26">
        <f>HYPERLINK("http://www.cnpol.ru/covers/16879.jpg","фото на сайте")</f>
        <v/>
      </c>
    </row>
    <row r="3819" ht="50.1" customHeight="1" s="3">
      <c r="A3819" s="23" t="inlineStr">
        <is>
          <t>Н</t>
        </is>
      </c>
      <c r="B3819" s="24" t="inlineStr">
        <is>
          <t>22287</t>
        </is>
      </c>
      <c r="C3819" s="23" t="inlineStr">
        <is>
          <t>ОИ ПРОЗА</t>
        </is>
      </c>
      <c r="D3819" s="23" t="inlineStr">
        <is>
          <t>Шебаршин Л.В</t>
        </is>
      </c>
      <c r="E3819" s="23" t="inlineStr">
        <is>
          <t>«…И жизни мелочные сны». Волнующие мгновения из прошлого, реальные эпизоды агентурной работы за рубежом, размышления о временном и вечном</t>
        </is>
      </c>
      <c r="F3819" s="23" t="inlineStr">
        <is>
          <t>        </t>
        </is>
      </c>
      <c r="G3819" s="23" t="n">
        <v>835</v>
      </c>
      <c r="H3819" s="23" t="n">
        <v>10</v>
      </c>
      <c r="I3819" s="23" t="n">
        <v>10</v>
      </c>
      <c r="J3819" s="23" t="inlineStr">
        <is>
          <t>978-5-227-11336-8</t>
        </is>
      </c>
      <c r="K3819" s="23" t="inlineStr">
        <is>
          <t>84x108 1/32</t>
        </is>
      </c>
      <c r="L3819" s="23" t="inlineStr">
        <is>
          <t>тв</t>
        </is>
      </c>
      <c r="M3819" s="23" t="n">
        <v>223</v>
      </c>
      <c r="N3819" s="23" t="n">
        <v>2026</v>
      </c>
      <c r="O3819" s="23" t="n">
        <v>290</v>
      </c>
      <c r="P3819" s="23" t="n"/>
      <c r="Q3819" s="23" t="n"/>
      <c r="R3819" s="25" t="inlineStr">
        <is>
          <t>Прежде чем стать начальником Первого главного управления КГБ СССР, Леонид Владимирович Шебаршин прошел долгий путь от младшего лейтенанта до генерал-лейтенанта. Книга «…И жизни мелочные сны» автобиографична, и в лице старого Генерала — главного героя, не имеющего имени, — мы узнаем самого автора, который позволяет нам заглянуть во внутренний мир профессионального советского разведчика. Волнующие мгновенья из прошедшей жизни, реальные эпизоды агентурной работы за рубежом, переживания ветерана, волей судьбы расставшегося со службой, размышления о временном и вечном, печаль об ушедших временах и людях и придающая особый, еще не осознанный смысл нынешнему существованию Старика лохматая Ксю-Ша — мистическая гостья из прошлого, связывающая единой нитью кусочки былого и нынешнего, — ждут читателя на страницах книги.</t>
        </is>
      </c>
      <c r="S3819" s="26">
        <f>HYPERLINK("http://www.cnpol.ru/covers/22287.jpg","фото на сайте")</f>
        <v/>
      </c>
    </row>
    <row r="3820" ht="50.1" customHeight="1" s="3">
      <c r="A3820" s="23" t="inlineStr">
        <is>
          <t>Н</t>
        </is>
      </c>
      <c r="B3820" s="24" t="inlineStr">
        <is>
          <t>21001</t>
        </is>
      </c>
      <c r="C3820" s="23" t="inlineStr">
        <is>
          <t>ОИ ПРОЗА</t>
        </is>
      </c>
      <c r="D3820" s="23" t="inlineStr">
        <is>
          <t>Уоллес Л.</t>
        </is>
      </c>
      <c r="E3820" s="23" t="inlineStr">
        <is>
          <t>Бен­Гур</t>
        </is>
      </c>
      <c r="F3820" s="23" t="inlineStr">
        <is>
          <t>        </t>
        </is>
      </c>
      <c r="G3820" s="27" t="n">
        <v>1478</v>
      </c>
      <c r="H3820" s="23" t="n">
        <v>10</v>
      </c>
      <c r="I3820" s="23" t="n">
        <v>6</v>
      </c>
      <c r="J3820" s="23" t="inlineStr">
        <is>
          <t>978-5-227-10571-4</t>
        </is>
      </c>
      <c r="K3820" s="23" t="inlineStr">
        <is>
          <t>84x108 1/32</t>
        </is>
      </c>
      <c r="L3820" s="23" t="inlineStr">
        <is>
          <t>тв</t>
        </is>
      </c>
      <c r="M3820" s="23" t="n">
        <v>678</v>
      </c>
      <c r="N3820" s="23" t="n">
        <v>2024</v>
      </c>
      <c r="O3820" s="23" t="n">
        <v>673</v>
      </c>
      <c r="P3820" s="23" t="n"/>
      <c r="Q3820" s="23" t="n"/>
      <c r="R3820" s="25" t="inlineStr">
        <is>
          <t>Бен-Гур — потомок знатного иудейского рода — был предан другом-римлянином. Пройдя через горнило испытаний, юноша превратился в закаленного мужа, но сердце его осталось любящим и нежным. Бен-Гур уверовал в Христа и собрал легион, чтобы защищать Спасителя от Рима, но не ожидал князь, что сами иудеи будут кричать «Распни Его!».</t>
        </is>
      </c>
      <c r="S3820" s="26">
        <f>HYPERLINK("http://www.cnpol.ru/covers/21001.jpg","фото на сайте")</f>
        <v/>
      </c>
    </row>
    <row r="3821" ht="50.1" customHeight="1" s="3">
      <c r="A3821" s="23" t="n"/>
      <c r="B3821" s="24" t="inlineStr">
        <is>
          <t>18167</t>
        </is>
      </c>
      <c r="C3821" s="23" t="inlineStr">
        <is>
          <t>ОИ ПРОЗА</t>
        </is>
      </c>
      <c r="D3821" s="23" t="inlineStr">
        <is>
          <t>Дёмин М.</t>
        </is>
      </c>
      <c r="E3821" s="23" t="inlineStr">
        <is>
          <t>Блатной</t>
        </is>
      </c>
      <c r="F3821" s="23" t="inlineStr">
        <is>
          <t>        </t>
        </is>
      </c>
      <c r="G3821" s="23" t="n">
        <v>633</v>
      </c>
      <c r="H3821" s="23" t="n">
        <v>10</v>
      </c>
      <c r="I3821" s="23" t="n">
        <v>14</v>
      </c>
      <c r="J3821" s="23" t="inlineStr">
        <is>
          <t>978-5-227-07856-8</t>
        </is>
      </c>
      <c r="K3821" s="23" t="inlineStr">
        <is>
          <t>84x108 1/32</t>
        </is>
      </c>
      <c r="L3821" s="23" t="inlineStr">
        <is>
          <t>тв</t>
        </is>
      </c>
      <c r="M3821" s="23" t="n">
        <v>448</v>
      </c>
      <c r="N3821" s="23" t="n">
        <v>2018</v>
      </c>
      <c r="O3821" s="23" t="n">
        <v>420</v>
      </c>
      <c r="P3821" s="23" t="n"/>
      <c r="Q3821" s="23" t="n"/>
      <c r="R3821" s="25" t="inlineStr">
        <is>
          <t>Михаил Дёмин, настоящее имя Георгий Евгеньевич Трифонов (1926—1984), — русский писатель, сын крупного советского военачальника, двоюродный брат писателя Юрия Трифонова. В 1937 году потерял отца, бродяжничал, во время Второй мировой войны после двухлетнего тюремного заключения служил в армии; после войны в связи с угрозой повторного ареста скрывался в уголовном подполье. В 1947 году был арестован и осужден на шесть лет сибирских лагерей с последующей трехлетней ссылкой. После освобождения начал печататься сначала в сибирской, затем в центральной прессе, выпустил четыре сборника стихов и книгу прозы. В 1968 году отправился в ­Париж и стал первым писателем­невозвращенцем. На Западе он опубликовал автобиографическую трилогию «Блатной», «Таежный бродяга», «Рыжий дьявол». О политических заключенных написано много, но не об уголовниках.</t>
        </is>
      </c>
      <c r="S3821" s="26">
        <f>HYPERLINK("http://www.cnpol.ru/covers/18167.jpg","фото на сайте")</f>
        <v/>
      </c>
    </row>
    <row r="3822" ht="50.1" customHeight="1" s="3">
      <c r="A3822" s="23" t="inlineStr">
        <is>
          <t>Н</t>
        </is>
      </c>
      <c r="B3822" s="24" t="inlineStr">
        <is>
          <t>21759</t>
        </is>
      </c>
      <c r="C3822" s="23" t="inlineStr">
        <is>
          <t>ОИ ПРОЗА</t>
        </is>
      </c>
      <c r="D3822" s="23" t="inlineStr">
        <is>
          <t>Дёмин М.</t>
        </is>
      </c>
      <c r="E3822" s="23" t="inlineStr">
        <is>
          <t>Блатной</t>
        </is>
      </c>
      <c r="F3822" s="23" t="inlineStr">
        <is>
          <t>        </t>
        </is>
      </c>
      <c r="G3822" s="27" t="n">
        <v>1649</v>
      </c>
      <c r="H3822" s="23" t="n">
        <v>10</v>
      </c>
      <c r="I3822" s="23" t="n">
        <v>3</v>
      </c>
      <c r="J3822" s="23" t="inlineStr">
        <is>
          <t>978-5-227-11112-8</t>
        </is>
      </c>
      <c r="K3822" s="23" t="inlineStr">
        <is>
          <t>60x90 1/16</t>
        </is>
      </c>
      <c r="L3822" s="23" t="inlineStr">
        <is>
          <t>тв</t>
        </is>
      </c>
      <c r="M3822" s="23" t="n">
        <v>879</v>
      </c>
      <c r="N3822" s="23" t="n">
        <v>2025</v>
      </c>
      <c r="O3822" s="23" t="n">
        <v>420</v>
      </c>
      <c r="P3822" s="23" t="n"/>
      <c r="Q3822" s="23" t="n"/>
      <c r="R3822" s="25" t="inlineStr">
        <is>
          <t>Михаил Дёмин — псевдоним Георгия Евгеньевича Трифонова — уголовника, блатного по кличке Чума. Он отмотал несколько сроков, а после освобождения начал печататься сначала в сибирской, затем в центральной прессе, выпустил четыре сборника стихов и книгу прозы. Освобождение из лагеря в Советском Союзе не означало восстановления в правах… Бывшему блатному не так легко было стать советским писателем, и он обратился за поддержкой к своему кузену Юрию Трифонову, которого считал баловнем судьбы… В 1968 году уехал в Париж и стал писателем-невозвращенцем. Уже на Западе опубликовал автобиографическую трилогию «Блатной», «Таежный бродяга», «Рыжий дьявол». Ее мы и представляем нашему читателю.</t>
        </is>
      </c>
      <c r="S3822" s="26">
        <f>HYPERLINK("http://www.cnpol.ru/covers/21759.jpg","фото на сайте")</f>
        <v/>
      </c>
    </row>
    <row r="3823" ht="50.1" customHeight="1" s="3">
      <c r="A3823" s="23" t="n"/>
      <c r="B3823" s="24" t="inlineStr">
        <is>
          <t>16712</t>
        </is>
      </c>
      <c r="C3823" s="23" t="inlineStr">
        <is>
          <t>ОИ ПРОЗА</t>
        </is>
      </c>
      <c r="D3823" s="23" t="inlineStr">
        <is>
          <t>Акцынов А.</t>
        </is>
      </c>
      <c r="E3823" s="23" t="inlineStr">
        <is>
          <t>Бретер</t>
        </is>
      </c>
      <c r="F3823" s="23" t="inlineStr">
        <is>
          <t>        </t>
        </is>
      </c>
      <c r="G3823" s="23" t="n">
        <v>633</v>
      </c>
      <c r="H3823" s="23" t="n">
        <v>10</v>
      </c>
      <c r="I3823" s="23" t="n">
        <v>18</v>
      </c>
      <c r="J3823" s="23" t="inlineStr">
        <is>
          <t>978-5-227-05797-6</t>
        </is>
      </c>
      <c r="K3823" s="23" t="inlineStr">
        <is>
          <t>84x108 1/32</t>
        </is>
      </c>
      <c r="L3823" s="23" t="inlineStr">
        <is>
          <t>тв</t>
        </is>
      </c>
      <c r="M3823" s="23" t="n">
        <v>351</v>
      </c>
      <c r="N3823" s="23" t="n">
        <v>2016</v>
      </c>
      <c r="O3823" s="23" t="n">
        <v>392</v>
      </c>
      <c r="P3823" s="23" t="n"/>
      <c r="Q3823" s="23" t="n"/>
      <c r="R3823" s="25" t="inlineStr">
        <is>
          <t>Андрей Акцынов воссоздал специфический срез современного об­щества, где сплавились подвизающиеся на ниве политики одиозные ­личности и экстрасенсы, дамы полусвета и представители молодежных субкультур и движений. В некотором роде это отчет о духовном состоянии того слоя, который противостоит обывательской массе.</t>
        </is>
      </c>
      <c r="S3823" s="26">
        <f>HYPERLINK("http://www.cnpol.ru/covers/16712.jpg","фото на сайте")</f>
        <v/>
      </c>
    </row>
    <row r="3824" ht="50.1" customHeight="1" s="3">
      <c r="A3824" s="23" t="n"/>
      <c r="B3824" s="24" t="inlineStr">
        <is>
          <t>16354</t>
        </is>
      </c>
      <c r="C3824" s="23" t="inlineStr">
        <is>
          <t>ОИ ПРОЗА</t>
        </is>
      </c>
      <c r="D3824" s="23" t="inlineStr">
        <is>
          <t>Анташкевич Е.М.</t>
        </is>
      </c>
      <c r="E3824" s="23" t="inlineStr">
        <is>
          <t>В окопах. 1916 год. Хроника одного полка</t>
        </is>
      </c>
      <c r="F3824" s="23" t="inlineStr">
        <is>
          <t>        </t>
        </is>
      </c>
      <c r="G3824" s="27" t="n">
        <v>1145</v>
      </c>
      <c r="H3824" s="23" t="n">
        <v>10</v>
      </c>
      <c r="I3824" s="23" t="n">
        <v>12</v>
      </c>
      <c r="J3824" s="23" t="inlineStr">
        <is>
          <t>978-5-227-05776-1</t>
        </is>
      </c>
      <c r="K3824" s="23" t="inlineStr">
        <is>
          <t>60x90 1/16</t>
        </is>
      </c>
      <c r="L3824" s="23" t="inlineStr">
        <is>
          <t>тв</t>
        </is>
      </c>
      <c r="M3824" s="23" t="n">
        <v>464</v>
      </c>
      <c r="N3824" s="23" t="n">
        <v>2015</v>
      </c>
      <c r="O3824" s="23" t="n">
        <v>558</v>
      </c>
      <c r="P3824" s="23" t="n"/>
      <c r="Q3824" s="23" t="n"/>
      <c r="R3824" s="25" t="inlineStr">
        <is>
          <t>Произведения Евгения Анташкевича – новое слово в современной исторической литературе, возвращение человечности. Читатель словно ощущает теплоту, исходящую от этих страниц. Следуя за хорошо осведомленным автором, повествующим о грозных исторических событиях, чувствуешь атмосферу эпохи, переданную через точность мелких деталей, начинаешь узнавать героев, мыслить как они. Данная книга — продолжение романа «Хроника одного полка. 1915 год».</t>
        </is>
      </c>
      <c r="S3824" s="26">
        <f>HYPERLINK("http://www.cnpol.ru/covers/16354.jpg","фото на сайте")</f>
        <v/>
      </c>
    </row>
    <row r="3825" ht="50.1" customHeight="1" s="3">
      <c r="A3825" s="23" t="n"/>
      <c r="B3825" s="24" t="inlineStr">
        <is>
          <t>18377</t>
        </is>
      </c>
      <c r="C3825" s="23" t="inlineStr">
        <is>
          <t>ОИ ПРОЗА</t>
        </is>
      </c>
      <c r="D3825" s="23" t="inlineStr">
        <is>
          <t>Прасолов В.Г.</t>
        </is>
      </c>
      <c r="E3825" s="23" t="inlineStr">
        <is>
          <t>Вангол</t>
        </is>
      </c>
      <c r="F3825" s="23" t="inlineStr">
        <is>
          <t>        </t>
        </is>
      </c>
      <c r="G3825" s="23" t="n">
        <v>743</v>
      </c>
      <c r="H3825" s="23" t="n">
        <v>10</v>
      </c>
      <c r="I3825" s="23" t="n">
        <v>8</v>
      </c>
      <c r="J3825" s="23" t="inlineStr">
        <is>
          <t>978-5-227-08293-0</t>
        </is>
      </c>
      <c r="K3825" s="23" t="inlineStr">
        <is>
          <t>84x108 1/32</t>
        </is>
      </c>
      <c r="L3825" s="23" t="inlineStr">
        <is>
          <t>тв</t>
        </is>
      </c>
      <c r="M3825" s="23" t="n">
        <v>544</v>
      </c>
      <c r="N3825" s="23" t="n">
        <v>2018</v>
      </c>
      <c r="O3825" s="23" t="n">
        <v>422</v>
      </c>
      <c r="P3825" s="23" t="n"/>
      <c r="Q3825" s="23" t="n"/>
      <c r="R3825" s="25" t="inlineStr">
        <is>
          <t>"В основе романа писателя Владимира Прасолова — реальные исторические события, происходившие в России в первой половине XX века.
Беглый политзаключенный Иван Голышев, выхоженный эвенками­орочонами, заново рождается под именем Вангол. В тайге он находит ­семью, обретает мудрость древнего народа, но самое главное — находит себя и овладевает мастерством использовать скрытые человеческие возможности. Но в его дом приходит беда, и поток событий уносит его с собой. Сплетаются судьбы белого казачества и Красной армии, начальства и пленников лагерей, эвенков и жителей городов. И самые, казалось бы, далекие люди оказываются неразрывно связаны в этом водовороте страшного времени.
Эта честная и искренняя книга захватывает так, что невозможно отвлечься. Сердце замирает, и ты плачешь и радуешься вместе с ее героями, пронесшими с собой сквозь то тяжелое время веру, любовь, честь и преданность.
Сильный, глубокий и проникновенный роман, достойный встать вровень с русскими классиками XX века.
"</t>
        </is>
      </c>
      <c r="S3825" s="26">
        <f>HYPERLINK("http://www.cnpol.ru/covers/18377.jpg","фото на сайте")</f>
        <v/>
      </c>
    </row>
    <row r="3826" ht="50.1" customHeight="1" s="3">
      <c r="A3826" s="23" t="inlineStr">
        <is>
          <t>Н</t>
        </is>
      </c>
      <c r="B3826" s="24" t="inlineStr">
        <is>
          <t>21168</t>
        </is>
      </c>
      <c r="C3826" s="23" t="inlineStr">
        <is>
          <t>ОИ ПРОЗА</t>
        </is>
      </c>
      <c r="D3826" s="23" t="inlineStr">
        <is>
          <t>Диттрич П.</t>
        </is>
      </c>
      <c r="E3826" s="23" t="inlineStr">
        <is>
          <t>Возвращение императора. Невероятные приключения в XXI веке. Петр I и президент</t>
        </is>
      </c>
      <c r="F3826" s="23" t="inlineStr">
        <is>
          <t>        </t>
        </is>
      </c>
      <c r="G3826" s="23" t="n">
        <v>874</v>
      </c>
      <c r="H3826" s="23" t="n">
        <v>10</v>
      </c>
      <c r="I3826" s="23" t="n">
        <v>12</v>
      </c>
      <c r="J3826" s="23" t="inlineStr">
        <is>
          <t>978-5-227-09459-9</t>
        </is>
      </c>
      <c r="K3826" s="23" t="inlineStr">
        <is>
          <t>84x108 1/32</t>
        </is>
      </c>
      <c r="L3826" s="23" t="inlineStr">
        <is>
          <t>тв</t>
        </is>
      </c>
      <c r="M3826" s="23" t="n">
        <v>447</v>
      </c>
      <c r="N3826" s="23" t="n">
        <v>2024</v>
      </c>
      <c r="O3826" s="23" t="n">
        <v>475</v>
      </c>
      <c r="P3826" s="23" t="n"/>
      <c r="Q3826" s="23" t="n"/>
      <c r="R3826" s="25" t="inlineStr">
        <is>
          <t>Эта история — реалистичный фарс. Вы скажете, что нет такого жанра?! Ошибаетесь. Есть! Вот он, перед вами. Автор написала книгу потому, что больно было смотреть на то, что делалось в России-матушке… Тогда и пришла идея пофантазировать, а что, если бы случилось чудо и вернулся к жизни первый император всея Руси — Петр Алексеевич? Уж он бы тогда… И вот уже восстал из гроба великий царь-реформатор, и стал менять нашу современную жизнь, делая это в своей категоричной манере, невзирая на лица. Господь вернул Петра I на землю, дав еще один шанс побыть смертным, чтобы Россия вновь стала могучей державой, с которой считается весь мир. Чтобы мы — ее народ — были счастливы, благополучны и горды зваться россиянами. Век человеческий слишком короток, и до этого ни одному правителю еще не удавалось увидеть результат своих реформ, узнать, чем они аукнулись для его страны. Дадим же Петру Великому возможность узреть посеянные им всходы. Замесил он тесто, но то ли из него выпекли, чего царь желал? Того ли хотел для отчизны? Что видел в мечтах?_x000D_
Как говорится, поживем — увидим! Читайте, не пожалеете!!!</t>
        </is>
      </c>
      <c r="S3826" s="26">
        <f>HYPERLINK("http://www.cnpol.ru/covers/21168.jpg","фото на сайте")</f>
        <v/>
      </c>
    </row>
    <row r="3827" ht="50.1" customHeight="1" s="3">
      <c r="A3827" s="23" t="n"/>
      <c r="B3827" s="24" t="inlineStr">
        <is>
          <t>17000</t>
        </is>
      </c>
      <c r="C3827" s="23" t="inlineStr">
        <is>
          <t>ОИ ПРОЗА</t>
        </is>
      </c>
      <c r="D3827" s="23" t="inlineStr">
        <is>
          <t>Проханов А.А</t>
        </is>
      </c>
      <c r="E3827" s="23" t="inlineStr">
        <is>
          <t>Востоковед</t>
        </is>
      </c>
      <c r="F3827" s="23" t="inlineStr">
        <is>
          <t>        </t>
        </is>
      </c>
      <c r="G3827" s="23" t="n">
        <v>851</v>
      </c>
      <c r="H3827" s="23" t="n">
        <v>10</v>
      </c>
      <c r="I3827" s="23" t="n">
        <v>20</v>
      </c>
      <c r="J3827" s="23" t="inlineStr">
        <is>
          <t>978-5-227-07029-6</t>
        </is>
      </c>
      <c r="K3827" s="23" t="inlineStr">
        <is>
          <t>84x108 1/32</t>
        </is>
      </c>
      <c r="L3827" s="23" t="inlineStr">
        <is>
          <t>тв</t>
        </is>
      </c>
      <c r="M3827" s="23" t="n">
        <v>288</v>
      </c>
      <c r="N3827" s="23" t="n">
        <v>2016</v>
      </c>
      <c r="O3827" s="23" t="n">
        <v>324</v>
      </c>
      <c r="P3827" s="23" t="n"/>
      <c r="Q3827" s="23" t="n"/>
      <c r="R3827" s="25" t="inlineStr">
        <is>
          <t>В новом романе Александра Проханова — кровавая карусель на Ближнем Востоке: боевые организации террористов, тайная война в Ливийской пустыне, взорванные мечети Ирака, падающие самолеты. Русский разведчик «набрасывает намордник» на этот ревущий ад, чтобы мир не погиб...</t>
        </is>
      </c>
      <c r="S3827" s="26">
        <f>HYPERLINK("http://www.cnpol.ru/covers/17000.jpg","фото на сайте")</f>
        <v/>
      </c>
    </row>
    <row r="3828" ht="50.1" customHeight="1" s="3">
      <c r="A3828" s="23" t="n"/>
      <c r="B3828" s="24" t="inlineStr">
        <is>
          <t>15106</t>
        </is>
      </c>
      <c r="C3828" s="23" t="inlineStr">
        <is>
          <t>ОИ ПРОЗА</t>
        </is>
      </c>
      <c r="D3828" s="23" t="inlineStr">
        <is>
          <t>Колганов В. А.</t>
        </is>
      </c>
      <c r="E3828" s="23" t="inlineStr">
        <is>
          <t>Герман, или Божий человек</t>
        </is>
      </c>
      <c r="F3828" s="23" t="inlineStr">
        <is>
          <t>        </t>
        </is>
      </c>
      <c r="G3828" s="23" t="n">
        <v>763</v>
      </c>
      <c r="H3828" s="23" t="n">
        <v>10</v>
      </c>
      <c r="I3828" s="23" t="n">
        <v>16</v>
      </c>
      <c r="J3828" s="23" t="inlineStr">
        <is>
          <t>978-5-227-05084-7</t>
        </is>
      </c>
      <c r="K3828" s="23" t="inlineStr">
        <is>
          <t>84x108 1/32</t>
        </is>
      </c>
      <c r="L3828" s="23" t="inlineStr">
        <is>
          <t>тв</t>
        </is>
      </c>
      <c r="M3828" s="23" t="n">
        <v>320</v>
      </c>
      <c r="N3828" s="23" t="n">
        <v>2014</v>
      </c>
      <c r="O3828" s="23" t="n">
        <v>340</v>
      </c>
      <c r="P3828" s="23" t="n"/>
      <c r="Q3828" s="23" t="n"/>
      <c r="R3828" s="25" t="inlineStr">
        <is>
          <t>Эта книга рассказывает о династии писателей и кинорежиссеров. Юрий Павлович Герман — популярный в 30—60-х годах прошлого века драматург и романист. Алексей Юрьевич и Алексей Алексеевич Германы писали сценарии и снимали фильмы, которые привлекли внимание и кинокритиков, и зрителей, и членов жюри кинофестивалей. _x000D_
Задача, которую поставил перед собой автор, — попытаться найти истоки творчества, понять психологию творца и объяснить, хотя бы для себя, почему столь разными путями шли к успеху Юрий Герман, его сын и внук. Если допустить, что все определяется только временем, эпохой, мы вряд ли что-нибудь поймем. И при советской власти, и в постперестроечной России писатели и кинорежиссеры создавали свои произведения, по-разному воспринимая события окружающей их жизни и воплощая замыслы в соответствии с собственным мировоззрением и представлением о том, что нужно читателю и кинозрителю. Так что без анализа биографии и родословной здесь не обойтись, впрочем, как и без рассказа о тех людях, которые окружали героев этой книги на протяжении их жизненного пути.</t>
        </is>
      </c>
      <c r="S3828" s="26">
        <f>HYPERLINK("http://www.cnpol.ru/covers/15106.jpg","фото на сайте")</f>
        <v/>
      </c>
    </row>
    <row r="3829" ht="50.1" customHeight="1" s="3">
      <c r="A3829" s="23" t="n"/>
      <c r="B3829" s="24" t="inlineStr">
        <is>
          <t>18889</t>
        </is>
      </c>
      <c r="C3829" s="23" t="inlineStr">
        <is>
          <t>ОИ ПРОЗА</t>
        </is>
      </c>
      <c r="D3829" s="23" t="inlineStr">
        <is>
          <t>Некрасов А.А.</t>
        </is>
      </c>
      <c r="E3829" s="23" t="inlineStr">
        <is>
          <t>Голограмма, или Другая точка зрения</t>
        </is>
      </c>
      <c r="F3829" s="23" t="inlineStr">
        <is>
          <t>        </t>
        </is>
      </c>
      <c r="G3829" s="23" t="n">
        <v>672</v>
      </c>
      <c r="H3829" s="23" t="n">
        <v>10</v>
      </c>
      <c r="I3829" s="23" t="n">
        <v>12</v>
      </c>
      <c r="J3829" s="23" t="inlineStr">
        <is>
          <t>978-5-227-08846-8</t>
        </is>
      </c>
      <c r="K3829" s="23" t="inlineStr">
        <is>
          <t>70x108 1/32</t>
        </is>
      </c>
      <c r="L3829" s="23" t="inlineStr">
        <is>
          <t>тв</t>
        </is>
      </c>
      <c r="M3829" s="23" t="n">
        <v>352</v>
      </c>
      <c r="N3829" s="23" t="n">
        <v>2019</v>
      </c>
      <c r="O3829" s="23" t="n">
        <v>314</v>
      </c>
      <c r="P3829" s="23" t="n"/>
      <c r="Q3829" s="23" t="n"/>
      <c r="R3829" s="25" t="inlineStr">
        <is>
          <t>Этот роман перевернёт ваше сознание! Он может привести вас в восторг, или вызвать отрицание… НО! Равнодушным не оставит никого._x000D_
Это не просто Книга, она — Сшиватель Истории! С её помощью закроются белые пятна в прошлом нашей цивилизации, сложатся пазлы, срастутся факты… Читайте историю о Великой Любви и непредсказуемую версию развития человечества, рассказанную очевидцем. По сути, весь этот роман о любви к одной женщине, о поиске её через эоны лет, через многие измерения и многих других женщин в сотнях земных жизней..._x000D_
Книга изменила жизнь автора и сделала его новым человеком. Уверены, и с вами произойдёт то же самое! Вы можете прочитать её на одном дыхании и понять: вот они, ответы на многие вопросы! А кто-то отбросит фееричный текст, не поняв ничего, возможно и такое… Но в любом случае «Голограмма» взорвёт сознание читателей независимо от того, на каких струнах Души она сыграет.</t>
        </is>
      </c>
      <c r="S3829" s="26">
        <f>HYPERLINK("http://www.cnpol.ru/covers/18889.jpg","фото на сайте")</f>
        <v/>
      </c>
    </row>
    <row r="3830" ht="50.1" customHeight="1" s="3">
      <c r="A3830" s="23" t="n"/>
      <c r="B3830" s="24" t="inlineStr">
        <is>
          <t>16591</t>
        </is>
      </c>
      <c r="C3830" s="23" t="inlineStr">
        <is>
          <t>ОИ ПРОЗА</t>
        </is>
      </c>
      <c r="D3830" s="23" t="inlineStr">
        <is>
          <t>Проханов А.А</t>
        </is>
      </c>
      <c r="E3830" s="23" t="inlineStr">
        <is>
          <t>Губернатор</t>
        </is>
      </c>
      <c r="F3830" s="23" t="inlineStr">
        <is>
          <t>        </t>
        </is>
      </c>
      <c r="G3830" s="23" t="n">
        <v>851</v>
      </c>
      <c r="H3830" s="23" t="n">
        <v>10</v>
      </c>
      <c r="I3830" s="23" t="n">
        <v>18</v>
      </c>
      <c r="J3830" s="23" t="inlineStr">
        <is>
          <t>978-5-227-06553-7</t>
        </is>
      </c>
      <c r="K3830" s="23" t="inlineStr">
        <is>
          <t>84x108 1/32</t>
        </is>
      </c>
      <c r="L3830" s="23" t="inlineStr">
        <is>
          <t>тв</t>
        </is>
      </c>
      <c r="M3830" s="23" t="n">
        <v>320</v>
      </c>
      <c r="N3830" s="23" t="n">
        <v>2016</v>
      </c>
      <c r="O3830" s="23" t="n">
        <v>354</v>
      </c>
      <c r="P3830" s="23" t="n"/>
      <c r="Q3830" s="23" t="n"/>
      <c r="R3830" s="25" t="inlineStr">
        <is>
          <t>Новый роман Александра Проханова крайне актуален. Он написан в те дни, когда кругом назревают конфликты, падает экономика, человеческими душами овладевают уныние и разочарование. Главный герой романа — губернатор одной из русских областей, человек длинной воли. Однажды затеяв огромное дело, возмечтав о народном счастье, поставив себе, казалось бы, неосуществимые задачи, он всю жизнь тратит на их решение. Ему встречаются грандиозные трудности: его предают, на него пишут доносы, его почти убивают. Но его звезда, его заветная мечта помогают выстоять в грозный период русской истории. И он, подобно многим другим русским людям, выдерживает непомерное давление бытия, оказывается победителем</t>
        </is>
      </c>
      <c r="S3830" s="26">
        <f>HYPERLINK("http://www.cnpol.ru/covers/16591.jpg","фото на сайте")</f>
        <v/>
      </c>
    </row>
    <row r="3831" ht="50.1" customHeight="1" s="3">
      <c r="A3831" s="23" t="n"/>
      <c r="B3831" s="24" t="inlineStr">
        <is>
          <t>20405</t>
        </is>
      </c>
      <c r="C3831" s="23" t="inlineStr">
        <is>
          <t>ОИ ПРОЗА</t>
        </is>
      </c>
      <c r="D3831" s="23" t="inlineStr">
        <is>
          <t>Бирс А.</t>
        </is>
      </c>
      <c r="E3831" s="23" t="inlineStr">
        <is>
          <t>Диагноз смерти</t>
        </is>
      </c>
      <c r="F3831" s="23" t="inlineStr">
        <is>
          <t>        </t>
        </is>
      </c>
      <c r="G3831" s="27" t="n">
        <v>1184</v>
      </c>
      <c r="H3831" s="23" t="n">
        <v>10</v>
      </c>
      <c r="I3831" s="23" t="n">
        <v>10</v>
      </c>
      <c r="J3831" s="23" t="inlineStr">
        <is>
          <t>978-5-9524-5516-0</t>
        </is>
      </c>
      <c r="K3831" s="23" t="inlineStr">
        <is>
          <t>84x108 1/32</t>
        </is>
      </c>
      <c r="L3831" s="23" t="inlineStr">
        <is>
          <t>тв</t>
        </is>
      </c>
      <c r="M3831" s="23" t="n">
        <v>416</v>
      </c>
      <c r="N3831" s="23" t="n">
        <v>2022</v>
      </c>
      <c r="O3831" s="23" t="n">
        <v>252</v>
      </c>
      <c r="P3831" s="23" t="n"/>
      <c r="Q3831" s="23" t="n"/>
      <c r="R3831" s="25" t="inlineStr">
        <is>
          <t>Литературное наследие знаменитого американского писателя Амброза Бирса (1842—1914) получило высокую оценку у современников и последователей. Он считается великолепным мастером короткой прозы. В сборник, который вы держите в руках, включены сорок пять коротких и точных как выстрелы рассказов, написанных в стиле легендарного мастера ужасов Эдгара Алана По, преемником которого считают Амброза Бирса. _x000D_
Все рассказы отличаются напряженностью сюжета, развивающегося, как правило, в крайне необычных обстоятельствах…</t>
        </is>
      </c>
      <c r="S3831" s="26">
        <f>HYPERLINK("http://www.cnpol.ru/covers/20405.jpg","фото на сайте")</f>
        <v/>
      </c>
    </row>
    <row r="3832" ht="50.1" customHeight="1" s="3">
      <c r="A3832" s="23" t="n"/>
      <c r="B3832" s="24" t="inlineStr">
        <is>
          <t>19167</t>
        </is>
      </c>
      <c r="C3832" s="23" t="inlineStr">
        <is>
          <t>ОИ ПРОЗА</t>
        </is>
      </c>
      <c r="D3832" s="23" t="inlineStr">
        <is>
          <t>Гончарова Т.И</t>
        </is>
      </c>
      <c r="E3832" s="23" t="inlineStr">
        <is>
          <t>Дневник длиною в жизнь. История одной судьбы, в которой две войны и много мира. 1916–1991.</t>
        </is>
      </c>
      <c r="F3832" s="23" t="inlineStr">
        <is>
          <t>        </t>
        </is>
      </c>
      <c r="G3832" s="27" t="n">
        <v>1576</v>
      </c>
      <c r="H3832" s="23" t="n">
        <v>10</v>
      </c>
      <c r="I3832" s="23" t="n">
        <v>6</v>
      </c>
      <c r="J3832" s="23" t="inlineStr">
        <is>
          <t>978-5-227-09126-0</t>
        </is>
      </c>
      <c r="K3832" s="23" t="inlineStr">
        <is>
          <t>60x90 1/16</t>
        </is>
      </c>
      <c r="L3832" s="23" t="inlineStr">
        <is>
          <t>тв</t>
        </is>
      </c>
      <c r="M3832" s="23" t="n">
        <v>912</v>
      </c>
      <c r="N3832" s="23" t="n">
        <v>2020</v>
      </c>
      <c r="O3832" s="23" t="n">
        <v>950</v>
      </c>
      <c r="P3832" s="23" t="n"/>
      <c r="Q3832" s="23" t="n"/>
      <c r="R3832" s="25" t="inlineStr">
        <is>
          <t>Память… — это то, что всегда с нами, и единственное, что нельзя отнять у человека. Лучший способ бережно сохранить ее в мельчайших подробностях — это вести дневник. Так и поступила автор этих трогательных записок длиной в жизнь — Т.И. Гончарова. Много лет она заносила на бумажные страницы свои мысли, страхи, радости, переживания, события, происходящие с ней и страной, в которой жила. Благодаря таким сохраненным воспоминаниям, мы имеем возможность оглянуться назад и стать свидетелями событий давно ушедших дней._x000D_
Да, дневник написан не профессиональным писателем, зато он искренен и откровенен, потому что велся лично для себя и не был предназначен для чужих глаз. Он предельно честен, и именно это придает ему особую ценность.</t>
        </is>
      </c>
      <c r="S3832" s="26">
        <f>HYPERLINK("http://www.cnpol.ru/covers/19167.jpg","фото на сайте")</f>
        <v/>
      </c>
    </row>
    <row r="3833" ht="50.1" customHeight="1" s="3">
      <c r="A3833" s="23" t="inlineStr">
        <is>
          <t>Д</t>
        </is>
      </c>
      <c r="B3833" s="24" t="inlineStr">
        <is>
          <t>21819</t>
        </is>
      </c>
      <c r="C3833" s="23" t="inlineStr">
        <is>
          <t>ОИ ПРОЗА</t>
        </is>
      </c>
      <c r="D3833" s="23" t="inlineStr">
        <is>
          <t>Арним Э. фон</t>
        </is>
      </c>
      <c r="E3833" s="23" t="inlineStr">
        <is>
          <t>Зачарованный апрель</t>
        </is>
      </c>
      <c r="F3833" s="23" t="inlineStr">
        <is>
          <t>        </t>
        </is>
      </c>
      <c r="G3833" s="23" t="n">
        <v>936</v>
      </c>
      <c r="H3833" s="23" t="n">
        <v>10</v>
      </c>
      <c r="I3833" s="23" t="n">
        <v>6</v>
      </c>
      <c r="J3833" s="23" t="inlineStr">
        <is>
          <t>978-5-227-11131-9</t>
        </is>
      </c>
      <c r="K3833" s="23" t="inlineStr">
        <is>
          <t>84x108 1/32</t>
        </is>
      </c>
      <c r="L3833" s="23" t="inlineStr">
        <is>
          <t>тв</t>
        </is>
      </c>
      <c r="M3833" s="23" t="n">
        <v>287</v>
      </c>
      <c r="N3833" s="23" t="n">
        <v>2025</v>
      </c>
      <c r="O3833" s="23" t="n">
        <v>346</v>
      </c>
      <c r="P3833" s="23" t="n"/>
      <c r="Q3833" s="23" t="n"/>
      <c r="R3833" s="25" t="inlineStr">
        <is>
          <t>Лотти Уилкинс и Роза Арбитнот не были счастливы в браке. Обе почти смирились со своей участью, но однажды в «Таймс» они прочли объявление о сдаче внаем небольшого средневекового замка в Италии. Высокую арендную плату дамы решили поделить на четверых и нашли еще двух компаньонок. Вскоре, покинув хмурый, дождливый Лондон, четыре леди отправились в Италию. Окруженный чудесным садом замок оказал на женщин волшебное воздействие, здесь они вдруг осознали, как прекрасна жизнь, и почувствовали, что могут и должны быть счастливыми…</t>
        </is>
      </c>
      <c r="S3833" s="26">
        <f>HYPERLINK("http://www.cnpol.ru/covers/21819.jpg","фото на сайте")</f>
        <v/>
      </c>
    </row>
    <row r="3834" ht="50.1" customHeight="1" s="3">
      <c r="A3834" s="23" t="inlineStr">
        <is>
          <t>Д</t>
        </is>
      </c>
      <c r="B3834" s="24" t="inlineStr">
        <is>
          <t>21315</t>
        </is>
      </c>
      <c r="C3834" s="23" t="inlineStr">
        <is>
          <t>ОИ ПРОЗА</t>
        </is>
      </c>
      <c r="D3834" s="23" t="inlineStr">
        <is>
          <t>Джеймс Г.</t>
        </is>
      </c>
      <c r="E3834" s="23" t="inlineStr">
        <is>
          <t>Золотая чаша</t>
        </is>
      </c>
      <c r="F3834" s="23" t="inlineStr">
        <is>
          <t>        </t>
        </is>
      </c>
      <c r="G3834" s="27" t="n">
        <v>1533</v>
      </c>
      <c r="H3834" s="23" t="n">
        <v>10</v>
      </c>
      <c r="I3834" s="23" t="n">
        <v>8</v>
      </c>
      <c r="J3834" s="23" t="inlineStr">
        <is>
          <t>978-5-227-10813-5</t>
        </is>
      </c>
      <c r="K3834" s="23" t="inlineStr">
        <is>
          <t>84x108 1/32</t>
        </is>
      </c>
      <c r="L3834" s="23" t="inlineStr">
        <is>
          <t>тв</t>
        </is>
      </c>
      <c r="M3834" s="23" t="n">
        <v>575</v>
      </c>
      <c r="N3834" s="23" t="n">
        <v>2024</v>
      </c>
      <c r="O3834" s="23" t="n">
        <v>569</v>
      </c>
      <c r="P3834" s="23" t="n"/>
      <c r="Q3834" s="23" t="n"/>
      <c r="R3834" s="25" t="inlineStr">
        <is>
          <t>Мегги Вервер, дочь американского миллионера Адама Вервера, коллекционера и тонкого ценителя художественных ценностей, выходит замуж за князя Америго — молодого итальянца из обедневшего аристократического рода. Мегги влюблена и счастлива, однако ее тревожит мысль, что ее давно овдовевший отец, увлеченный совершенствованием своей коллекции, останется совсем один. Накануне свадьбы Мегги знакомит отца с давней подругой — очаровательной американкой Шарлоттой Стэнт, полагая, что тому пойдет на пользу общество молодой особы. Мегги не осознает, что, впуская в дом обольстительную женщину, рискует быть преданной и обманутой… Генри Джеймс (1843—1916), признанный классик американской литературы, мастер психологической прозы, описывает сложные взаимоотношения двух пар, связанных по прихоти судьбы узами любви, и отвечает на извечный вопрос: богатство — дар судьбы или проклятье?..</t>
        </is>
      </c>
      <c r="S3834" s="26">
        <f>HYPERLINK("http://www.cnpol.ru/covers/21315.jpg","фото на сайте")</f>
        <v/>
      </c>
    </row>
    <row r="3835" ht="50.1" customHeight="1" s="3">
      <c r="A3835" s="23" t="n"/>
      <c r="B3835" s="24" t="inlineStr">
        <is>
          <t>20111</t>
        </is>
      </c>
      <c r="C3835" s="23" t="inlineStr">
        <is>
          <t>ОИ ПРОЗА</t>
        </is>
      </c>
      <c r="D3835" s="23" t="inlineStr">
        <is>
          <t>Некрасов А.А.</t>
        </is>
      </c>
      <c r="E3835" s="23" t="inlineStr">
        <is>
          <t>Исцеление женственности. Возвращение в любовь</t>
        </is>
      </c>
      <c r="F3835" s="23" t="inlineStr">
        <is>
          <t>        </t>
        </is>
      </c>
      <c r="G3835" s="23" t="n">
        <v>763</v>
      </c>
      <c r="H3835" s="23" t="n">
        <v>10</v>
      </c>
      <c r="I3835" s="23" t="n">
        <v>14</v>
      </c>
      <c r="J3835" s="23" t="inlineStr">
        <is>
          <t>978-5-227-09791-0</t>
        </is>
      </c>
      <c r="K3835" s="23" t="inlineStr">
        <is>
          <t>84x108 1/32</t>
        </is>
      </c>
      <c r="L3835" s="23" t="inlineStr">
        <is>
          <t>тв</t>
        </is>
      </c>
      <c r="M3835" s="23" t="n">
        <v>384</v>
      </c>
      <c r="N3835" s="23" t="n">
        <v>2022</v>
      </c>
      <c r="O3835" s="23" t="n">
        <v>404</v>
      </c>
      <c r="P3835" s="23" t="n"/>
      <c r="Q3835" s="23" t="n"/>
      <c r="R3835" s="25" t="inlineStr">
        <is>
          <t>Захватывающий роман читается на одном дыхании! Страница за страницей не отпускают нас живые и правдивые истории героинь этой удивительной книги. Мы как в зеркале узнаём в них себя, сопереживаем, негодуем, учимся на их ошибках, а ненавязчивые мудрые советы автора подсказывают женской душе путь к перерождению. Да, да! Советы! В художественном произведении! Потому что Анатолий Некрасов в первую очередь признанный Мастер психологии, а потом уже писатель, и благодаря этим двум талантам ему удалось дать жизнь такому произведению, после прочтения и осмысления которого всколыхнётся в каждой читательнице спящая женственность. Роман работает с подсознанием и мягко, но неизбежно настраивает на Счастье._x000D__x000D_
Вместе с автором мы с вами совершим путешествие в такое Место Силы, где каждый может найти необходимое именно для себя! Есть такие благословенные места на планете, где очень многие ощущают себя Счастливыми. И даже через прочтение этой книги! Как? Скоро почувствуете… И увидите, что истинная Сила — в женственности, пластичности принятия, в гибкости и в истинной кротости с достоинством, в любви и радости…</t>
        </is>
      </c>
      <c r="S3835" s="26">
        <f>HYPERLINK("http://www.cnpol.ru/covers/20111.jpg","фото на сайте")</f>
        <v/>
      </c>
    </row>
    <row r="3836" ht="50.1" customHeight="1" s="3">
      <c r="A3836" s="23" t="inlineStr">
        <is>
          <t>Н</t>
        </is>
      </c>
      <c r="B3836" s="24" t="inlineStr">
        <is>
          <t>22298</t>
        </is>
      </c>
      <c r="C3836" s="23" t="inlineStr">
        <is>
          <t>ОИ ПРОЗА</t>
        </is>
      </c>
      <c r="D3836" s="23" t="inlineStr">
        <is>
          <t>Ренников А.</t>
        </is>
      </c>
      <c r="E3836" s="23" t="inlineStr">
        <is>
          <t>Кавказская рапсодия</t>
        </is>
      </c>
      <c r="F3836" s="23" t="inlineStr">
        <is>
          <t>        </t>
        </is>
      </c>
      <c r="G3836" s="23" t="n">
        <v>915</v>
      </c>
      <c r="H3836" s="23" t="n">
        <v>10</v>
      </c>
      <c r="I3836" s="23" t="n">
        <v>11</v>
      </c>
      <c r="J3836" s="23" t="inlineStr">
        <is>
          <t>978-5-227-11352-8</t>
        </is>
      </c>
      <c r="K3836" s="23" t="inlineStr">
        <is>
          <t>84x108 1/32</t>
        </is>
      </c>
      <c r="L3836" s="23" t="inlineStr">
        <is>
          <t>тв</t>
        </is>
      </c>
      <c r="M3836" s="23" t="n">
        <v>255</v>
      </c>
      <c r="N3836" s="23" t="n">
        <v>2026</v>
      </c>
      <c r="O3836" s="23" t="n">
        <v>314</v>
      </c>
      <c r="P3836" s="23" t="n"/>
      <c r="Q3836" s="23" t="n"/>
      <c r="R3836" s="25" t="inlineStr">
        <is>
          <t>"Зима 1918 года. Студент Николай Тверцов покидает охваченный революцией Петроград и возвращается домой, на Кавказ. Родной Батум встречает героя ранним цветением садов и тревожными вестями с Севера — Гражданская война разгорается с новой силой. Однако жителей черноморского побережья больше волнуют вести о том, что по условиям Брестского мирного договора Батумская область переходит Османской империи. Турецкие войска осаждают форпосты, но горожане не готовы сдаваться без боя; вчерашние студенты и гимназисты вступают в ряды защитников Батумской крепости. Но силы неравны, и вскоре турки занимают город. Николай и его товарищи ищут способ вырваться из осажденного города и морем добраться до Новороссийска, чтобы соединиться с частями Добровольческой армии...
Роман Андрея Ренникова (творческий псевдоним русского писателя-эмигранта А.М. Селитренникова, 1882—1957), созданный в 1950-е годы на чужбине, — это история о взрослении в переломную эпоху и непростом выборе жизненного пути."</t>
        </is>
      </c>
      <c r="S3836" s="26">
        <f>HYPERLINK("http://www.cnpol.ru/covers/22298.jpg","фото на сайте")</f>
        <v/>
      </c>
    </row>
    <row r="3837" ht="50.1" customHeight="1" s="3">
      <c r="A3837" s="23" t="n"/>
      <c r="B3837" s="24" t="inlineStr">
        <is>
          <t>17136</t>
        </is>
      </c>
      <c r="C3837" s="23" t="inlineStr">
        <is>
          <t>ОИ ПРОЗА</t>
        </is>
      </c>
      <c r="D3837" s="23" t="inlineStr">
        <is>
          <t>Бирман А.</t>
        </is>
      </c>
      <c r="E3837" s="23" t="inlineStr">
        <is>
          <t>Казино изнутри. Игорный бизнес Москвы. От расцвета до заката. 1991-2009гг.</t>
        </is>
      </c>
      <c r="F3837" s="23" t="inlineStr">
        <is>
          <t>        </t>
        </is>
      </c>
      <c r="G3837" s="23" t="n">
        <v>743</v>
      </c>
      <c r="H3837" s="23" t="n">
        <v>10</v>
      </c>
      <c r="I3837" s="23" t="n">
        <v>8</v>
      </c>
      <c r="J3837" s="23" t="inlineStr">
        <is>
          <t>978-5-227-06605-3</t>
        </is>
      </c>
      <c r="K3837" s="23" t="inlineStr">
        <is>
          <t>84x108 1/32</t>
        </is>
      </c>
      <c r="L3837" s="23" t="inlineStr">
        <is>
          <t>тв</t>
        </is>
      </c>
      <c r="M3837" s="23" t="n">
        <v>576</v>
      </c>
      <c r="N3837" s="23" t="n">
        <v>2016</v>
      </c>
      <c r="O3837" s="23" t="n">
        <v>524</v>
      </c>
      <c r="P3837" s="23" t="n"/>
      <c r="Q3837" s="23" t="n"/>
      <c r="R3837" s="25" t="inlineStr">
        <is>
          <t>По сути своей, казино и честная игра — слова­синонимы. Но в силу непонятных причин, они пришли между собой в противоречие. И теперь простой обыватель, ни разу не перешагивавший порога официального игрового дома, считает, что в казино все подстроено, выиграть нельзя и что хозяева такого рода заведений готовы использовать все средства научно­технического прогресса, только бы не позволить посетителю уйти с деньгами. Возникает ­логичный вопрос: «Раз все подстроено, зачем туда люди ходят?» На что вам тут же парируют: «А где вы там людей­то видели? Одни жулики и бандиты!» И на этой радужной ноте разговор, как правило, заканчивается, ибо дальнейшая дискуссия становится просто бессмысленной. Автор не ставит целью разрушить мнение, что казино — это территория порока и разврата, место, где царит жажда наживы, где пороки вылезают из потаенных уголков души и сознания. Все это — было, есть и будет. И сколько бы ни развивалось общество, эти слова, к сожалению, всегда будут синонимами любого игорного заведения в нашей стране.</t>
        </is>
      </c>
      <c r="S3837" s="26">
        <f>HYPERLINK("http://www.cnpol.ru/covers/17136.jpg","фото на сайте")</f>
        <v/>
      </c>
    </row>
    <row r="3838" ht="50.1" customHeight="1" s="3">
      <c r="A3838" s="23" t="n"/>
      <c r="B3838" s="24" t="inlineStr">
        <is>
          <t>15866</t>
        </is>
      </c>
      <c r="C3838" s="23" t="inlineStr">
        <is>
          <t>ОИ ПРОЗА</t>
        </is>
      </c>
      <c r="D3838" s="23" t="inlineStr">
        <is>
          <t>Проханов А.А</t>
        </is>
      </c>
      <c r="E3838" s="23" t="inlineStr">
        <is>
          <t>Крейсерова соната</t>
        </is>
      </c>
      <c r="F3838" s="23" t="inlineStr">
        <is>
          <t>        </t>
        </is>
      </c>
      <c r="G3838" s="23" t="n">
        <v>948</v>
      </c>
      <c r="H3838" s="23" t="n">
        <v>10</v>
      </c>
      <c r="I3838" s="23" t="n">
        <v>12</v>
      </c>
      <c r="J3838" s="23" t="inlineStr">
        <is>
          <t>978-5-227-05711-2</t>
        </is>
      </c>
      <c r="K3838" s="23" t="inlineStr">
        <is>
          <t>84x108 1/32</t>
        </is>
      </c>
      <c r="L3838" s="23" t="inlineStr">
        <is>
          <t>тв</t>
        </is>
      </c>
      <c r="M3838" s="23" t="n">
        <v>576</v>
      </c>
      <c r="N3838" s="23" t="n">
        <v>2015</v>
      </c>
      <c r="O3838" s="23" t="n">
        <v>566</v>
      </c>
      <c r="P3838" s="23" t="n"/>
      <c r="Q3838" s="23" t="n"/>
      <c r="R3838" s="25" t="inlineStr">
        <is>
          <t>«Крейсерову сонату» Проханова не надо путать с «Крейцеровой сонатой» Толстого._x000D_
«Крейсерова соната» — это роман о крейсере «Курск», траги­чески погибшем в ледяной пучине. Это роман о том, как русская трагедия, русская тьма превращаются в русский свет. Роман о том, что  даже в самой кромешной безнадежной действительности присутствует таинственное лучезарное начало, имя которому — русское чудо. Герои произведения несут в себе это чудо и, сражаясь, казалось бы, с всесильным злом, побеждают  его силой своих любящих, верящих в небеса сердец.</t>
        </is>
      </c>
      <c r="S3838" s="26">
        <f>HYPERLINK("http://www.cnpol.ru/covers/15866.jpg","фото на сайте")</f>
        <v/>
      </c>
    </row>
    <row r="3839" ht="50.1" customHeight="1" s="3">
      <c r="A3839" s="23" t="n"/>
      <c r="B3839" s="24" t="inlineStr">
        <is>
          <t>18311</t>
        </is>
      </c>
      <c r="C3839" s="23" t="inlineStr">
        <is>
          <t>ОИ ПРОЗА</t>
        </is>
      </c>
      <c r="D3839" s="23" t="inlineStr">
        <is>
          <t>Прасолов В.Г.</t>
        </is>
      </c>
      <c r="E3839" s="23" t="inlineStr">
        <is>
          <t>Ледовый материк. Вангол-4</t>
        </is>
      </c>
      <c r="F3839" s="23" t="inlineStr">
        <is>
          <t>        </t>
        </is>
      </c>
      <c r="G3839" s="23" t="n">
        <v>653</v>
      </c>
      <c r="H3839" s="23" t="n">
        <v>10</v>
      </c>
      <c r="I3839" s="23" t="n">
        <v>14</v>
      </c>
      <c r="J3839" s="23" t="inlineStr">
        <is>
          <t>978-5-227-08336-4</t>
        </is>
      </c>
      <c r="K3839" s="23" t="inlineStr">
        <is>
          <t>84x108 1/32</t>
        </is>
      </c>
      <c r="L3839" s="23" t="inlineStr">
        <is>
          <t>тв</t>
        </is>
      </c>
      <c r="M3839" s="23" t="n">
        <v>288</v>
      </c>
      <c r="N3839" s="23" t="n">
        <v>2018</v>
      </c>
      <c r="O3839" s="23" t="n">
        <v>254</v>
      </c>
      <c r="P3839" s="23" t="n"/>
      <c r="Q3839" s="23" t="n"/>
      <c r="R3839" s="25" t="inlineStr">
        <is>
          <t>Книга завершает историю Вангола, человека невероятной судьбы, обладающего удивительными, сверхъестественными способностями. Разведывательная группа «Северный ветер», возглавляемая Ванголом, на подводных лодках достигает берегов Антарктиды. Здесь, в секретных лабораториях Новой Швабии, немцы создают супермощное оружие, с помощью которого Германия надеется покорить весь мир, конструируют летательные аппараты нового типа, культивируют новую совершенную расу. Многочисленные трудности и приключения выпадают на долю разведчиков, прежде чем они ступают на зеленый берег подледной Антарктиды. Пойдя на риск, бойцы отряда Вангола совместно с немецкими инженерами­антифашистами проводят успешную операцию по захвату поселка, где расположен закрытый технический комплекс, ведущий работу над проектом «Хронос». В подледной Антарктиде Вангол встречается со своей женой Ольгой, внедренной ранее в тыл врага. Но минуты личного счастья пролетают быстро — Ванголу, в совершенстве владеющему немецким языком, приходится под видом гауптмана Шварца отправиться на вражеской подводной лодке на Большую землю, чтобы передать командованию полученные разведданные. В этом походе Вангол отдает свою жизнь ради Победы, стремясь предотвратить доставку на фронт нового, обладающего разрушительной силой химического оружия.</t>
        </is>
      </c>
      <c r="S3839" s="26">
        <f>HYPERLINK("http://www.cnpol.ru/covers/18311.jpg","фото на сайте")</f>
        <v/>
      </c>
    </row>
    <row r="3840" ht="50.1" customHeight="1" s="3">
      <c r="A3840" s="23" t="n"/>
      <c r="B3840" s="24" t="inlineStr">
        <is>
          <t>11423</t>
        </is>
      </c>
      <c r="C3840" s="23" t="inlineStr">
        <is>
          <t>ОИ ПРОЗА</t>
        </is>
      </c>
      <c r="D3840" s="23" t="inlineStr">
        <is>
          <t>Петелин В.В.</t>
        </is>
      </c>
      <c r="E3840" s="23" t="inlineStr">
        <is>
          <t>Мой XX век. Счастье быть самим собой</t>
        </is>
      </c>
      <c r="F3840" s="23" t="inlineStr">
        <is>
          <t>        </t>
        </is>
      </c>
      <c r="G3840" s="27" t="n">
        <v>1608</v>
      </c>
      <c r="H3840" s="23" t="n">
        <v>10</v>
      </c>
      <c r="I3840" s="23" t="n">
        <v>8</v>
      </c>
      <c r="J3840" s="23" t="inlineStr">
        <is>
          <t>978-5-9524-4505-5</t>
        </is>
      </c>
      <c r="K3840" s="23" t="inlineStr">
        <is>
          <t>60x84 1/16</t>
        </is>
      </c>
      <c r="L3840" s="23" t="inlineStr">
        <is>
          <t>тв</t>
        </is>
      </c>
      <c r="M3840" s="23" t="n">
        <v>639</v>
      </c>
      <c r="N3840" s="23" t="n">
        <v>2010</v>
      </c>
      <c r="O3840" s="23" t="n">
        <v>720</v>
      </c>
      <c r="P3840" s="23" t="n"/>
      <c r="Q3840" s="23" t="n"/>
      <c r="R3840" s="25" t="n"/>
      <c r="S3840" s="26">
        <f>HYPERLINK("http://www.cnpol.ru/covers/11423.jpg","фото на сайте")</f>
        <v/>
      </c>
    </row>
    <row r="3841" ht="50.1" customHeight="1" s="3">
      <c r="A3841" s="23" t="n"/>
      <c r="B3841" s="24" t="inlineStr">
        <is>
          <t>17781</t>
        </is>
      </c>
      <c r="C3841" s="23" t="inlineStr">
        <is>
          <t>ОИ ПРОЗА</t>
        </is>
      </c>
      <c r="D3841" s="23" t="inlineStr">
        <is>
          <t>Павич М, Михайлович Я.</t>
        </is>
      </c>
      <c r="E3841" s="23" t="inlineStr">
        <is>
          <t>На берегах Хазарского моря. Две жизни - одна любовь</t>
        </is>
      </c>
      <c r="F3841" s="23" t="inlineStr">
        <is>
          <t>        </t>
        </is>
      </c>
      <c r="G3841" s="23" t="n">
        <v>653</v>
      </c>
      <c r="H3841" s="23" t="n">
        <v>10</v>
      </c>
      <c r="I3841" s="23" t="n">
        <v>16</v>
      </c>
      <c r="J3841" s="23" t="inlineStr">
        <is>
          <t>978-5-227-07717-2</t>
        </is>
      </c>
      <c r="K3841" s="23" t="inlineStr">
        <is>
          <t>82x100 1/32</t>
        </is>
      </c>
      <c r="L3841" s="23" t="inlineStr">
        <is>
          <t>тв</t>
        </is>
      </c>
      <c r="M3841" s="23" t="n">
        <v>192</v>
      </c>
      <c r="N3841" s="23" t="n">
        <v>2017</v>
      </c>
      <c r="O3841" s="23" t="n">
        <v>210</v>
      </c>
      <c r="P3841" s="23" t="n"/>
      <c r="Q3841" s="23" t="n"/>
      <c r="R3841" s="25" t="n"/>
      <c r="S3841" s="26">
        <f>HYPERLINK("http://www.cnpol.ru/covers/17781.jpg","фото на сайте")</f>
        <v/>
      </c>
    </row>
    <row r="3842" ht="50.1" customHeight="1" s="3">
      <c r="A3842" s="23" t="n"/>
      <c r="B3842" s="24" t="inlineStr">
        <is>
          <t>18045</t>
        </is>
      </c>
      <c r="C3842" s="23" t="inlineStr">
        <is>
          <t>ОИ ПРОЗА</t>
        </is>
      </c>
      <c r="D3842" s="23" t="inlineStr">
        <is>
          <t>Кучер С.</t>
        </is>
      </c>
      <c r="E3842" s="23" t="inlineStr">
        <is>
          <t>На одном дыхании. Хорошие истории</t>
        </is>
      </c>
      <c r="F3842" s="23" t="inlineStr">
        <is>
          <t>        </t>
        </is>
      </c>
      <c r="G3842" s="23" t="n">
        <v>633</v>
      </c>
      <c r="H3842" s="23" t="n">
        <v>10</v>
      </c>
      <c r="I3842" s="23" t="n">
        <v>18</v>
      </c>
      <c r="J3842" s="23" t="inlineStr">
        <is>
          <t>978-5-227-07840-7</t>
        </is>
      </c>
      <c r="K3842" s="23" t="inlineStr">
        <is>
          <t>82x100 1/32</t>
        </is>
      </c>
      <c r="L3842" s="23" t="inlineStr">
        <is>
          <t>тв</t>
        </is>
      </c>
      <c r="M3842" s="23" t="n">
        <v>352</v>
      </c>
      <c r="N3842" s="23" t="n">
        <v>2018</v>
      </c>
      <c r="O3842" s="23" t="n">
        <v>298</v>
      </c>
      <c r="P3842" s="23" t="n"/>
      <c r="Q3842" s="23" t="n"/>
      <c r="R3842" s="25" t="n"/>
      <c r="S3842" s="26">
        <f>HYPERLINK("http://www.cnpol.ru/covers/18045.jpg","фото на сайте")</f>
        <v/>
      </c>
    </row>
    <row r="3843" ht="50.1" customHeight="1" s="3">
      <c r="A3843" s="23" t="n"/>
      <c r="B3843" s="24" t="inlineStr">
        <is>
          <t>16839</t>
        </is>
      </c>
      <c r="C3843" s="23" t="inlineStr">
        <is>
          <t>ОИ ПРОЗА</t>
        </is>
      </c>
      <c r="D3843" s="23" t="inlineStr">
        <is>
          <t>Проханов А.А</t>
        </is>
      </c>
      <c r="E3843" s="23" t="inlineStr">
        <is>
          <t>Надпись</t>
        </is>
      </c>
      <c r="F3843" s="23" t="inlineStr">
        <is>
          <t>        </t>
        </is>
      </c>
      <c r="G3843" s="27" t="n">
        <v>1205</v>
      </c>
      <c r="H3843" s="23" t="n">
        <v>10</v>
      </c>
      <c r="I3843" s="23" t="n">
        <v>8</v>
      </c>
      <c r="J3843" s="23" t="inlineStr">
        <is>
          <t>978-5-227-06818-7</t>
        </is>
      </c>
      <c r="K3843" s="23" t="inlineStr">
        <is>
          <t>84x108 1/32</t>
        </is>
      </c>
      <c r="L3843" s="23" t="inlineStr">
        <is>
          <t>тв</t>
        </is>
      </c>
      <c r="M3843" s="23" t="n">
        <v>800</v>
      </c>
      <c r="N3843" s="23" t="n">
        <v>2016</v>
      </c>
      <c r="O3843" s="23" t="n">
        <v>762</v>
      </c>
      <c r="P3843" s="23" t="n"/>
      <c r="Q3843" s="23" t="n"/>
      <c r="R3843" s="25" t="n"/>
      <c r="S3843" s="26">
        <f>HYPERLINK("http://www.cnpol.ru/covers/16839.jpg","фото на сайте")</f>
        <v/>
      </c>
    </row>
    <row r="3844" ht="50.1" customHeight="1" s="3">
      <c r="A3844" s="23" t="n"/>
      <c r="B3844" s="24" t="inlineStr">
        <is>
          <t>17775</t>
        </is>
      </c>
      <c r="C3844" s="23" t="inlineStr">
        <is>
          <t>ОИ ПРОЗА</t>
        </is>
      </c>
      <c r="D3844" s="23" t="inlineStr">
        <is>
          <t>Фолиянц К.</t>
        </is>
      </c>
      <c r="E3844" s="23" t="inlineStr">
        <is>
          <t>Невеста</t>
        </is>
      </c>
      <c r="F3844" s="23" t="inlineStr">
        <is>
          <t>        </t>
        </is>
      </c>
      <c r="G3844" s="23" t="n">
        <v>534</v>
      </c>
      <c r="H3844" s="23" t="n">
        <v>10</v>
      </c>
      <c r="I3844" s="23" t="n">
        <v>12</v>
      </c>
      <c r="J3844" s="23" t="inlineStr">
        <is>
          <t>978-5-227-07802-5</t>
        </is>
      </c>
      <c r="K3844" s="23" t="inlineStr">
        <is>
          <t>84x108 1/32</t>
        </is>
      </c>
      <c r="L3844" s="23" t="inlineStr">
        <is>
          <t>тв</t>
        </is>
      </c>
      <c r="M3844" s="23" t="n">
        <v>352</v>
      </c>
      <c r="N3844" s="23" t="n">
        <v>2017</v>
      </c>
      <c r="O3844" s="23" t="n">
        <v>290</v>
      </c>
      <c r="P3844" s="23" t="n"/>
      <c r="Q3844" s="23" t="n"/>
      <c r="R3844" s="25" t="n"/>
      <c r="S3844" s="26">
        <f>HYPERLINK("http://www.cnpol.ru/covers/17775.jpg","фото на сайте")</f>
        <v/>
      </c>
    </row>
    <row r="3845" ht="50.1" customHeight="1" s="3">
      <c r="A3845" s="23" t="n"/>
      <c r="B3845" s="24" t="inlineStr">
        <is>
          <t>19684</t>
        </is>
      </c>
      <c r="C3845" s="23" t="inlineStr">
        <is>
          <t>ОИ ПРОЗА</t>
        </is>
      </c>
      <c r="D3845" s="23" t="inlineStr">
        <is>
          <t>Грей Г.</t>
        </is>
      </c>
      <c r="E3845" s="23" t="inlineStr">
        <is>
          <t>Однажды в Америке</t>
        </is>
      </c>
      <c r="F3845" s="23" t="inlineStr">
        <is>
          <t>        </t>
        </is>
      </c>
      <c r="G3845" s="23" t="n">
        <v>693</v>
      </c>
      <c r="H3845" s="23" t="n">
        <v>10</v>
      </c>
      <c r="I3845" s="23" t="n">
        <v>8</v>
      </c>
      <c r="J3845" s="23" t="inlineStr">
        <is>
          <t>978-5-9524-5550-4</t>
        </is>
      </c>
      <c r="K3845" s="23" t="inlineStr">
        <is>
          <t>84x108 1/32</t>
        </is>
      </c>
      <c r="L3845" s="23" t="inlineStr">
        <is>
          <t>тв</t>
        </is>
      </c>
      <c r="M3845" s="23" t="n">
        <v>512</v>
      </c>
      <c r="N3845" s="23" t="n">
        <v>2021</v>
      </c>
      <c r="O3845" s="23" t="n">
        <v>390</v>
      </c>
      <c r="P3845" s="23" t="n"/>
      <c r="Q3845" s="23" t="n"/>
      <c r="R3845" s="25" t="n"/>
      <c r="S3845" s="26">
        <f>HYPERLINK("http://www.cnpol.ru/covers/19684.jpg","фото на сайте")</f>
        <v/>
      </c>
    </row>
    <row r="3846" ht="50.1" customHeight="1" s="3">
      <c r="A3846" s="23" t="n"/>
      <c r="B3846" s="24" t="inlineStr">
        <is>
          <t>17734</t>
        </is>
      </c>
      <c r="C3846" s="23" t="inlineStr">
        <is>
          <t>ОИ ПРОЗА</t>
        </is>
      </c>
      <c r="D3846" s="23" t="inlineStr">
        <is>
          <t>Анташкевич Е.М.</t>
        </is>
      </c>
      <c r="E3846" s="23" t="inlineStr">
        <is>
          <t>Олег. Романтическая история о великом князе по мотивам русской летописи «Повесть временных лет» монаха Киево-Печерского монастыря преподобного Нестора-летописца</t>
        </is>
      </c>
      <c r="F3846" s="23" t="inlineStr">
        <is>
          <t>        </t>
        </is>
      </c>
      <c r="G3846" s="23" t="n">
        <v>781</v>
      </c>
      <c r="H3846" s="23" t="n">
        <v>10</v>
      </c>
      <c r="I3846" s="23" t="n">
        <v>12</v>
      </c>
      <c r="J3846" s="23" t="inlineStr">
        <is>
          <t>978-5-227-07516-1</t>
        </is>
      </c>
      <c r="K3846" s="23" t="inlineStr">
        <is>
          <t>84x108 1/32</t>
        </is>
      </c>
      <c r="L3846" s="23" t="inlineStr">
        <is>
          <t>тв</t>
        </is>
      </c>
      <c r="M3846" s="23" t="n">
        <v>320</v>
      </c>
      <c r="N3846" s="23" t="n">
        <v>2017</v>
      </c>
      <c r="O3846" s="23" t="n">
        <v>353</v>
      </c>
      <c r="P3846" s="23" t="n"/>
      <c r="Q3846" s="23" t="n"/>
      <c r="R3846" s="25" t="n"/>
      <c r="S3846" s="26">
        <f>HYPERLINK("http://www.cnpol.ru/covers/17734.jpg","фото на сайте")</f>
        <v/>
      </c>
    </row>
    <row r="3847" ht="50.1" customHeight="1" s="3">
      <c r="A3847" s="23" t="inlineStr">
        <is>
          <t>Н</t>
        </is>
      </c>
      <c r="B3847" s="24" t="inlineStr">
        <is>
          <t>21101</t>
        </is>
      </c>
      <c r="C3847" s="23" t="inlineStr">
        <is>
          <t>ОИ ПРОЗА</t>
        </is>
      </c>
      <c r="D3847" s="23" t="inlineStr">
        <is>
          <t>Дёмин М.</t>
        </is>
      </c>
      <c r="E3847" s="23" t="inlineStr">
        <is>
          <t>Перекрестки судеб</t>
        </is>
      </c>
      <c r="F3847" s="23" t="inlineStr">
        <is>
          <t>        </t>
        </is>
      </c>
      <c r="G3847" s="23" t="n">
        <v>766</v>
      </c>
      <c r="H3847" s="23" t="n">
        <v>10</v>
      </c>
      <c r="I3847" s="23" t="n">
        <v>14</v>
      </c>
      <c r="J3847" s="23" t="inlineStr">
        <is>
          <t>978-5-227-10657-5</t>
        </is>
      </c>
      <c r="K3847" s="23" t="inlineStr">
        <is>
          <t>84x108 1/32</t>
        </is>
      </c>
      <c r="L3847" s="23" t="inlineStr">
        <is>
          <t>тв</t>
        </is>
      </c>
      <c r="M3847" s="23" t="n">
        <v>383</v>
      </c>
      <c r="N3847" s="23" t="n">
        <v>2024</v>
      </c>
      <c r="O3847" s="23" t="n">
        <v>419</v>
      </c>
      <c r="P3847" s="23" t="n"/>
      <c r="Q3847" s="23" t="n"/>
      <c r="R3847" s="25" t="inlineStr">
        <is>
          <t>Бродяга, вор-майданник, лагерник, искатель приключений, художник, журналист Михаил Дёмин, он же Георгий Трифонов — брат Юрия Трифонова. В тюрьме Дёмину приходилось скрывать свое истинное происхождение. Старый друг сочинил ему «правильную» биографию: мать — проститутка, отец — профессиональный вор… После освобождения Михаил Дёмин начал печататься сначала в сибирской, затем в центральной прессе, выпустил четыре сборника стихов и книгу прозы. В 1968 году уехал в Париж и стал писателем-невозвращенцем. На Западе опубликовал автобиографическую трилогию «Блатной», «Таежный бродяга», «Рыжий дьявол»._x000D_
Его перу также принадлежит предлагаемая сегодня вам дилогия в уникальном жанре уголовного детектива «Перекрестки судеб». Первая часть «…И пять бутылок водки», ее герои — уголовники, действующие на юге Украины, а вторая — «Тайны сибирских алмазов», в ней мы погрузимся в жестокий мир алмазных приисков и таежных болот Якутии. Ранее эти книги были изданы в России небольшими тиражами лишь в 1990-х годах и почти не известны современному читателю. А писал Дёмин очень увлекательно, с пониманием не только уголовного мира, но и природы и этнографии народов Севера.</t>
        </is>
      </c>
      <c r="S3847" s="26">
        <f>HYPERLINK("http://www.cnpol.ru/covers/21101.jpg","фото на сайте")</f>
        <v/>
      </c>
    </row>
    <row r="3848" ht="50.1" customHeight="1" s="3">
      <c r="A3848" s="23" t="n"/>
      <c r="B3848" s="24" t="inlineStr">
        <is>
          <t>18666</t>
        </is>
      </c>
      <c r="C3848" s="23" t="inlineStr">
        <is>
          <t>ОИ ПРОЗА</t>
        </is>
      </c>
      <c r="D3848" s="23" t="inlineStr">
        <is>
          <t>Белкин А.П.</t>
        </is>
      </c>
      <c r="E3848" s="23" t="inlineStr">
        <is>
          <t>Повести Пушкина</t>
        </is>
      </c>
      <c r="F3848" s="23" t="inlineStr">
        <is>
          <t>        </t>
        </is>
      </c>
      <c r="G3848" s="23" t="n">
        <v>633</v>
      </c>
      <c r="H3848" s="23" t="n">
        <v>10</v>
      </c>
      <c r="I3848" s="23" t="n">
        <v>12</v>
      </c>
      <c r="J3848" s="23" t="inlineStr">
        <is>
          <t>978-5-227-08603-7</t>
        </is>
      </c>
      <c r="K3848" s="23" t="inlineStr">
        <is>
          <t>84x108 1/32</t>
        </is>
      </c>
      <c r="L3848" s="23" t="inlineStr">
        <is>
          <t>тв</t>
        </is>
      </c>
      <c r="M3848" s="23" t="n">
        <v>288</v>
      </c>
      <c r="N3848" s="23" t="n">
        <v>2019</v>
      </c>
      <c r="O3848" s="23" t="n">
        <v>336</v>
      </c>
      <c r="P3848" s="23" t="n"/>
      <c r="Q3848" s="23" t="n"/>
      <c r="R3848" s="25" t="n"/>
      <c r="S3848" s="26">
        <f>HYPERLINK("http://www.cnpol.ru/covers/18666.jpg","фото на сайте")</f>
        <v/>
      </c>
    </row>
    <row r="3849" ht="50.1" customHeight="1" s="3">
      <c r="A3849" s="23" t="n"/>
      <c r="B3849" s="24" t="inlineStr">
        <is>
          <t>14843</t>
        </is>
      </c>
      <c r="C3849" s="23" t="inlineStr">
        <is>
          <t>ОИ ПРОЗА</t>
        </is>
      </c>
      <c r="D3849" s="23" t="inlineStr">
        <is>
          <t>Колганов В. А.</t>
        </is>
      </c>
      <c r="E3849" s="23" t="inlineStr">
        <is>
          <t>Покаянные сны Михаила Афанасьевича</t>
        </is>
      </c>
      <c r="F3849" s="23" t="inlineStr">
        <is>
          <t>        </t>
        </is>
      </c>
      <c r="G3849" s="23" t="n">
        <v>851</v>
      </c>
      <c r="H3849" s="23" t="n">
        <v>10</v>
      </c>
      <c r="I3849" s="23" t="n">
        <v>14</v>
      </c>
      <c r="J3849" s="23" t="inlineStr">
        <is>
          <t>978-5-227-04538-6</t>
        </is>
      </c>
      <c r="K3849" s="23" t="inlineStr">
        <is>
          <t>60x90 1/16</t>
        </is>
      </c>
      <c r="L3849" s="23" t="inlineStr">
        <is>
          <t>тв</t>
        </is>
      </c>
      <c r="M3849" s="23" t="n">
        <v>352</v>
      </c>
      <c r="N3849" s="23" t="n">
        <v>2014</v>
      </c>
      <c r="O3849" s="23" t="n">
        <v>440</v>
      </c>
      <c r="P3849" s="23" t="n"/>
      <c r="Q3849" s="23" t="n"/>
      <c r="R3849" s="25" t="n"/>
      <c r="S3849" s="26">
        <f>HYPERLINK("http://www.cnpol.ru/covers/14843.jpg","фото на сайте")</f>
        <v/>
      </c>
    </row>
    <row r="3850" ht="50.1" customHeight="1" s="3">
      <c r="A3850" s="23" t="n"/>
      <c r="B3850" s="24" t="inlineStr">
        <is>
          <t>16409</t>
        </is>
      </c>
      <c r="C3850" s="23" t="inlineStr">
        <is>
          <t>ОИ ПРОЗА</t>
        </is>
      </c>
      <c r="D3850" s="23" t="inlineStr">
        <is>
          <t>Проханов А.А</t>
        </is>
      </c>
      <c r="E3850" s="23" t="inlineStr">
        <is>
          <t>Политолог</t>
        </is>
      </c>
      <c r="F3850" s="23" t="inlineStr">
        <is>
          <t>        </t>
        </is>
      </c>
      <c r="G3850" s="27" t="n">
        <v>1205</v>
      </c>
      <c r="H3850" s="23" t="n">
        <v>10</v>
      </c>
      <c r="I3850" s="23" t="n">
        <v>8</v>
      </c>
      <c r="J3850" s="23" t="inlineStr">
        <is>
          <t>978-5-227-05971-0</t>
        </is>
      </c>
      <c r="K3850" s="23" t="inlineStr">
        <is>
          <t>84x108 1/32</t>
        </is>
      </c>
      <c r="L3850" s="23" t="inlineStr">
        <is>
          <t>тв</t>
        </is>
      </c>
      <c r="M3850" s="23" t="n">
        <v>800</v>
      </c>
      <c r="N3850" s="23" t="n">
        <v>2015</v>
      </c>
      <c r="O3850" s="23" t="n">
        <v>700</v>
      </c>
      <c r="P3850" s="23" t="n"/>
      <c r="Q3850" s="23" t="n"/>
      <c r="R3850" s="25" t="n"/>
      <c r="S3850" s="26">
        <f>HYPERLINK("http://www.cnpol.ru/covers/16409.jpg","фото на сайте")</f>
        <v/>
      </c>
    </row>
    <row r="3851" ht="50.1" customHeight="1" s="3">
      <c r="A3851" s="23" t="n"/>
      <c r="B3851" s="24" t="inlineStr">
        <is>
          <t>20535</t>
        </is>
      </c>
      <c r="C3851" s="23" t="inlineStr">
        <is>
          <t>ОИ ПРОЗА</t>
        </is>
      </c>
      <c r="D3851" s="23" t="inlineStr">
        <is>
          <t>Джеймс Г.</t>
        </is>
      </c>
      <c r="E3851" s="23" t="inlineStr">
        <is>
          <t>Портрет леди</t>
        </is>
      </c>
      <c r="F3851" s="23" t="inlineStr">
        <is>
          <t>        </t>
        </is>
      </c>
      <c r="G3851" s="27" t="n">
        <v>1533</v>
      </c>
      <c r="H3851" s="23" t="n">
        <v>10</v>
      </c>
      <c r="I3851" s="23" t="n">
        <v>6</v>
      </c>
      <c r="J3851" s="23" t="inlineStr">
        <is>
          <t>978-5-227-09842-9</t>
        </is>
      </c>
      <c r="K3851" s="23" t="inlineStr">
        <is>
          <t>84x108 1/32</t>
        </is>
      </c>
      <c r="L3851" s="23" t="inlineStr">
        <is>
          <t>тв</t>
        </is>
      </c>
      <c r="M3851" s="23" t="n">
        <v>607</v>
      </c>
      <c r="N3851" s="23" t="n">
        <v>2023</v>
      </c>
      <c r="O3851" s="23" t="n">
        <v>606</v>
      </c>
      <c r="P3851" s="23" t="n"/>
      <c r="Q3851" s="23" t="n"/>
      <c r="R3851" s="25" t="inlineStr">
        <is>
          <t>Молодая американка Изабелла Арчер по приглашению тетушки приезжает в Англию. Мисс Арчер хороша собой, обладает живым характером и в целом очаровательна. Ею движет желание увидеть мир, однако, не имея средств, Изабелла может довольствоваться лишь ролью компаньонки своей тетки. Внезапно свалившееся на нее состояние позволяет ей претворить мечты в реальность, однако, разбогатев, Изабелла рискует стать инструментом для достижения поставленных кем-то целей. Генри Джеймс (1843—1916), признанный классик американской литературы, заглядывает в таинственные глубины женской души и создает достоверный и поистине прекрасный портрет, попутно отвечая на извечный вопрос: богатство — дар судьбы или проклятье?..</t>
        </is>
      </c>
      <c r="S3851" s="26">
        <f>HYPERLINK("http://www.cnpol.ru/covers/20535.jpg","фото на сайте")</f>
        <v/>
      </c>
    </row>
    <row r="3852" ht="50.1" customHeight="1" s="3">
      <c r="A3852" s="23" t="n"/>
      <c r="B3852" s="24" t="inlineStr">
        <is>
          <t>19754</t>
        </is>
      </c>
      <c r="C3852" s="23" t="inlineStr">
        <is>
          <t>ОИ ПРОЗА</t>
        </is>
      </c>
      <c r="D3852" s="23" t="inlineStr">
        <is>
          <t>Некрасова Д.</t>
        </is>
      </c>
      <c r="E3852" s="23" t="inlineStr">
        <is>
          <t>Поцелуй из пятого измерения</t>
        </is>
      </c>
      <c r="F3852" s="23" t="inlineStr">
        <is>
          <t>        </t>
        </is>
      </c>
      <c r="G3852" s="23" t="n">
        <v>806</v>
      </c>
      <c r="H3852" s="23" t="n">
        <v>10</v>
      </c>
      <c r="I3852" s="23" t="n">
        <v>10</v>
      </c>
      <c r="J3852" s="23" t="inlineStr">
        <is>
          <t>978-5-227-09546-6</t>
        </is>
      </c>
      <c r="K3852" s="23" t="inlineStr">
        <is>
          <t>84x108 1/32</t>
        </is>
      </c>
      <c r="L3852" s="23" t="inlineStr">
        <is>
          <t>тв</t>
        </is>
      </c>
      <c r="M3852" s="23" t="n">
        <v>288</v>
      </c>
      <c r="N3852" s="23" t="n">
        <v>2021</v>
      </c>
      <c r="O3852" s="23" t="n">
        <v>252</v>
      </c>
      <c r="P3852" s="23" t="n"/>
      <c r="Q3852" s="23" t="n"/>
      <c r="R3852" s="25" t="n"/>
      <c r="S3852" s="26">
        <f>HYPERLINK("http://www.cnpol.ru/covers/19754.jpg","фото на сайте")</f>
        <v/>
      </c>
    </row>
    <row r="3853" ht="50.1" customHeight="1" s="3">
      <c r="A3853" s="23" t="n"/>
      <c r="B3853" s="24" t="inlineStr">
        <is>
          <t>18121</t>
        </is>
      </c>
      <c r="C3853" s="23" t="inlineStr">
        <is>
          <t>ОИ ПРОЗА</t>
        </is>
      </c>
      <c r="D3853" s="23" t="inlineStr">
        <is>
          <t>Прокудин Н.</t>
        </is>
      </c>
      <c r="E3853" s="23" t="inlineStr">
        <is>
          <t>Прощай, Германия!</t>
        </is>
      </c>
      <c r="F3853" s="23" t="inlineStr">
        <is>
          <t>        </t>
        </is>
      </c>
      <c r="G3853" s="23" t="n">
        <v>633</v>
      </c>
      <c r="H3853" s="23" t="n">
        <v>10</v>
      </c>
      <c r="I3853" s="23" t="n">
        <v>10</v>
      </c>
      <c r="J3853" s="23" t="inlineStr">
        <is>
          <t>978-5-227-08188-9</t>
        </is>
      </c>
      <c r="K3853" s="23" t="inlineStr">
        <is>
          <t>84x108 1/32</t>
        </is>
      </c>
      <c r="L3853" s="23" t="inlineStr">
        <is>
          <t>тв</t>
        </is>
      </c>
      <c r="M3853" s="23" t="n">
        <v>480</v>
      </c>
      <c r="N3853" s="23" t="n">
        <v>2018</v>
      </c>
      <c r="O3853" s="23" t="n">
        <v>366</v>
      </c>
      <c r="P3853" s="23" t="n"/>
      <c r="Q3853" s="23" t="n"/>
      <c r="R3853" s="25" t="n"/>
      <c r="S3853" s="26">
        <f>HYPERLINK("http://www.cnpol.ru/covers/18121.jpg","фото на сайте")</f>
        <v/>
      </c>
    </row>
    <row r="3854" ht="50.1" customHeight="1" s="3">
      <c r="A3854" s="23" t="n"/>
      <c r="B3854" s="24" t="inlineStr">
        <is>
          <t>17138</t>
        </is>
      </c>
      <c r="C3854" s="23" t="inlineStr">
        <is>
          <t>ОИ ПРОЗА</t>
        </is>
      </c>
      <c r="D3854" s="23" t="inlineStr">
        <is>
          <t>Нагаев С.Э.</t>
        </is>
      </c>
      <c r="E3854" s="23" t="inlineStr">
        <is>
          <t>Прямо сейчас</t>
        </is>
      </c>
      <c r="F3854" s="23" t="inlineStr">
        <is>
          <t>        </t>
        </is>
      </c>
      <c r="G3854" s="23" t="n">
        <v>554</v>
      </c>
      <c r="H3854" s="23" t="n">
        <v>10</v>
      </c>
      <c r="I3854" s="23" t="n">
        <v>10</v>
      </c>
      <c r="J3854" s="23" t="inlineStr">
        <is>
          <t>978-5-227-06568-1</t>
        </is>
      </c>
      <c r="K3854" s="23" t="inlineStr">
        <is>
          <t>84x108 1/32</t>
        </is>
      </c>
      <c r="L3854" s="23" t="inlineStr">
        <is>
          <t>тв</t>
        </is>
      </c>
      <c r="M3854" s="23" t="n">
        <v>416</v>
      </c>
      <c r="N3854" s="23" t="n">
        <v>2016</v>
      </c>
      <c r="O3854" s="23" t="n">
        <v>390</v>
      </c>
      <c r="P3854" s="23" t="n"/>
      <c r="Q3854" s="23" t="n"/>
      <c r="R3854" s="25" t="n"/>
      <c r="S3854" s="26">
        <f>HYPERLINK("http://www.cnpol.ru/covers/17138.jpg","фото на сайте")</f>
        <v/>
      </c>
    </row>
    <row r="3855" ht="50.1" customHeight="1" s="3">
      <c r="A3855" s="23" t="n"/>
      <c r="B3855" s="24" t="inlineStr">
        <is>
          <t>18243</t>
        </is>
      </c>
      <c r="C3855" s="23" t="inlineStr">
        <is>
          <t>ОИ ПРОЗА</t>
        </is>
      </c>
      <c r="D3855" s="23" t="inlineStr">
        <is>
          <t>Рысь Е.</t>
        </is>
      </c>
      <c r="E3855" s="23" t="inlineStr">
        <is>
          <t>Религия бешеных</t>
        </is>
      </c>
      <c r="F3855" s="23" t="inlineStr">
        <is>
          <t>        </t>
        </is>
      </c>
      <c r="G3855" s="23" t="n">
        <v>633</v>
      </c>
      <c r="H3855" s="23" t="n">
        <v>10</v>
      </c>
      <c r="I3855" s="23" t="n">
        <v>8</v>
      </c>
      <c r="J3855" s="23" t="inlineStr">
        <is>
          <t>978-5-227-07860-5</t>
        </is>
      </c>
      <c r="K3855" s="23" t="inlineStr">
        <is>
          <t>84x108 1/32</t>
        </is>
      </c>
      <c r="L3855" s="23" t="inlineStr">
        <is>
          <t>тв</t>
        </is>
      </c>
      <c r="M3855" s="23" t="n">
        <v>512</v>
      </c>
      <c r="N3855" s="23" t="n">
        <v>2018</v>
      </c>
      <c r="O3855" s="23" t="n">
        <v>392</v>
      </c>
      <c r="P3855" s="23" t="n"/>
      <c r="Q3855" s="23" t="n"/>
      <c r="R3855" s="25" t="n"/>
      <c r="S3855" s="26">
        <f>HYPERLINK("http://www.cnpol.ru/covers/18243.jpg","фото на сайте")</f>
        <v/>
      </c>
    </row>
    <row r="3856" ht="50.1" customHeight="1" s="3">
      <c r="A3856" s="23" t="n"/>
      <c r="B3856" s="24" t="inlineStr">
        <is>
          <t>17153</t>
        </is>
      </c>
      <c r="C3856" s="23" t="inlineStr">
        <is>
          <t>ОИ ПРОЗА</t>
        </is>
      </c>
      <c r="D3856" s="23" t="inlineStr">
        <is>
          <t>Мернисси Ф.</t>
        </is>
      </c>
      <c r="E3856" s="23" t="inlineStr">
        <is>
          <t>Рожденная в гареме. Любовь, мечты... и неприкрытая правда</t>
        </is>
      </c>
      <c r="F3856" s="23" t="inlineStr">
        <is>
          <t>        </t>
        </is>
      </c>
      <c r="G3856" s="23" t="n">
        <v>480</v>
      </c>
      <c r="H3856" s="23" t="n">
        <v>10</v>
      </c>
      <c r="I3856" s="23" t="n">
        <v>16</v>
      </c>
      <c r="J3856" s="23" t="inlineStr">
        <is>
          <t>978-5-227-07128-6</t>
        </is>
      </c>
      <c r="K3856" s="23" t="inlineStr">
        <is>
          <t>84x108 1/32</t>
        </is>
      </c>
      <c r="L3856" s="23" t="inlineStr">
        <is>
          <t>Интегр</t>
        </is>
      </c>
      <c r="M3856" s="23" t="n">
        <v>287</v>
      </c>
      <c r="N3856" s="23" t="n">
        <v>2016</v>
      </c>
      <c r="O3856" s="23" t="n">
        <v>228</v>
      </c>
      <c r="P3856" s="23" t="n"/>
      <c r="Q3856" s="23" t="n"/>
      <c r="R3856" s="25" t="n"/>
      <c r="S3856" s="26">
        <f>HYPERLINK("http://www.cnpol.ru/covers/17153.jpg","фото на сайте")</f>
        <v/>
      </c>
    </row>
    <row r="3857" ht="50.1" customHeight="1" s="3">
      <c r="A3857" s="23" t="n"/>
      <c r="B3857" s="24" t="inlineStr">
        <is>
          <t>18338</t>
        </is>
      </c>
      <c r="C3857" s="23" t="inlineStr">
        <is>
          <t>ОИ ПРОЗА</t>
        </is>
      </c>
      <c r="D3857" s="23" t="inlineStr">
        <is>
          <t>Дёмин М.</t>
        </is>
      </c>
      <c r="E3857" s="23" t="inlineStr">
        <is>
          <t>Рыжий дьявол</t>
        </is>
      </c>
      <c r="F3857" s="23" t="inlineStr">
        <is>
          <t>        </t>
        </is>
      </c>
      <c r="G3857" s="23" t="n">
        <v>633</v>
      </c>
      <c r="H3857" s="23" t="n">
        <v>10</v>
      </c>
      <c r="I3857" s="23" t="n">
        <v>16</v>
      </c>
      <c r="J3857" s="23" t="inlineStr">
        <is>
          <t>978-5-227-07862-9</t>
        </is>
      </c>
      <c r="K3857" s="23" t="inlineStr">
        <is>
          <t>84x108 1/32</t>
        </is>
      </c>
      <c r="L3857" s="23" t="inlineStr">
        <is>
          <t>тв</t>
        </is>
      </c>
      <c r="M3857" s="23" t="n">
        <v>352</v>
      </c>
      <c r="N3857" s="23" t="n">
        <v>2018</v>
      </c>
      <c r="O3857" s="23" t="n">
        <v>370</v>
      </c>
      <c r="P3857" s="23" t="n"/>
      <c r="Q3857" s="23" t="n"/>
      <c r="R3857" s="25" t="n"/>
      <c r="S3857" s="26">
        <f>HYPERLINK("http://www.cnpol.ru/covers/18338.jpg","фото на сайте")</f>
        <v/>
      </c>
    </row>
    <row r="3858" ht="50.1" customHeight="1" s="3">
      <c r="A3858" s="23" t="n"/>
      <c r="B3858" s="24" t="inlineStr">
        <is>
          <t>15422</t>
        </is>
      </c>
      <c r="C3858" s="23" t="inlineStr">
        <is>
          <t>ОИ ПРОЗА</t>
        </is>
      </c>
      <c r="D3858" s="23" t="inlineStr">
        <is>
          <t>Фолиянц К.</t>
        </is>
      </c>
      <c r="E3858" s="23" t="inlineStr">
        <is>
          <t>Серафима прекрасная</t>
        </is>
      </c>
      <c r="F3858" s="23" t="inlineStr">
        <is>
          <t>        </t>
        </is>
      </c>
      <c r="G3858" s="23" t="n">
        <v>389</v>
      </c>
      <c r="H3858" s="23" t="n">
        <v>10</v>
      </c>
      <c r="I3858" s="23" t="n">
        <v>10</v>
      </c>
      <c r="J3858" s="23" t="inlineStr">
        <is>
          <t>978-5-227-04545-4</t>
        </is>
      </c>
      <c r="K3858" s="23" t="inlineStr">
        <is>
          <t>84x108 1/32</t>
        </is>
      </c>
      <c r="L3858" s="23" t="inlineStr">
        <is>
          <t>тв</t>
        </is>
      </c>
      <c r="M3858" s="23" t="n">
        <v>349</v>
      </c>
      <c r="N3858" s="23" t="n">
        <v>2014</v>
      </c>
      <c r="O3858" s="23" t="n">
        <v>334</v>
      </c>
      <c r="P3858" s="23" t="n"/>
      <c r="Q3858" s="23" t="n"/>
      <c r="R3858" s="25" t="n"/>
      <c r="S3858" s="26">
        <f>HYPERLINK("http://www.cnpol.ru/covers/15422.jpg","фото на сайте")</f>
        <v/>
      </c>
    </row>
    <row r="3859" ht="50.1" customHeight="1" s="3">
      <c r="A3859" s="23" t="n"/>
      <c r="B3859" s="24" t="inlineStr">
        <is>
          <t>17067</t>
        </is>
      </c>
      <c r="C3859" s="23" t="inlineStr">
        <is>
          <t>ОИ ПРОЗА</t>
        </is>
      </c>
      <c r="D3859" s="23" t="inlineStr">
        <is>
          <t>Арбитман Р.</t>
        </is>
      </c>
      <c r="E3859" s="23" t="inlineStr">
        <is>
          <t>Серийные любимцы. 105 современных сериалов, на которые не жаль потратить время</t>
        </is>
      </c>
      <c r="F3859" s="23" t="inlineStr">
        <is>
          <t>        </t>
        </is>
      </c>
      <c r="G3859" s="23" t="n">
        <v>615</v>
      </c>
      <c r="H3859" s="23" t="n">
        <v>10</v>
      </c>
      <c r="I3859" s="23" t="n">
        <v>10</v>
      </c>
      <c r="J3859" s="23" t="inlineStr">
        <is>
          <t>978-5-227-06591-9</t>
        </is>
      </c>
      <c r="K3859" s="23" t="inlineStr">
        <is>
          <t>84x108 1/32</t>
        </is>
      </c>
      <c r="L3859" s="23" t="inlineStr">
        <is>
          <t>тв</t>
        </is>
      </c>
      <c r="M3859" s="23" t="n">
        <v>416</v>
      </c>
      <c r="N3859" s="23" t="n">
        <v>2016</v>
      </c>
      <c r="O3859" s="23" t="n">
        <v>406</v>
      </c>
      <c r="P3859" s="23" t="n"/>
      <c r="Q3859" s="23" t="n"/>
      <c r="R3859" s="25" t="n"/>
      <c r="S3859" s="26">
        <f>HYPERLINK("http://www.cnpol.ru/covers/17067.jpg","фото на сайте")</f>
        <v/>
      </c>
    </row>
    <row r="3860" ht="50.1" customHeight="1" s="3">
      <c r="A3860" s="23" t="n"/>
      <c r="B3860" s="24" t="inlineStr">
        <is>
          <t>15881</t>
        </is>
      </c>
      <c r="C3860" s="23" t="inlineStr">
        <is>
          <t>ОИ ПРОЗА</t>
        </is>
      </c>
      <c r="D3860" s="23" t="inlineStr">
        <is>
          <t>Норд Н.</t>
        </is>
      </c>
      <c r="E3860" s="23" t="inlineStr">
        <is>
          <t>Серый кот по имени Степан. Трогательная история дружбы кота и человека.</t>
        </is>
      </c>
      <c r="F3860" s="23" t="inlineStr">
        <is>
          <t>        </t>
        </is>
      </c>
      <c r="G3860" s="23" t="n">
        <v>389</v>
      </c>
      <c r="H3860" s="23" t="n">
        <v>10</v>
      </c>
      <c r="I3860" s="23" t="n">
        <v>12</v>
      </c>
      <c r="J3860" s="23" t="inlineStr">
        <is>
          <t>978-5-227-05889-8</t>
        </is>
      </c>
      <c r="K3860" s="23" t="inlineStr">
        <is>
          <t>84x108 1/32</t>
        </is>
      </c>
      <c r="L3860" s="23" t="inlineStr">
        <is>
          <t>тв</t>
        </is>
      </c>
      <c r="M3860" s="23" t="n">
        <v>254</v>
      </c>
      <c r="N3860" s="23" t="n">
        <v>2015</v>
      </c>
      <c r="O3860" s="23" t="n">
        <v>234</v>
      </c>
      <c r="P3860" s="23" t="n"/>
      <c r="Q3860" s="23" t="n"/>
      <c r="R3860" s="25" t="n"/>
      <c r="S3860" s="26">
        <f>HYPERLINK("http://www.cnpol.ru/covers/15881.jpg","фото на сайте")</f>
        <v/>
      </c>
    </row>
    <row r="3861" ht="50.1" customHeight="1" s="3">
      <c r="A3861" s="23" t="inlineStr">
        <is>
          <t>Н</t>
        </is>
      </c>
      <c r="B3861" s="24" t="inlineStr">
        <is>
          <t>22210</t>
        </is>
      </c>
      <c r="C3861" s="23" t="inlineStr">
        <is>
          <t>ОИ ПРОЗА</t>
        </is>
      </c>
      <c r="D3861" s="23" t="inlineStr">
        <is>
          <t>Шебаршин А.Л.</t>
        </is>
      </c>
      <c r="E3861" s="23" t="inlineStr">
        <is>
          <t>Сказки отечественной дипломатии. Грустные и веселые, правдивые и невероятные истории от чрезвычайного и полномочного посла</t>
        </is>
      </c>
      <c r="F3861" s="23" t="inlineStr">
        <is>
          <t>        </t>
        </is>
      </c>
      <c r="G3861" s="27" t="n">
        <v>1184</v>
      </c>
      <c r="H3861" s="23" t="n">
        <v>10</v>
      </c>
      <c r="I3861" s="23" t="n">
        <v>8</v>
      </c>
      <c r="J3861" s="23" t="inlineStr">
        <is>
          <t>978-5-227-11323-8</t>
        </is>
      </c>
      <c r="K3861" s="23" t="inlineStr">
        <is>
          <t>84x108 1/32</t>
        </is>
      </c>
      <c r="L3861" s="23" t="inlineStr">
        <is>
          <t>тв</t>
        </is>
      </c>
      <c r="M3861" s="23" t="n">
        <v>415</v>
      </c>
      <c r="N3861" s="23" t="n">
        <v>2026</v>
      </c>
      <c r="O3861" s="23" t="n">
        <v>460</v>
      </c>
      <c r="P3861" s="23" t="n"/>
      <c r="Q3861" s="23" t="n"/>
      <c r="R3861" s="25" t="inlineStr">
        <is>
          <t>Достойный сын советского разведчика, начальника внешней разведки КГБ СССР Леонида Владимировича Шебаршина — Алексей Леонидович Шебаршин, несмотря на то что долгое время, будучи дипломатом, жил и работал за рубежом, не утратил чувство русского юмора, правда, специфика работы наложила все-таки некий импортный сарказм. Его произведения яркие и захватывающие, а афоризмы острые и злободневные. Предлагаем читателю познакомиться с талантливым творчеством автора. Вы прочтете правдивые истории о жизни отечественного дипломата, познакомитесь с леденящими кровь рассказами об индийских душителях-тхагах, посмеетесь над пьющими слонами, окунетесь в невероятную и фантастическую историю неземной любви и вместе с автором, с его разрешения, заглянете на чердак его памяти.</t>
        </is>
      </c>
      <c r="S3861" s="26">
        <f>HYPERLINK("http://www.cnpol.ru/covers/22210.jpg","фото на сайте")</f>
        <v/>
      </c>
    </row>
    <row r="3862" ht="50.1" customHeight="1" s="3">
      <c r="A3862" s="23" t="inlineStr">
        <is>
          <t>Д</t>
        </is>
      </c>
      <c r="B3862" s="24" t="inlineStr">
        <is>
          <t>21030</t>
        </is>
      </c>
      <c r="C3862" s="23" t="inlineStr">
        <is>
          <t>ОИ ПРОЗА</t>
        </is>
      </c>
      <c r="D3862" s="23" t="inlineStr">
        <is>
          <t>Бирс А.</t>
        </is>
      </c>
      <c r="E3862" s="23" t="inlineStr">
        <is>
          <t>Словарь Сатаны</t>
        </is>
      </c>
      <c r="F3862" s="23" t="inlineStr">
        <is>
          <t>        </t>
        </is>
      </c>
      <c r="G3862" s="27" t="n">
        <v>1063</v>
      </c>
      <c r="H3862" s="23" t="n">
        <v>10</v>
      </c>
      <c r="I3862" s="23" t="n">
        <v>12</v>
      </c>
      <c r="J3862" s="23" t="inlineStr">
        <is>
          <t>978-5-9524-6064-5</t>
        </is>
      </c>
      <c r="K3862" s="23" t="inlineStr">
        <is>
          <t>84x108 1/32</t>
        </is>
      </c>
      <c r="L3862" s="23" t="inlineStr">
        <is>
          <t>тв</t>
        </is>
      </c>
      <c r="M3862" s="23" t="n">
        <v>350</v>
      </c>
      <c r="N3862" s="23" t="n">
        <v>2024</v>
      </c>
      <c r="O3862" s="23" t="n">
        <v>395</v>
      </c>
      <c r="P3862" s="23" t="n"/>
      <c r="Q3862" s="23" t="n"/>
      <c r="R3862" s="25" t="inlineStr">
        <is>
          <t>«Словарь Сатаны» — одно из ярчайших сатирических произведений XX века, принадлежащее перу знаменитого американского писателя Амброза Бирса._x000D_
Вниманию читателей предлагается самая полная, некупированная версия произведения на русском языке. В ней содержится 998 определений. Почему не 1000? Спросите у мистера Бирса… Многие статьи автор сопроводил стихотворными иллюстрациями, их в книге около 200. Пусть вас не вводят в заблуждение ссылки на авторов, большинство из них выдуманы самим Бирсом.</t>
        </is>
      </c>
      <c r="S3862" s="26">
        <f>HYPERLINK("http://www.cnpol.ru/covers/21030.jpg","фото на сайте")</f>
        <v/>
      </c>
    </row>
    <row r="3863" ht="50.1" customHeight="1" s="3">
      <c r="A3863" s="23" t="n"/>
      <c r="B3863" s="24" t="inlineStr">
        <is>
          <t>14057</t>
        </is>
      </c>
      <c r="C3863" s="23" t="inlineStr">
        <is>
          <t>ОИ ПРОЗА</t>
        </is>
      </c>
      <c r="D3863" s="23" t="inlineStr">
        <is>
          <t>Филатов А. В.</t>
        </is>
      </c>
      <c r="E3863" s="23" t="inlineStr">
        <is>
          <t>Список Магницкого, или дети во сне не умирают</t>
        </is>
      </c>
      <c r="F3863" s="23" t="inlineStr">
        <is>
          <t>        </t>
        </is>
      </c>
      <c r="G3863" s="23" t="n">
        <v>574</v>
      </c>
      <c r="H3863" s="23" t="n">
        <v>10</v>
      </c>
      <c r="I3863" s="23" t="n">
        <v>18</v>
      </c>
      <c r="J3863" s="23" t="inlineStr">
        <is>
          <t>978-5-227-04082-4</t>
        </is>
      </c>
      <c r="K3863" s="23" t="inlineStr">
        <is>
          <t>84x108 1/32</t>
        </is>
      </c>
      <c r="L3863" s="23" t="inlineStr">
        <is>
          <t>тв</t>
        </is>
      </c>
      <c r="M3863" s="23" t="n">
        <v>256</v>
      </c>
      <c r="N3863" s="23" t="n">
        <v>2012</v>
      </c>
      <c r="O3863" s="23" t="n">
        <v>270</v>
      </c>
      <c r="P3863" s="23" t="n"/>
      <c r="Q3863" s="23" t="n"/>
      <c r="R3863" s="25" t="n"/>
      <c r="S3863" s="26">
        <f>HYPERLINK("http://www.cnpol.ru/covers/14057.jpg","фото на сайте")</f>
        <v/>
      </c>
    </row>
    <row r="3864" ht="50.1" customHeight="1" s="3">
      <c r="A3864" s="23" t="n"/>
      <c r="B3864" s="24" t="inlineStr">
        <is>
          <t>18224</t>
        </is>
      </c>
      <c r="C3864" s="23" t="inlineStr">
        <is>
          <t>ОИ ПРОЗА</t>
        </is>
      </c>
      <c r="D3864" s="23" t="inlineStr">
        <is>
          <t>Дёмин М.</t>
        </is>
      </c>
      <c r="E3864" s="23" t="inlineStr">
        <is>
          <t>Таежный бродяга</t>
        </is>
      </c>
      <c r="F3864" s="23" t="inlineStr">
        <is>
          <t>        </t>
        </is>
      </c>
      <c r="G3864" s="23" t="n">
        <v>633</v>
      </c>
      <c r="H3864" s="23" t="n">
        <v>10</v>
      </c>
      <c r="I3864" s="23" t="n">
        <v>20</v>
      </c>
      <c r="J3864" s="23" t="inlineStr">
        <is>
          <t>978-5-227-07858-2</t>
        </is>
      </c>
      <c r="K3864" s="23" t="inlineStr">
        <is>
          <t>84x108 1/32</t>
        </is>
      </c>
      <c r="L3864" s="23" t="inlineStr">
        <is>
          <t>тв</t>
        </is>
      </c>
      <c r="M3864" s="23" t="n">
        <v>320</v>
      </c>
      <c r="N3864" s="23" t="n">
        <v>2018</v>
      </c>
      <c r="O3864" s="23" t="n">
        <v>334</v>
      </c>
      <c r="P3864" s="23" t="n"/>
      <c r="Q3864" s="23" t="n"/>
      <c r="R3864" s="25" t="n"/>
      <c r="S3864" s="26">
        <f>HYPERLINK("http://www.cnpol.ru/covers/18224.jpg","фото на сайте")</f>
        <v/>
      </c>
    </row>
    <row r="3865" ht="50.1" customHeight="1" s="3">
      <c r="A3865" s="23" t="n"/>
      <c r="B3865" s="24" t="inlineStr">
        <is>
          <t>14466</t>
        </is>
      </c>
      <c r="C3865" s="23" t="inlineStr">
        <is>
          <t>ОИ ПРОЗА</t>
        </is>
      </c>
      <c r="D3865" s="23" t="inlineStr">
        <is>
          <t>Митрофанов А.</t>
        </is>
      </c>
      <c r="E3865" s="23" t="inlineStr">
        <is>
          <t>Тело Милосовича</t>
        </is>
      </c>
      <c r="F3865" s="23" t="inlineStr">
        <is>
          <t>        </t>
        </is>
      </c>
      <c r="G3865" s="23" t="n">
        <v>633</v>
      </c>
      <c r="H3865" s="23" t="n">
        <v>10</v>
      </c>
      <c r="I3865" s="23" t="n">
        <v>20</v>
      </c>
      <c r="J3865" s="23" t="inlineStr">
        <is>
          <t>978-5-227-03912-5</t>
        </is>
      </c>
      <c r="K3865" s="23" t="inlineStr">
        <is>
          <t>84x100 1/32</t>
        </is>
      </c>
      <c r="L3865" s="23" t="inlineStr">
        <is>
          <t>тв</t>
        </is>
      </c>
      <c r="M3865" s="23" t="n">
        <v>255</v>
      </c>
      <c r="N3865" s="23" t="n">
        <v>2013</v>
      </c>
      <c r="O3865" s="23" t="n">
        <v>298</v>
      </c>
      <c r="P3865" s="23" t="n"/>
      <c r="Q3865" s="23" t="n"/>
      <c r="R3865" s="25" t="n"/>
      <c r="S3865" s="26">
        <f>HYPERLINK("http://www.cnpol.ru/covers/14466.jpg","фото на сайте")</f>
        <v/>
      </c>
    </row>
    <row r="3866" ht="50.1" customHeight="1" s="3">
      <c r="A3866" s="23" t="n"/>
      <c r="B3866" s="24" t="inlineStr">
        <is>
          <t>18056</t>
        </is>
      </c>
      <c r="C3866" s="23" t="inlineStr">
        <is>
          <t>ОИ ПРОЗА</t>
        </is>
      </c>
      <c r="D3866" s="23" t="inlineStr">
        <is>
          <t>Горячев И.</t>
        </is>
      </c>
      <c r="E3866" s="23" t="inlineStr">
        <is>
          <t>Тьма кромешная</t>
        </is>
      </c>
      <c r="F3866" s="23" t="inlineStr">
        <is>
          <t>        </t>
        </is>
      </c>
      <c r="G3866" s="23" t="n">
        <v>534</v>
      </c>
      <c r="H3866" s="23" t="n">
        <v>10</v>
      </c>
      <c r="I3866" s="23" t="n">
        <v>10</v>
      </c>
      <c r="J3866" s="23" t="inlineStr">
        <is>
          <t>978-5-227-07818-6</t>
        </is>
      </c>
      <c r="K3866" s="23" t="inlineStr">
        <is>
          <t>84x108 1/32</t>
        </is>
      </c>
      <c r="L3866" s="23" t="inlineStr">
        <is>
          <t>тв</t>
        </is>
      </c>
      <c r="M3866" s="23" t="n">
        <v>352</v>
      </c>
      <c r="N3866" s="23" t="n">
        <v>2018</v>
      </c>
      <c r="O3866" s="23" t="n">
        <v>354</v>
      </c>
      <c r="P3866" s="23" t="n"/>
      <c r="Q3866" s="23" t="n"/>
      <c r="R3866" s="25" t="n"/>
      <c r="S3866" s="26">
        <f>HYPERLINK("http://www.cnpol.ru/covers/18056.jpg","фото на сайте")</f>
        <v/>
      </c>
    </row>
    <row r="3867" ht="50.1" customHeight="1" s="3">
      <c r="A3867" s="23" t="n"/>
      <c r="B3867" s="24" t="inlineStr">
        <is>
          <t>17273</t>
        </is>
      </c>
      <c r="C3867" s="23" t="inlineStr">
        <is>
          <t>ОИ ПРОЗА</t>
        </is>
      </c>
      <c r="D3867" s="23" t="inlineStr">
        <is>
          <t>Проханов А.А</t>
        </is>
      </c>
      <c r="E3867" s="23" t="inlineStr">
        <is>
          <t>Убийство городов</t>
        </is>
      </c>
      <c r="F3867" s="23" t="inlineStr">
        <is>
          <t>        </t>
        </is>
      </c>
      <c r="G3867" s="23" t="n">
        <v>851</v>
      </c>
      <c r="H3867" s="23" t="n">
        <v>10</v>
      </c>
      <c r="I3867" s="23" t="n">
        <v>20</v>
      </c>
      <c r="J3867" s="23" t="inlineStr">
        <is>
          <t>978-5-227-07337-2</t>
        </is>
      </c>
      <c r="K3867" s="23" t="inlineStr">
        <is>
          <t>84x108 1/32</t>
        </is>
      </c>
      <c r="L3867" s="23" t="inlineStr">
        <is>
          <t>тв</t>
        </is>
      </c>
      <c r="M3867" s="23" t="n">
        <v>288</v>
      </c>
      <c r="N3867" s="23" t="n">
        <v>2017</v>
      </c>
      <c r="O3867" s="23" t="n">
        <v>218</v>
      </c>
      <c r="P3867" s="23" t="n"/>
      <c r="Q3867" s="23" t="n"/>
      <c r="R3867" s="25" t="n"/>
      <c r="S3867" s="26">
        <f>HYPERLINK("http://www.cnpol.ru/covers/17273.jpg","фото на сайте")</f>
        <v/>
      </c>
    </row>
    <row r="3868" ht="50.1" customHeight="1" s="3">
      <c r="A3868" s="23" t="inlineStr">
        <is>
          <t>Н</t>
        </is>
      </c>
      <c r="B3868" s="24" t="inlineStr">
        <is>
          <t>21052</t>
        </is>
      </c>
      <c r="C3868" s="23" t="inlineStr">
        <is>
          <t>ОИ ПРОЗА</t>
        </is>
      </c>
      <c r="D3868" s="23" t="inlineStr">
        <is>
          <t>Филатов Н. А., Ширяев В. В.</t>
        </is>
      </c>
      <c r="E3868" s="23" t="inlineStr">
        <is>
          <t>Убитая монета. Нумизматический детектив</t>
        </is>
      </c>
      <c r="F3868" s="23" t="inlineStr">
        <is>
          <t>        </t>
        </is>
      </c>
      <c r="G3868" s="23" t="n">
        <v>672</v>
      </c>
      <c r="H3868" s="23" t="n">
        <v>10</v>
      </c>
      <c r="I3868" s="23" t="n">
        <v>16</v>
      </c>
      <c r="J3868" s="23" t="inlineStr">
        <is>
          <t>978-5-227-10549-3</t>
        </is>
      </c>
      <c r="K3868" s="23" t="inlineStr">
        <is>
          <t>84x108 1/32</t>
        </is>
      </c>
      <c r="L3868" s="23" t="inlineStr">
        <is>
          <t>тв</t>
        </is>
      </c>
      <c r="M3868" s="23" t="n">
        <v>255</v>
      </c>
      <c r="N3868" s="23" t="n">
        <v>2024</v>
      </c>
      <c r="O3868" s="23" t="n">
        <v>294</v>
      </c>
      <c r="P3868" s="23" t="n"/>
      <c r="Q3868" s="23" t="n"/>
      <c r="R3868" s="25" t="inlineStr">
        <is>
          <t>Термин нумизматов «убитая монета» означает монету, утратившую в процессе обращения признаки подлинности. На одном из крупнейших европейских аукционов неожиданно выставляются редкие и очень дорогие российские монеты из коллекции, которая долгие годы считалась утраченной. На коллекцию сразу же начинают претендовать и законные наследники последнего известного владельца, и могущественный олигарх, утверждающий, что он выкупил ее в свое время, и даже бывшие сотрудники советской внешней разведки. Однако новые обладатели драгоценных монет также не намерены отказываться от своих прав, и вся эта история начинает затрагивать интересы могущественных аукционных домов и европейских спецслужб…_x000D_
Новый роман признанного мастера остросюжетного детектива Никиты Филатова и эксперта с мировым именем Вадима Ширяева увлекательно и абсолютно достоверно приподнимает завесу, которая укрывает криминальное прошлое советской нумизматики, непростой мир современных коллекционеров и закулисную сторону деятельности западных аукционных домов.</t>
        </is>
      </c>
      <c r="S3868" s="26">
        <f>HYPERLINK("http://www.cnpol.ru/covers/21052.jpg","фото на сайте")</f>
        <v/>
      </c>
    </row>
    <row r="3869" ht="50.1" customHeight="1" s="3">
      <c r="A3869" s="23" t="n"/>
      <c r="B3869" s="24" t="inlineStr">
        <is>
          <t>19937</t>
        </is>
      </c>
      <c r="C3869" s="23" t="inlineStr">
        <is>
          <t>ОИ ПРОЗА</t>
        </is>
      </c>
      <c r="D3869" s="23" t="inlineStr">
        <is>
          <t>Митчелл М.</t>
        </is>
      </c>
      <c r="E3869" s="23" t="inlineStr">
        <is>
          <t>Унесенные ветром т.1</t>
        </is>
      </c>
      <c r="F3869" s="23" t="n">
        <v>1</v>
      </c>
      <c r="G3869" s="23" t="n">
        <v>712</v>
      </c>
      <c r="H3869" s="23" t="n">
        <v>10</v>
      </c>
      <c r="I3869" s="23" t="n">
        <v>10</v>
      </c>
      <c r="J3869" s="23" t="inlineStr">
        <is>
          <t>978-5-227-09662-3</t>
        </is>
      </c>
      <c r="K3869" s="23" t="inlineStr">
        <is>
          <t>84x108 1/32</t>
        </is>
      </c>
      <c r="L3869" s="23" t="inlineStr">
        <is>
          <t>тв</t>
        </is>
      </c>
      <c r="M3869" s="23" t="n">
        <v>606</v>
      </c>
      <c r="N3869" s="23" t="n">
        <v>2021</v>
      </c>
      <c r="O3869" s="23" t="n">
        <v>552</v>
      </c>
      <c r="P3869" s="23" t="n"/>
      <c r="Q3869" s="23" t="n"/>
      <c r="R3869" s="25" t="n"/>
      <c r="S3869" s="26">
        <f>HYPERLINK("http://www.cnpol.ru/covers/19937.jpg","фото на сайте")</f>
        <v/>
      </c>
    </row>
    <row r="3870" ht="50.1" customHeight="1" s="3">
      <c r="A3870" s="23" t="n"/>
      <c r="B3870" s="24" t="inlineStr">
        <is>
          <t>19938</t>
        </is>
      </c>
      <c r="C3870" s="23" t="inlineStr">
        <is>
          <t>ОИ ПРОЗА</t>
        </is>
      </c>
      <c r="D3870" s="23" t="inlineStr">
        <is>
          <t>Митчелл М.</t>
        </is>
      </c>
      <c r="E3870" s="23" t="inlineStr">
        <is>
          <t>Унесенные ветром т.2</t>
        </is>
      </c>
      <c r="F3870" s="23" t="n">
        <v>2</v>
      </c>
      <c r="G3870" s="23" t="n">
        <v>712</v>
      </c>
      <c r="H3870" s="23" t="n">
        <v>10</v>
      </c>
      <c r="I3870" s="23" t="n">
        <v>10</v>
      </c>
      <c r="J3870" s="23" t="inlineStr">
        <is>
          <t>978-5-227-09664-7</t>
        </is>
      </c>
      <c r="K3870" s="23" t="inlineStr">
        <is>
          <t>84x108 1/32</t>
        </is>
      </c>
      <c r="L3870" s="23" t="inlineStr">
        <is>
          <t>тв</t>
        </is>
      </c>
      <c r="M3870" s="23" t="n">
        <v>605</v>
      </c>
      <c r="N3870" s="23" t="n">
        <v>2021</v>
      </c>
      <c r="O3870" s="23" t="n">
        <v>552</v>
      </c>
      <c r="P3870" s="23" t="n"/>
      <c r="Q3870" s="23" t="n"/>
      <c r="R3870" s="25" t="n"/>
      <c r="S3870" s="26">
        <f>HYPERLINK("http://www.cnpol.ru/covers/19938.jpg","фото на сайте")</f>
        <v/>
      </c>
    </row>
    <row r="3871" ht="50.1" customHeight="1" s="3">
      <c r="A3871" s="23" t="n"/>
      <c r="B3871" s="24" t="inlineStr">
        <is>
          <t>15052</t>
        </is>
      </c>
      <c r="C3871" s="23" t="inlineStr">
        <is>
          <t>ОИ ПРОЗА</t>
        </is>
      </c>
      <c r="D3871" s="23" t="inlineStr">
        <is>
          <t>Боссарт А.</t>
        </is>
      </c>
      <c r="E3871" s="23" t="inlineStr">
        <is>
          <t>Холера</t>
        </is>
      </c>
      <c r="F3871" s="23" t="inlineStr">
        <is>
          <t>        </t>
        </is>
      </c>
      <c r="G3871" s="23" t="n">
        <v>672</v>
      </c>
      <c r="H3871" s="23" t="n">
        <v>10</v>
      </c>
      <c r="I3871" s="23" t="n">
        <v>16</v>
      </c>
      <c r="J3871" s="23" t="inlineStr">
        <is>
          <t>978-5-227-05085-4</t>
        </is>
      </c>
      <c r="K3871" s="23" t="inlineStr">
        <is>
          <t>84x108 1/32</t>
        </is>
      </c>
      <c r="L3871" s="23" t="inlineStr">
        <is>
          <t>тв</t>
        </is>
      </c>
      <c r="M3871" s="23" t="n">
        <v>319</v>
      </c>
      <c r="N3871" s="23" t="n">
        <v>2014</v>
      </c>
      <c r="O3871" s="23" t="n">
        <v>356</v>
      </c>
      <c r="P3871" s="23" t="n"/>
      <c r="Q3871" s="23" t="n"/>
      <c r="R3871" s="25" t="n"/>
      <c r="S3871" s="26">
        <f>HYPERLINK("http://www.cnpol.ru/covers/15052.jpg","фото на сайте")</f>
        <v/>
      </c>
    </row>
    <row r="3872" ht="50.1" customHeight="1" s="3">
      <c r="A3872" s="23" t="n"/>
      <c r="B3872" s="24" t="inlineStr">
        <is>
          <t>15410</t>
        </is>
      </c>
      <c r="C3872" s="23" t="inlineStr">
        <is>
          <t>ОИ ПРОЗА</t>
        </is>
      </c>
      <c r="D3872" s="23" t="inlineStr">
        <is>
          <t>Анташкевич Е.М.</t>
        </is>
      </c>
      <c r="E3872" s="23" t="inlineStr">
        <is>
          <t>Хроника одного полка 1915 год</t>
        </is>
      </c>
      <c r="F3872" s="23" t="inlineStr">
        <is>
          <t>        </t>
        </is>
      </c>
      <c r="G3872" s="27" t="n">
        <v>1036</v>
      </c>
      <c r="H3872" s="23" t="n">
        <v>10</v>
      </c>
      <c r="I3872" s="23" t="n">
        <v>10</v>
      </c>
      <c r="J3872" s="23" t="inlineStr">
        <is>
          <t>978-5-227-05113-4</t>
        </is>
      </c>
      <c r="K3872" s="23" t="inlineStr">
        <is>
          <t>60x90 1/16</t>
        </is>
      </c>
      <c r="L3872" s="23" t="inlineStr">
        <is>
          <t>тв</t>
        </is>
      </c>
      <c r="M3872" s="23" t="n">
        <v>528</v>
      </c>
      <c r="N3872" s="23" t="n">
        <v>2014</v>
      </c>
      <c r="O3872" s="23" t="n">
        <v>628</v>
      </c>
      <c r="P3872" s="23" t="n"/>
      <c r="Q3872" s="23" t="n"/>
      <c r="R3872" s="25" t="n"/>
      <c r="S3872" s="26">
        <f>HYPERLINK("http://www.cnpol.ru/covers/15410.jpg","фото на сайте")</f>
        <v/>
      </c>
    </row>
    <row r="3873" ht="50.1" customHeight="1" s="3">
      <c r="A3873" s="23" t="inlineStr">
        <is>
          <t>Н</t>
        </is>
      </c>
      <c r="B3873" s="24" t="inlineStr">
        <is>
          <t>21115</t>
        </is>
      </c>
      <c r="C3873" s="23" t="inlineStr">
        <is>
          <t>ОИ ПРОЗА</t>
        </is>
      </c>
      <c r="D3873" s="23" t="inlineStr">
        <is>
          <t>Бирс А.</t>
        </is>
      </c>
      <c r="E3873" s="23" t="inlineStr">
        <is>
          <t>Человек с двумя жизнями. 33 мистические, бьющие в самое сердце, истории о войне</t>
        </is>
      </c>
      <c r="F3873" s="23" t="inlineStr">
        <is>
          <t>        </t>
        </is>
      </c>
      <c r="G3873" s="23" t="n">
        <v>936</v>
      </c>
      <c r="H3873" s="23" t="n">
        <v>10</v>
      </c>
      <c r="I3873" s="23" t="n">
        <v>14</v>
      </c>
      <c r="J3873" s="23" t="inlineStr">
        <is>
          <t>978-5-227-10637-7</t>
        </is>
      </c>
      <c r="K3873" s="23" t="inlineStr">
        <is>
          <t>84x108 1/32</t>
        </is>
      </c>
      <c r="L3873" s="23" t="inlineStr">
        <is>
          <t>тв</t>
        </is>
      </c>
      <c r="M3873" s="23" t="n">
        <v>287</v>
      </c>
      <c r="N3873" s="23" t="n">
        <v>2024</v>
      </c>
      <c r="O3873" s="23" t="n">
        <v>343</v>
      </c>
      <c r="P3873" s="23" t="n"/>
      <c r="Q3873" s="23" t="n"/>
      <c r="R3873" s="25" t="inlineStr">
        <is>
          <t>Амброз Гуиннет Бирс — признанный мастер американской прозы, участник судьбоносных событий, происходящих в США, журналист, писатель, автор «страшных» мистических рассказов, доводящих ужас до самого предела, был яркой своеобразной личностью. На поле боя, в обычной жизни, в статьях, в художественной прозе он был резок и прямолинеен, за что заработал прозвище Беспощадный Бирс. Воевал писатель в рядах северян, но в своих произведениях не высказывает предпочтения ни одной из воюющих сторон, — с обезоруживающей прямотой и шокирующей правдой он создает убийственно яркую, окрашенную мистическим туманом, картину войны с ее жестокостью, разрухой, гибелью людей и безрассудной, порой абсурдной храбростью.</t>
        </is>
      </c>
      <c r="S3873" s="26">
        <f>HYPERLINK("http://www.cnpol.ru/covers/21115.jpg","фото на сайте")</f>
        <v/>
      </c>
    </row>
    <row r="3874" ht="50.1" customHeight="1" s="3">
      <c r="A3874" s="23" t="n"/>
      <c r="B3874" s="24" t="inlineStr">
        <is>
          <t>19840</t>
        </is>
      </c>
      <c r="C3874" s="23" t="inlineStr">
        <is>
          <t>ОИ ПРОЗА</t>
        </is>
      </c>
      <c r="D3874" s="23" t="inlineStr">
        <is>
          <t>Прасолов В.Г.</t>
        </is>
      </c>
      <c r="E3874" s="23" t="inlineStr">
        <is>
          <t>Чеченский этап. Вангол­5</t>
        </is>
      </c>
      <c r="F3874" s="23" t="inlineStr">
        <is>
          <t>        </t>
        </is>
      </c>
      <c r="G3874" s="23" t="n">
        <v>653</v>
      </c>
      <c r="H3874" s="23" t="n">
        <v>10</v>
      </c>
      <c r="I3874" s="23" t="n">
        <v>12</v>
      </c>
      <c r="J3874" s="23" t="inlineStr">
        <is>
          <t>978-5-227-09446-9</t>
        </is>
      </c>
      <c r="K3874" s="23" t="inlineStr">
        <is>
          <t>84x108 1/32</t>
        </is>
      </c>
      <c r="L3874" s="23" t="inlineStr">
        <is>
          <t>тв</t>
        </is>
      </c>
      <c r="M3874" s="23" t="n">
        <v>319</v>
      </c>
      <c r="N3874" s="23" t="n">
        <v>2021</v>
      </c>
      <c r="O3874" s="23" t="n">
        <v>274</v>
      </c>
      <c r="P3874" s="23" t="n"/>
      <c r="Q3874" s="23" t="n"/>
      <c r="R3874" s="25" t="n"/>
      <c r="S3874" s="26">
        <f>HYPERLINK("http://www.cnpol.ru/covers/19840.jpg","фото на сайте")</f>
        <v/>
      </c>
    </row>
    <row r="3875" ht="50.1" customHeight="1" s="3">
      <c r="A3875" s="23" t="n"/>
      <c r="B3875" s="24" t="inlineStr">
        <is>
          <t>15516</t>
        </is>
      </c>
      <c r="C3875" s="23" t="inlineStr">
        <is>
          <t>ОИ ПСИХ</t>
        </is>
      </c>
      <c r="D3875" s="23" t="inlineStr">
        <is>
          <t>Шушунова М.С.</t>
        </is>
      </c>
      <c r="E3875" s="23" t="inlineStr">
        <is>
          <t>108 вопросов о здоровье и любви</t>
        </is>
      </c>
      <c r="F3875" s="23" t="inlineStr">
        <is>
          <t>        </t>
        </is>
      </c>
      <c r="G3875" s="23" t="n">
        <v>140</v>
      </c>
      <c r="H3875" s="23" t="n">
        <v>10</v>
      </c>
      <c r="I3875" s="23" t="n">
        <v>36</v>
      </c>
      <c r="J3875" s="23" t="inlineStr">
        <is>
          <t>978-5-227-05372-5</t>
        </is>
      </c>
      <c r="K3875" s="23" t="inlineStr">
        <is>
          <t>84x108 1/32 (обл)</t>
        </is>
      </c>
      <c r="L3875" s="23" t="inlineStr">
        <is>
          <t>мяг</t>
        </is>
      </c>
      <c r="M3875" s="23" t="n">
        <v>128</v>
      </c>
      <c r="N3875" s="23" t="n">
        <v>2014</v>
      </c>
      <c r="O3875" s="23" t="n">
        <v>82</v>
      </c>
      <c r="P3875" s="23" t="n"/>
      <c r="Q3875" s="23" t="n"/>
      <c r="R3875" s="25" t="inlineStr">
        <is>
          <t>Автор — доктор с большим стажем. Гинекология, психология, гомеопатия, энергетическое целительство — врач должен быть мастером на все руки, ведь тело нельзя лечить, не заглянув в Душу…_x000D_
За долгие годы работы десятки тысяч пациентов самого разного возраста были у нее на приеме. И естественно, возникало много вопросов: кто­то задавал их напрямую, кто­то в письмах. Стопки конвертов, в которых скрыты сомнения, проблемы, боль…_x000D_
Название книги не случайно. На Востоке есть такое понятие, как энергетические центры, или чакры. Когда человек идет по своему пути правильно, главная чакра раскрывается на сто восемь прекрасных лепестков лотоса, и наступает «просветление» человека. Маргарита Сергеевна ответит на сто восемь вопросов пациентов и слушателей. Вопросы разнообразные и порой неожиданные: о здоровье, жизни и конечно же о любви. Ответы будут предельно простыми и понятными, текст дополнен удивительно добрыми авторскими стихами._x000D_
Ни одна книга не попадает в руки случайно, и, если вы читаете эти строки, значит, ответ на ваш наболевший вопрос ждет под обложкой…</t>
        </is>
      </c>
      <c r="S3875" s="26">
        <f>HYPERLINK("http://www.cnpol.ru/covers/15516.jpg","фото на сайте")</f>
        <v/>
      </c>
    </row>
    <row r="3876" ht="50.1" customHeight="1" s="3">
      <c r="A3876" s="23" t="n"/>
      <c r="B3876" s="24" t="inlineStr">
        <is>
          <t>15465</t>
        </is>
      </c>
      <c r="C3876" s="23" t="inlineStr">
        <is>
          <t>ОИ ПСИХ</t>
        </is>
      </c>
      <c r="D3876" s="23" t="inlineStr">
        <is>
          <t>Брандрет Дж.</t>
        </is>
      </c>
      <c r="E3876" s="23" t="inlineStr">
        <is>
          <t>7 секретов счастья. Путь оптимиста</t>
        </is>
      </c>
      <c r="F3876" s="23" t="inlineStr">
        <is>
          <t>        </t>
        </is>
      </c>
      <c r="G3876" s="23" t="n">
        <v>448</v>
      </c>
      <c r="H3876" s="23" t="n">
        <v>10</v>
      </c>
      <c r="I3876" s="23" t="n">
        <v>24</v>
      </c>
      <c r="J3876" s="23" t="inlineStr">
        <is>
          <t>978-5-227-05387-9</t>
        </is>
      </c>
      <c r="K3876" s="23" t="inlineStr">
        <is>
          <t>70x108 1/32</t>
        </is>
      </c>
      <c r="L3876" s="23" t="inlineStr">
        <is>
          <t>тв</t>
        </is>
      </c>
      <c r="M3876" s="23" t="n">
        <v>159</v>
      </c>
      <c r="N3876" s="23" t="n">
        <v>2014</v>
      </c>
      <c r="O3876" s="23" t="n">
        <v>162</v>
      </c>
      <c r="P3876" s="23" t="n"/>
      <c r="Q3876" s="23" t="n"/>
      <c r="R3876" s="25" t="inlineStr">
        <is>
          <t>Должно быть, каждый в своей жизни задумывался над вопросом «Как стать счастливым?». Известный британский писатель, журналист и актер Джайлз Брандрет всерьез взялся за поиски ответа и провел целое исследование, результатом которого стала настоящая книга — своего рода руководство по обретению счастья. Путешествуя и общаясь с интересными людьми, Брандрет пришел к любопытным выводам о природе счастья. Его книга полна увлекательных и остроумных историй, мудрых афоризмов, неожиданных выводов. Многолетний «поход за оптимизмом» позволил Джайлзу сформулировать семь секретов — простых правил, помогающих обрести счастье.</t>
        </is>
      </c>
      <c r="S3876" s="26">
        <f>HYPERLINK("http://www.cnpol.ru/covers/15465.jpg","фото на сайте")</f>
        <v/>
      </c>
    </row>
    <row r="3877" ht="50.1" customHeight="1" s="3">
      <c r="A3877" s="23" t="n"/>
      <c r="B3877" s="24" t="inlineStr">
        <is>
          <t>16193</t>
        </is>
      </c>
      <c r="C3877" s="23" t="inlineStr">
        <is>
          <t>ОИ ПСИХ</t>
        </is>
      </c>
      <c r="D3877" s="23" t="inlineStr">
        <is>
          <t>Миллер Дж. Стив</t>
        </is>
      </c>
      <c r="E3877" s="23" t="inlineStr">
        <is>
          <t>За гранью земной жизни. Доказательство рая, подтвержденное очевидцами</t>
        </is>
      </c>
      <c r="F3877" s="23" t="inlineStr">
        <is>
          <t>        </t>
        </is>
      </c>
      <c r="G3877" s="23" t="n">
        <v>633</v>
      </c>
      <c r="H3877" s="23" t="n">
        <v>10</v>
      </c>
      <c r="I3877" s="23" t="n">
        <v>16</v>
      </c>
      <c r="J3877" s="23" t="inlineStr">
        <is>
          <t>978-5-227-06237-6</t>
        </is>
      </c>
      <c r="K3877" s="23" t="inlineStr">
        <is>
          <t>82x100 1/32</t>
        </is>
      </c>
      <c r="L3877" s="23" t="inlineStr">
        <is>
          <t>тв</t>
        </is>
      </c>
      <c r="M3877" s="23" t="n">
        <v>320</v>
      </c>
      <c r="N3877" s="23" t="n">
        <v>2015</v>
      </c>
      <c r="O3877" s="23" t="n">
        <v>300</v>
      </c>
      <c r="P3877" s="23" t="n"/>
      <c r="Q3877" s="23" t="n"/>
      <c r="R3877" s="25" t="inlineStr">
        <is>
          <t>Дж. Стив Миллер посвятил свой труд явлению, которое еще пятьдесят лет назад игнорировалось научным сообществом или воспринималось как нарушение психики. В наше время накоплен огромный материал по этой теме, который в специальной литературе называется опытом умирания, клинической смертью или околосмертными переживаниями (ОСП) и который ставит неизбежные вопросы: «Есть ли жизнь после смерти? Есть ли Бог и Царствие Небесное?» Автор всесторонне и глубоко рассматривает как мнения специалистов¬медиков, так и непосредственный опыт людей, переживших ОСП, и дает на эти вопросы утвердительный ответ.</t>
        </is>
      </c>
      <c r="S3877" s="26">
        <f>HYPERLINK("http://www.cnpol.ru/covers/16193.jpg","фото на сайте")</f>
        <v/>
      </c>
    </row>
    <row r="3878" ht="50.1" customHeight="1" s="3">
      <c r="A3878" s="23" t="n"/>
      <c r="B3878" s="24" t="inlineStr">
        <is>
          <t>16936</t>
        </is>
      </c>
      <c r="C3878" s="23" t="inlineStr">
        <is>
          <t>ОИ ПСИХ</t>
        </is>
      </c>
      <c r="D3878" s="23" t="inlineStr">
        <is>
          <t>Свияш Ю.В.</t>
        </is>
      </c>
      <c r="E3878" s="23" t="inlineStr">
        <is>
          <t>Как обрести женскую силу</t>
        </is>
      </c>
      <c r="F3878" s="23" t="inlineStr">
        <is>
          <t>        </t>
        </is>
      </c>
      <c r="G3878" s="23" t="n">
        <v>186</v>
      </c>
      <c r="H3878" s="23" t="n">
        <v>10</v>
      </c>
      <c r="I3878" s="23" t="n">
        <v>40</v>
      </c>
      <c r="J3878" s="23" t="inlineStr">
        <is>
          <t>978-5-227-06656-5</t>
        </is>
      </c>
      <c r="K3878" s="23" t="inlineStr">
        <is>
          <t>70x100 1/32</t>
        </is>
      </c>
      <c r="L3878" s="23" t="inlineStr">
        <is>
          <t>мяг</t>
        </is>
      </c>
      <c r="M3878" s="23" t="n">
        <v>192</v>
      </c>
      <c r="N3878" s="23" t="n">
        <v>2016</v>
      </c>
      <c r="O3878" s="23" t="n">
        <v>92</v>
      </c>
      <c r="P3878" s="23" t="n"/>
      <c r="Q3878" s="23" t="n"/>
      <c r="R3878" s="25" t="inlineStr">
        <is>
          <t>Реализация твоей Женственности – вот цель этой книги. Женщина счастлива и успешна в той мере, в которой она научилась обращаться с силой, которую называют Любовь. Самое трудное, с чем предстоит столкнуться, — изначально взрастить эту силу в себе. Юлия Свияш научит вас любить себя, ведь без этого невозможно стать счастливой!_x000D_
Со мной что-то не так, я должна стать другой — эти мысли преследуют словно тень, а от тени избавиться непросто... Для этого ты должна встать прямо под Солнце! Тогда все твои тревоги исчезнут и растворятся, уступая дорогу счастью._x000D_
Каждая чувствует внутри себя необъяснимую, почти сверхъестественную силу, способную сотворить все из ничего. Но ухватить ее — все равно, что поймать змею за хвост: и трудно, и страшно. Но очень хочется. Потому что это откроет тебе алхимию самой жизни. Где же это Солнце, под которое нужно встать женщине? Где же эта Сила, которую женщине надо найти? Об этом расскажет наша книга.</t>
        </is>
      </c>
      <c r="S3878" s="26">
        <f>HYPERLINK("http://www.cnpol.ru/covers/16936.jpg","фото на сайте")</f>
        <v/>
      </c>
    </row>
    <row r="3879" ht="50.1" customHeight="1" s="3">
      <c r="A3879" s="23" t="n"/>
      <c r="B3879" s="24" t="inlineStr">
        <is>
          <t>14682</t>
        </is>
      </c>
      <c r="C3879" s="23" t="inlineStr">
        <is>
          <t>ОИ ПСИХ</t>
        </is>
      </c>
      <c r="D3879" s="23" t="inlineStr">
        <is>
          <t>Гумессон Э.</t>
        </is>
      </c>
      <c r="E3879" s="23" t="inlineStr">
        <is>
          <t>Как общаться с пользой и получать от этого удовольствие</t>
        </is>
      </c>
      <c r="F3879" s="23" t="inlineStr">
        <is>
          <t>        </t>
        </is>
      </c>
      <c r="G3879" s="23" t="n">
        <v>633</v>
      </c>
      <c r="H3879" s="23" t="n">
        <v>10</v>
      </c>
      <c r="I3879" s="23" t="n">
        <v>16</v>
      </c>
      <c r="J3879" s="23" t="inlineStr">
        <is>
          <t>978-5-227-04508-9</t>
        </is>
      </c>
      <c r="K3879" s="23" t="inlineStr">
        <is>
          <t>84x108 1/32</t>
        </is>
      </c>
      <c r="L3879" s="23" t="inlineStr">
        <is>
          <t>тв</t>
        </is>
      </c>
      <c r="M3879" s="23" t="n">
        <v>383</v>
      </c>
      <c r="N3879" s="23" t="n">
        <v>2013</v>
      </c>
      <c r="O3879" s="23" t="n">
        <v>412</v>
      </c>
      <c r="P3879" s="23" t="n"/>
      <c r="Q3879" s="23" t="n"/>
      <c r="R3879" s="25" t="inlineStr">
        <is>
          <t>Один из самых популярных шведских психологов-консультантов, специалист по коучингу — психологическому тренингу Элизабет Гуммессон в своей книге предлагает читателю найти такой способ общения с окружающими его людьми, будь то коллеги, непосредственный начальник или друзья, родственники, дети, чтобы и личная жизнь, и профессиональная карьера были успешными. Автор не дает жестких рекомендаций, а ищет решения совместно с читателем, помогает обрести уверенность в себе на примерах общения, способного изменить вашу жизнь.</t>
        </is>
      </c>
      <c r="S3879" s="26">
        <f>HYPERLINK("http://www.cnpol.ru/covers/14682.jpg","фото на сайте")</f>
        <v/>
      </c>
    </row>
    <row r="3880" ht="50.1" customHeight="1" s="3">
      <c r="A3880" s="23" t="n"/>
      <c r="B3880" s="24" t="inlineStr">
        <is>
          <t>20629</t>
        </is>
      </c>
      <c r="C3880" s="23" t="inlineStr">
        <is>
          <t>ОИ ПСИХ</t>
        </is>
      </c>
      <c r="D3880" s="23" t="inlineStr">
        <is>
          <t>Фант Д.</t>
        </is>
      </c>
      <c r="E3880" s="23" t="inlineStr">
        <is>
          <t>Минута на размышление. Как вернуть креативность, победить вечную занятость и работать лучше всех</t>
        </is>
      </c>
      <c r="F3880" s="23" t="inlineStr">
        <is>
          <t>        </t>
        </is>
      </c>
      <c r="G3880" s="23" t="n">
        <v>607</v>
      </c>
      <c r="H3880" s="23" t="n">
        <v>10</v>
      </c>
      <c r="I3880" s="23" t="n">
        <v>14</v>
      </c>
      <c r="J3880" s="23" t="inlineStr">
        <is>
          <t>978-5-227-10083-2</t>
        </is>
      </c>
      <c r="K3880" s="23" t="inlineStr">
        <is>
          <t>84x108 1/32</t>
        </is>
      </c>
      <c r="L3880" s="23" t="inlineStr">
        <is>
          <t>тв</t>
        </is>
      </c>
      <c r="M3880" s="23" t="n">
        <v>223</v>
      </c>
      <c r="N3880" s="23" t="n">
        <v>2023</v>
      </c>
      <c r="O3880" s="23" t="n">
        <v>280</v>
      </c>
      <c r="P3880" s="23" t="n"/>
      <c r="Q3880" s="23" t="n"/>
      <c r="R3880" s="25" t="inlineStr">
        <is>
          <t>Джульет Фант — известный спикер и консультант, основатель и генеральный директор консультативной фирмы Juliet Funt Group. Ей посвящены материалы в журналах Forbes и Fast Company. В своей книге она объясняет, как вернуть креативность в трудовой процесс, победить вечную занятость и работать лучше всех. Не тратя попусту время своих читателей, она предлагает конкретные меры и способы решения этих задач. Остроумная, теплая, доступная манера изложения с яркими примерами, с предложением активных действий вызвала широкое признание ее методов во всем мире. Джульет работала с такими организациями, как Spotify, National Geographic, Anthem, Vans, Abbott, Costco, Pepsi, и многими другими.</t>
        </is>
      </c>
      <c r="S3880" s="26">
        <f>HYPERLINK("http://www.cnpol.ru/covers/20629.jpg","фото на сайте")</f>
        <v/>
      </c>
    </row>
    <row r="3881" ht="50.1" customHeight="1" s="3">
      <c r="A3881" s="23" t="n"/>
      <c r="B3881" s="24" t="inlineStr">
        <is>
          <t>16018</t>
        </is>
      </c>
      <c r="C3881" s="23" t="inlineStr">
        <is>
          <t>ОИ ПСИХ</t>
        </is>
      </c>
      <c r="D3881" s="23" t="inlineStr">
        <is>
          <t>Рингер Р</t>
        </is>
      </c>
      <c r="E3881" s="23" t="inlineStr">
        <is>
          <t>Привычки на миллион. 10 простых шагов к тому, чтобы получить все, о чем вы мечтаете</t>
        </is>
      </c>
      <c r="F3881" s="23" t="inlineStr">
        <is>
          <t>        </t>
        </is>
      </c>
      <c r="G3881" s="23" t="n">
        <v>528</v>
      </c>
      <c r="H3881" s="23" t="n">
        <v>10</v>
      </c>
      <c r="I3881" s="23" t="n">
        <v>16</v>
      </c>
      <c r="J3881" s="23" t="inlineStr">
        <is>
          <t>978-5-227-05941-3</t>
        </is>
      </c>
      <c r="K3881" s="23" t="inlineStr">
        <is>
          <t>82x100 1/32</t>
        </is>
      </c>
      <c r="L3881" s="23" t="inlineStr">
        <is>
          <t>Интегр</t>
        </is>
      </c>
      <c r="M3881" s="23" t="n">
        <v>287</v>
      </c>
      <c r="N3881" s="23" t="n">
        <v>2015</v>
      </c>
      <c r="O3881" s="23" t="n">
        <v>206</v>
      </c>
      <c r="P3881" s="23" t="n"/>
      <c r="Q3881" s="23" t="n"/>
      <c r="R3881" s="25" t="n"/>
      <c r="S3881" s="26">
        <f>HYPERLINK("http://www.cnpol.ru/covers/16018.jpg","фото на сайте")</f>
        <v/>
      </c>
    </row>
    <row r="3882" ht="50.1" customHeight="1" s="3">
      <c r="A3882" s="23" t="n"/>
      <c r="B3882" s="24" t="inlineStr">
        <is>
          <t>18216</t>
        </is>
      </c>
      <c r="C3882" s="23" t="inlineStr">
        <is>
          <t>ОИ ПСИХ</t>
        </is>
      </c>
      <c r="D3882" s="23" t="inlineStr">
        <is>
          <t>Рингер Р</t>
        </is>
      </c>
      <c r="E3882" s="23" t="inlineStr">
        <is>
          <t>Привычки на миллион. 10 простых шагов к тому, чтобы получить все, о чем вы мечтаете</t>
        </is>
      </c>
      <c r="F3882" s="23" t="inlineStr">
        <is>
          <t>        </t>
        </is>
      </c>
      <c r="G3882" s="23" t="n">
        <v>400</v>
      </c>
      <c r="H3882" s="23" t="n">
        <v>10</v>
      </c>
      <c r="I3882" s="23" t="n">
        <v>16</v>
      </c>
      <c r="J3882" s="23" t="inlineStr">
        <is>
          <t>978-5-227-08121-6</t>
        </is>
      </c>
      <c r="K3882" s="23" t="inlineStr">
        <is>
          <t>82x100 1/32</t>
        </is>
      </c>
      <c r="L3882" s="23" t="inlineStr">
        <is>
          <t>мяг</t>
        </is>
      </c>
      <c r="M3882" s="23" t="n">
        <v>288</v>
      </c>
      <c r="N3882" s="23" t="n">
        <v>2018</v>
      </c>
      <c r="O3882" s="23" t="n">
        <v>206</v>
      </c>
      <c r="P3882" s="23" t="n"/>
      <c r="Q3882" s="23" t="n"/>
      <c r="R3882" s="25" t="n"/>
      <c r="S3882" s="26">
        <f>HYPERLINK("http://www.cnpol.ru/covers/18216.jpg","фото на сайте")</f>
        <v/>
      </c>
    </row>
    <row r="3883" ht="50.1" customHeight="1" s="3">
      <c r="A3883" s="23" t="inlineStr">
        <is>
          <t>Д</t>
        </is>
      </c>
      <c r="B3883" s="24" t="inlineStr">
        <is>
          <t>21913</t>
        </is>
      </c>
      <c r="C3883" s="23" t="inlineStr">
        <is>
          <t>ОИ ПСИХ</t>
        </is>
      </c>
      <c r="D3883" s="23" t="inlineStr">
        <is>
          <t>Кил Кент А.</t>
        </is>
      </c>
      <c r="E3883" s="23" t="inlineStr">
        <is>
          <t>Психопаты. Достоверный рассказ о людях без жалости, без совести, без раскаяния</t>
        </is>
      </c>
      <c r="F3883" s="23" t="inlineStr">
        <is>
          <t>        </t>
        </is>
      </c>
      <c r="G3883" s="23" t="n">
        <v>537</v>
      </c>
      <c r="H3883" s="23" t="n">
        <v>10</v>
      </c>
      <c r="I3883" s="23" t="n">
        <v>20</v>
      </c>
      <c r="J3883" s="23" t="inlineStr">
        <is>
          <t>978-5-227-08645-7</t>
        </is>
      </c>
      <c r="K3883" s="23" t="inlineStr">
        <is>
          <t>84x108 1/32 (обл)</t>
        </is>
      </c>
      <c r="L3883" s="23" t="inlineStr">
        <is>
          <t>Интегр</t>
        </is>
      </c>
      <c r="M3883" s="23" t="n">
        <v>319</v>
      </c>
      <c r="N3883" s="23" t="n">
        <v>2019</v>
      </c>
      <c r="O3883" s="23" t="n">
        <v>202</v>
      </c>
      <c r="P3883" s="23" t="n"/>
      <c r="Q3883" s="23" t="n"/>
      <c r="R3883" s="25" t="inlineStr">
        <is>
          <t>Доктор психологии, нейронаук и права, профессор Университета Нью-Мексико Кент Кил рассказывает о своей многолетней работе с психопатами — от безжалостных серийных убийц, которых он встречал за решеткой, до детей, в чьем поведении и чертах характера проявились тревожные сигналы этого будущего тяжелого расстройства. Личная история доктора Кила сочетается с понятным и общедоступным повествованием о новейших данных науки, позволяющим заглянуть в удивительный, но еще мало разгаданный мир чужого разума и задуматься о роли, которую все это может сыграть в жизни общества и обычного человека.</t>
        </is>
      </c>
      <c r="S3883" s="26">
        <f>HYPERLINK("http://www.cnpol.ru/covers/21913.jpg","фото на сайте")</f>
        <v/>
      </c>
    </row>
    <row r="3884" ht="50.1" customHeight="1" s="3">
      <c r="A3884" s="23" t="n"/>
      <c r="B3884" s="24" t="inlineStr">
        <is>
          <t>19286</t>
        </is>
      </c>
      <c r="C3884" s="23" t="inlineStr">
        <is>
          <t>ОИ ПСИХ</t>
        </is>
      </c>
      <c r="D3884" s="23" t="inlineStr">
        <is>
          <t>Герлинг П., Муфий Б.</t>
        </is>
      </c>
      <c r="E3884" s="23" t="inlineStr">
        <is>
          <t>Руководство по выбору мужей/Руководство по выбору жен (книга-перевертыш)</t>
        </is>
      </c>
      <c r="F3884" s="23" t="inlineStr">
        <is>
          <t>        </t>
        </is>
      </c>
      <c r="G3884" s="23" t="n">
        <v>497</v>
      </c>
      <c r="H3884" s="23" t="n">
        <v>10</v>
      </c>
      <c r="I3884" s="23" t="n">
        <v>20</v>
      </c>
      <c r="J3884" s="23" t="inlineStr">
        <is>
          <t>978-5-227-07827-8</t>
        </is>
      </c>
      <c r="K3884" s="23" t="inlineStr">
        <is>
          <t>70x108 1/32</t>
        </is>
      </c>
      <c r="L3884" s="23" t="inlineStr">
        <is>
          <t>тв</t>
        </is>
      </c>
      <c r="M3884" s="23" t="n">
        <v>160</v>
      </c>
      <c r="N3884" s="23" t="n">
        <v>2020</v>
      </c>
      <c r="O3884" s="23" t="n">
        <v>184</v>
      </c>
      <c r="P3884" s="23" t="n"/>
      <c r="Q3884" s="23" t="n"/>
      <c r="R3884" s="25" t="n"/>
      <c r="S3884" s="26">
        <f>HYPERLINK("http://www.cnpol.ru/covers/19286.jpg","фото на сайте")</f>
        <v/>
      </c>
    </row>
    <row r="3885" ht="50.1" customHeight="1" s="3">
      <c r="A3885" s="23" t="n"/>
      <c r="B3885" s="24" t="inlineStr">
        <is>
          <t>17989</t>
        </is>
      </c>
      <c r="C3885" s="23" t="inlineStr">
        <is>
          <t>ОИ ПСИХ</t>
        </is>
      </c>
      <c r="D3885" s="23" t="inlineStr">
        <is>
          <t>Свияш Ю.В.</t>
        </is>
      </c>
      <c r="E3885" s="23" t="inlineStr">
        <is>
          <t>Учись любить и быть любимой</t>
        </is>
      </c>
      <c r="F3885" s="23" t="inlineStr">
        <is>
          <t>        </t>
        </is>
      </c>
      <c r="G3885" s="23" t="n">
        <v>258</v>
      </c>
      <c r="H3885" s="23" t="n">
        <v>10</v>
      </c>
      <c r="I3885" s="23" t="n">
        <v>16</v>
      </c>
      <c r="J3885" s="23" t="inlineStr">
        <is>
          <t>978-5-227-07673-1</t>
        </is>
      </c>
      <c r="K3885" s="23" t="inlineStr">
        <is>
          <t>70x100 1/32</t>
        </is>
      </c>
      <c r="L3885" s="23" t="inlineStr">
        <is>
          <t>мяг</t>
        </is>
      </c>
      <c r="M3885" s="23" t="n">
        <v>192</v>
      </c>
      <c r="N3885" s="23" t="n">
        <v>2018</v>
      </c>
      <c r="O3885" s="23" t="n">
        <v>114</v>
      </c>
      <c r="P3885" s="23" t="n"/>
      <c r="Q3885" s="23" t="n"/>
      <c r="R3885" s="25" t="n"/>
      <c r="S3885" s="26">
        <f>HYPERLINK("http://www.cnpol.ru/covers/17989.jpg","фото на сайте")</f>
        <v/>
      </c>
    </row>
    <row r="3886" ht="50.1" customHeight="1" s="3">
      <c r="A3886" s="23" t="n"/>
      <c r="B3886" s="24" t="inlineStr">
        <is>
          <t>11626</t>
        </is>
      </c>
      <c r="C3886" s="23" t="inlineStr">
        <is>
          <t>ОИ ПСИХ</t>
        </is>
      </c>
      <c r="D3886" s="23" t="inlineStr">
        <is>
          <t>Любецкий А.</t>
        </is>
      </c>
      <c r="E3886" s="23" t="inlineStr">
        <is>
          <t>Энциклопедия счастливых имен</t>
        </is>
      </c>
      <c r="F3886" s="23" t="inlineStr">
        <is>
          <t>        </t>
        </is>
      </c>
      <c r="G3886" s="23" t="n">
        <v>358</v>
      </c>
      <c r="H3886" s="23" t="n">
        <v>10</v>
      </c>
      <c r="I3886" s="23" t="n">
        <v>12</v>
      </c>
      <c r="J3886" s="23" t="inlineStr">
        <is>
          <t>978-5-9524-4678-6</t>
        </is>
      </c>
      <c r="K3886" s="23" t="inlineStr">
        <is>
          <t>84x108 1/32</t>
        </is>
      </c>
      <c r="L3886" s="23" t="inlineStr">
        <is>
          <t>тв</t>
        </is>
      </c>
      <c r="M3886" s="23" t="n">
        <v>414</v>
      </c>
      <c r="N3886" s="23" t="n">
        <v>2009</v>
      </c>
      <c r="O3886" s="23" t="n">
        <v>326</v>
      </c>
      <c r="P3886" s="23" t="n"/>
      <c r="Q3886" s="23" t="n"/>
      <c r="R3886" s="25" t="n"/>
      <c r="S3886" s="26">
        <f>HYPERLINK("http://www.cnpol.ru/covers/11626.jpg","фото на сайте")</f>
        <v/>
      </c>
    </row>
    <row r="3887" ht="50.1" customHeight="1" s="3">
      <c r="A3887" s="23" t="n"/>
      <c r="B3887" s="24" t="inlineStr">
        <is>
          <t>18516</t>
        </is>
      </c>
      <c r="C3887" s="23" t="inlineStr">
        <is>
          <t>ОИ РОСС</t>
        </is>
      </c>
      <c r="D3887" s="23" t="inlineStr">
        <is>
          <t>Ден Ю.А.</t>
        </is>
      </c>
      <c r="E3887" s="23" t="inlineStr">
        <is>
          <t>1100 православных монастырей Российской империи. Полный перечень мужских и женских монастырей, архие</t>
        </is>
      </c>
      <c r="F3887" s="23" t="inlineStr">
        <is>
          <t>        </t>
        </is>
      </c>
      <c r="G3887" s="27" t="n">
        <v>1478</v>
      </c>
      <c r="H3887" s="23" t="n">
        <v>10</v>
      </c>
      <c r="I3887" s="23" t="n">
        <v>4</v>
      </c>
      <c r="J3887" s="23" t="inlineStr">
        <is>
          <t>978-5-227-07876-6</t>
        </is>
      </c>
      <c r="K3887" s="23" t="inlineStr">
        <is>
          <t>70x100 1/16</t>
        </is>
      </c>
      <c r="L3887" s="23" t="inlineStr">
        <is>
          <t>тв</t>
        </is>
      </c>
      <c r="M3887" s="23" t="n">
        <v>784</v>
      </c>
      <c r="N3887" s="23" t="n">
        <v>2019</v>
      </c>
      <c r="O3887" s="23" t="n">
        <v>1056</v>
      </c>
      <c r="P3887" s="23" t="n"/>
      <c r="Q3887" s="23" t="n"/>
      <c r="R3887" s="25" t="inlineStr">
        <is>
          <t>В знаменитом дореволюционном справочнике содержится уникальная информация о множестве русских православных обителей. Семь лет заняло составление этого монументального труда. За более, чем 100 лет после выхода этой книги многое изменилось. От некоторых монастырей не осталось даже фундамента, некоторые процветают. Об этом читатель узнает из примечаний редакторов.</t>
        </is>
      </c>
      <c r="S3887" s="26">
        <f>HYPERLINK("http://www.cnpol.ru/covers/18516.jpg","фото на сайте")</f>
        <v/>
      </c>
    </row>
    <row r="3888" ht="50.1" customHeight="1" s="3">
      <c r="A3888" s="23" t="n"/>
      <c r="B3888" s="24" t="inlineStr">
        <is>
          <t>18866</t>
        </is>
      </c>
      <c r="C3888" s="23" t="inlineStr">
        <is>
          <t>ОИ РОСС</t>
        </is>
      </c>
      <c r="D3888" s="23" t="inlineStr">
        <is>
          <t>Дубровин Н.Ф</t>
        </is>
      </c>
      <c r="E3888" s="23" t="inlineStr">
        <is>
          <t>1773 год. Пугачев и его сообщники. Эпизод из истории царствования императрицы Екатерины II. Т. 1</t>
        </is>
      </c>
      <c r="F3888" s="23" t="inlineStr">
        <is>
          <t>        </t>
        </is>
      </c>
      <c r="G3888" s="27" t="n">
        <v>1165</v>
      </c>
      <c r="H3888" s="23" t="n">
        <v>10</v>
      </c>
      <c r="I3888" s="23" t="n">
        <v>8</v>
      </c>
      <c r="J3888" s="23" t="inlineStr">
        <is>
          <t>978-5-227-08751-5</t>
        </is>
      </c>
      <c r="K3888" s="23" t="inlineStr">
        <is>
          <t>60x90 1/16</t>
        </is>
      </c>
      <c r="L3888" s="23" t="inlineStr">
        <is>
          <t>тв</t>
        </is>
      </c>
      <c r="M3888" s="23" t="n">
        <v>543</v>
      </c>
      <c r="N3888" s="23" t="n">
        <v>2019</v>
      </c>
      <c r="O3888" s="23" t="n">
        <v>558</v>
      </c>
      <c r="P3888" s="23" t="n"/>
      <c r="Q3888" s="23" t="n"/>
      <c r="R3888" s="25" t="inlineStr">
        <is>
          <t>Н.Ф. Дубровин — историк, академик, генерал. Он занимает особое место среди военных историков второй половины XIX века. По существу, он не примкнул ни к одному из течений, определившихся в военно­исторической науке того времени. Круг интересов ученого был весьма обширен. Данный исторический труд автора рассказывает о событиях, произошедших в России в 1773—1774 годах и известных нам под названием «Пугачевщина». Дубровин изучил колоссальное количество материалов, хранящихся в архивах Петербурга и Москвы, и документы из частных архивов. Для восполнения недостатка информации и полной характеристики событий и хода восстания, автор использовал неизданные документы и, конечно, следственное дело над Пугачевым и его сообщниками. _x000D_
Изначально труд был издан в трех томах, но для удобства читателей информация поделена на две книги, условно разделенные на 1773 и 1774 годы. Том первый, 1773 год.</t>
        </is>
      </c>
      <c r="S3888" s="26">
        <f>HYPERLINK("http://www.cnpol.ru/covers/18866.jpg","фото на сайте")</f>
        <v/>
      </c>
    </row>
    <row r="3889" ht="50.1" customHeight="1" s="3">
      <c r="A3889" s="23" t="n"/>
      <c r="B3889" s="24" t="inlineStr">
        <is>
          <t>18867</t>
        </is>
      </c>
      <c r="C3889" s="23" t="inlineStr">
        <is>
          <t>ОИ РОСС</t>
        </is>
      </c>
      <c r="D3889" s="23" t="inlineStr">
        <is>
          <t>Дубровин Н.Ф</t>
        </is>
      </c>
      <c r="E3889" s="23" t="inlineStr">
        <is>
          <t>1774 год. Пугачев и его сообщники. Эпизод из истории царствования императрицы Екатерины II. Т. 2</t>
        </is>
      </c>
      <c r="F3889" s="23" t="inlineStr">
        <is>
          <t>        </t>
        </is>
      </c>
      <c r="G3889" s="27" t="n">
        <v>1165</v>
      </c>
      <c r="H3889" s="23" t="n">
        <v>10</v>
      </c>
      <c r="I3889" s="23" t="n">
        <v>8</v>
      </c>
      <c r="J3889" s="23" t="inlineStr">
        <is>
          <t>978-5-227-08756-0</t>
        </is>
      </c>
      <c r="K3889" s="23" t="inlineStr">
        <is>
          <t>60x90 1/16</t>
        </is>
      </c>
      <c r="L3889" s="23" t="inlineStr">
        <is>
          <t>тв</t>
        </is>
      </c>
      <c r="M3889" s="23" t="n">
        <v>511</v>
      </c>
      <c r="N3889" s="23" t="n">
        <v>2019</v>
      </c>
      <c r="O3889" s="23" t="n">
        <v>534</v>
      </c>
      <c r="P3889" s="23" t="n"/>
      <c r="Q3889" s="23" t="n"/>
      <c r="R3889" s="25" t="inlineStr">
        <is>
          <t>Н.Ф. Дубровин — историк, академик, генерал. Он занимает особое место среди военных историков второй половины XIX века. По существу, он не примкнул ни к одному из течений, определившихся в военно­исторической науке того времени. Круг интересов ученого был весьма обширен. Данный исторический труд автора рассказывает о событиях, произошедших в России в 1773—1774 годах и известных нам под названием «Пугачевщина». Дубровин изучил колоссальное количество материалов, хранящихся в архивах Петербурга и Москвы, и документы из частных архивов. Для восполнения недостатка информации и полной характеристики событий и хода восстания, автор использовал неизданные документы и, конечно, следственное дело над Пугачевым и его сообщниками. _x000D_
Изначально труд был издан в трех томах, но для удобства читателей информация поделена на две книги, условно разделенные на 1773 и 1774 годы. Том первый, 1773 год.</t>
        </is>
      </c>
      <c r="S3889" s="26">
        <f>HYPERLINK("http://www.cnpol.ru/covers/18867.jpg","фото на сайте")</f>
        <v/>
      </c>
    </row>
    <row r="3890" ht="50.1" customHeight="1" s="3">
      <c r="A3890" s="23" t="n"/>
      <c r="B3890" s="24" t="inlineStr">
        <is>
          <t>17707</t>
        </is>
      </c>
      <c r="C3890" s="23" t="inlineStr">
        <is>
          <t>ОИ РОСС</t>
        </is>
      </c>
      <c r="D3890" s="23" t="inlineStr">
        <is>
          <t>Дегтев Д., Зубов Д.</t>
        </is>
      </c>
      <c r="E3890" s="23" t="inlineStr">
        <is>
          <t>1917г:  Русская голгофа. Агония империи и истоки революции.</t>
        </is>
      </c>
      <c r="F3890" s="23" t="inlineStr">
        <is>
          <t>        </t>
        </is>
      </c>
      <c r="G3890" s="23" t="n">
        <v>615</v>
      </c>
      <c r="H3890" s="23" t="n">
        <v>10</v>
      </c>
      <c r="I3890" s="23" t="n">
        <v>10</v>
      </c>
      <c r="J3890" s="23" t="inlineStr">
        <is>
          <t>978-5-227-07562-8</t>
        </is>
      </c>
      <c r="K3890" s="23" t="inlineStr">
        <is>
          <t>84x108 1/32</t>
        </is>
      </c>
      <c r="L3890" s="23" t="inlineStr">
        <is>
          <t>тв</t>
        </is>
      </c>
      <c r="M3890" s="23" t="n">
        <v>416</v>
      </c>
      <c r="N3890" s="23" t="n">
        <v>2017</v>
      </c>
      <c r="O3890" s="23" t="n">
        <v>350</v>
      </c>
      <c r="P3890" s="23" t="n"/>
      <c r="Q3890" s="23" t="n"/>
      <c r="R3890" s="25" t="inlineStr">
        <is>
          <t>В представленной книге крушение Российской империи и ее последнего царя впервые показано не с точки зрения политиков, писателей, революционеров, дипломатов, генералов и других образованных людей, которых в стране было меньшинство, а через призму народного, обывательского восприятия. На основе многочисленных архивных документов, журналистских материалов, хроник судебных процессов, воспоминаний, писем, газетной хроники и других источников в работе приведен анализ революции как явления, выросшего из самого мировосприятия российского общества и выражавшего его истинные побудительные мотивы._x000D_
Кроме того, авторы книги дают свой ответ на несколько важнейших вопросов. В частности, когда поезд российской истории перешел на революционные рельсы? Правда ли, что в период между войнами Россия богатела и процветала? Почему единение царя с народом в августе 1914 года так быстро сменилось лютой ненавистью народа к монархии? Какую роль в революции сыграла водка? Могла ли страна в 1917 году продолжать войну? Какова была истинная роль большевиков и почему к власти в итоге пришли не депутаты, фактически свергнувшие царя, не военные, не олигархи, а именно революционеры (что в действительности случается очень редко)? Существовала ли реальная альтернатива революции в сознании общества? И когда, собственно, в России началась Гражданская война?</t>
        </is>
      </c>
      <c r="S3890" s="26">
        <f>HYPERLINK("http://www.cnpol.ru/covers/17707.jpg","фото на сайте")</f>
        <v/>
      </c>
    </row>
    <row r="3891" ht="50.1" customHeight="1" s="3">
      <c r="A3891" s="23" t="inlineStr">
        <is>
          <t>Н</t>
        </is>
      </c>
      <c r="B3891" s="24" t="inlineStr">
        <is>
          <t>21585</t>
        </is>
      </c>
      <c r="C3891" s="23" t="inlineStr">
        <is>
          <t>ОИ РОСС</t>
        </is>
      </c>
      <c r="D3891" s="23" t="inlineStr">
        <is>
          <t>Лемке М.К.</t>
        </is>
      </c>
      <c r="E3891" s="23" t="inlineStr">
        <is>
          <t>250 дней в царской Ставке. Дневники штабс-капитана и военного цензора, приближенного к высшим государственным и военным чинам</t>
        </is>
      </c>
      <c r="F3891" s="23" t="inlineStr">
        <is>
          <t>        </t>
        </is>
      </c>
      <c r="G3891" s="27" t="n">
        <v>1954</v>
      </c>
      <c r="H3891" s="23" t="n">
        <v>10</v>
      </c>
      <c r="I3891" s="23" t="n">
        <v>3</v>
      </c>
      <c r="J3891" s="23" t="inlineStr">
        <is>
          <t>978-5-227-10808-1</t>
        </is>
      </c>
      <c r="K3891" s="23" t="inlineStr">
        <is>
          <t>60x90 1/16</t>
        </is>
      </c>
      <c r="L3891" s="23" t="inlineStr">
        <is>
          <t>тв</t>
        </is>
      </c>
      <c r="M3891" s="23" t="n">
        <v>847</v>
      </c>
      <c r="N3891" s="23" t="n">
        <v>2025</v>
      </c>
      <c r="O3891" s="23" t="n">
        <v>702</v>
      </c>
      <c r="P3891" s="23" t="n"/>
      <c r="Q3891" s="23" t="n"/>
      <c r="R3891" s="25" t="inlineStr">
        <is>
          <t>Михаил Лемке (1872–1923) — писатель, публицист, автор трудов по истории журналистики и цензуры, известен прежде всего подробнейшими воспоминаниями о службе в Ставке Верховного главнокомандующего в годы Первой мировой войны. С сентября 1915 года М.К. Лемке занимал должность военного цензора, а также отвечал за взаимодействие армейского начальства с прессой. Имея доступ к деловой переписке, приказам и донесениям, в том числе к особо секретным, штабс-капитан Лемке копировал все проходившие через него документы в дневник, в котором также записывал беседы с сослуживцами всех чинов и званий — от простых солдат до командующих фронтами. Из этих записок можно узнать о положении дел в армии незадолго до падения Российской империи: о проблемах со снабжением, недостаточном техническом и инженерном оснащении частей, пагубной практике протекционизма, интригах и даже адюльтерах. Книга наполнена мрачными предчувствиями надвигающихся перемен и робкой надеждой на грядущее обновление жизни.</t>
        </is>
      </c>
      <c r="S3891" s="26">
        <f>HYPERLINK("http://www.cnpol.ru/covers/21585.jpg","фото на сайте")</f>
        <v/>
      </c>
    </row>
    <row r="3892" ht="50.1" customHeight="1" s="3">
      <c r="A3892" s="23" t="n"/>
      <c r="B3892" s="24" t="inlineStr">
        <is>
          <t>20363</t>
        </is>
      </c>
      <c r="C3892" s="23" t="inlineStr">
        <is>
          <t>ОИ РОСС</t>
        </is>
      </c>
      <c r="D3892" s="23" t="inlineStr">
        <is>
          <t>Дженкинс М</t>
        </is>
      </c>
      <c r="E3892" s="23" t="inlineStr">
        <is>
          <t>Аракчеев. Реформатор­реакционер</t>
        </is>
      </c>
      <c r="F3892" s="23" t="inlineStr">
        <is>
          <t>        </t>
        </is>
      </c>
      <c r="G3892" s="23" t="n">
        <v>936</v>
      </c>
      <c r="H3892" s="23" t="n">
        <v>10</v>
      </c>
      <c r="I3892" s="23" t="n">
        <v>14</v>
      </c>
      <c r="J3892" s="23" t="inlineStr">
        <is>
          <t>978-5-9524-5729-4</t>
        </is>
      </c>
      <c r="K3892" s="23" t="inlineStr">
        <is>
          <t>84x108 1/32</t>
        </is>
      </c>
      <c r="L3892" s="23" t="inlineStr">
        <is>
          <t>тв</t>
        </is>
      </c>
      <c r="M3892" s="23" t="n">
        <v>271</v>
      </c>
      <c r="N3892" s="23" t="n">
        <v>2022</v>
      </c>
      <c r="O3892" s="23" t="n">
        <v>330</v>
      </c>
      <c r="P3892" s="23" t="n"/>
      <c r="Q3892" s="23" t="n"/>
      <c r="R3892" s="25" t="inlineStr">
        <is>
          <t>В книге рассказывается о жизни и деятельности А.А. Аракчеева, государственного и военного деятеля, о котором еще при жизни ходили легенды. Имя этого сановника вошло в историю как символ самой мрачной реакции и жесточайшего гнета. Истинный поборник самодержавия, ревностный проводник политики Александра I, он всегда стоял особняком, вызывал неприязнь и страх у придворных министров, откровенно презирал условности светского общества. Расположение царя к Аракчееву и вера в него озадачивали современников и ставили в тупик историков. Автор использует богатый архивный материал, исторические документы, переписку и воспоминания современников.</t>
        </is>
      </c>
      <c r="S3892" s="26">
        <f>HYPERLINK("http://www.cnpol.ru/covers/20363.jpg","фото на сайте")</f>
        <v/>
      </c>
    </row>
    <row r="3893" ht="50.1" customHeight="1" s="3">
      <c r="A3893" s="23" t="inlineStr">
        <is>
          <t>Н</t>
        </is>
      </c>
      <c r="B3893" s="24" t="inlineStr">
        <is>
          <t>21509</t>
        </is>
      </c>
      <c r="C3893" s="23" t="inlineStr">
        <is>
          <t>ОИ РОСС</t>
        </is>
      </c>
      <c r="D3893" s="23" t="inlineStr">
        <is>
          <t>Блум Д.</t>
        </is>
      </c>
      <c r="E3893" s="23" t="inlineStr">
        <is>
          <t>Барин и крестьянин в России IX–XIX веков. Влияние исторических событий на земельные отношения во времена Киевской Руси, в монгольский период и последние 150 лет крепостного права</t>
        </is>
      </c>
      <c r="F3893" s="23" t="inlineStr">
        <is>
          <t>        </t>
        </is>
      </c>
      <c r="G3893" s="23" t="n">
        <v>704</v>
      </c>
      <c r="H3893" s="23" t="n">
        <v>10</v>
      </c>
      <c r="I3893" s="23" t="n">
        <v>8</v>
      </c>
      <c r="J3893" s="23" t="inlineStr">
        <is>
          <t>978-5-9524-6098-0</t>
        </is>
      </c>
      <c r="K3893" s="23" t="inlineStr">
        <is>
          <t>84x108 1/32</t>
        </is>
      </c>
      <c r="L3893" s="23" t="inlineStr">
        <is>
          <t>тв</t>
        </is>
      </c>
      <c r="M3893" s="23" t="n">
        <v>575</v>
      </c>
      <c r="N3893" s="23" t="n">
        <v>2025</v>
      </c>
      <c r="O3893" s="23" t="n">
        <v>455</v>
      </c>
      <c r="P3893" s="23" t="n"/>
      <c r="Q3893" s="23" t="n"/>
      <c r="R3893" s="25" t="inlineStr">
        <is>
          <t>Джером Блум, профессор Принстонского университета, прослеживает историю взаимоотношений русских землевладельцев и крестьянской общины с времен варяжского вторжения до отмены крепостного права. В своем монументальном и вместе с тем новаторском труде Блум описывает типы земледелия и особенности ведения хозяйственной деятельности на обширных территориях страны, виды и устройство сельских поселений и господских усадеб, систему взимания налоговых сборов и податей. Автор освещает не только аграрные вопросы, но и жизнь народа — и дворян, и землепашцев, рассматривает причины возникновения крепостного права и делает вывод, что закрепощение крестьян определило экономическое и социальное развитие государства и сформировало его политическое устройство.</t>
        </is>
      </c>
      <c r="S3893" s="26">
        <f>HYPERLINK("http://www.cnpol.ru/covers/21509.jpg","фото на сайте")</f>
        <v/>
      </c>
    </row>
    <row r="3894" ht="50.1" customHeight="1" s="3">
      <c r="A3894" s="23" t="inlineStr">
        <is>
          <t>Д</t>
        </is>
      </c>
      <c r="B3894" s="24" t="inlineStr">
        <is>
          <t>22021</t>
        </is>
      </c>
      <c r="C3894" s="23" t="inlineStr">
        <is>
          <t>ОИ РОСС</t>
        </is>
      </c>
      <c r="D3894" s="23" t="inlineStr">
        <is>
          <t>Фалин В.М.</t>
        </is>
      </c>
      <c r="E3894" s="23" t="inlineStr">
        <is>
          <t>Без скидок на обстоятельства. Политические воспоминания</t>
        </is>
      </c>
      <c r="F3894" s="23" t="inlineStr">
        <is>
          <t>        </t>
        </is>
      </c>
      <c r="G3894" s="27" t="n">
        <v>1265</v>
      </c>
      <c r="H3894" s="23" t="n">
        <v>10</v>
      </c>
      <c r="I3894" s="23" t="n">
        <v>8</v>
      </c>
      <c r="J3894" s="23" t="inlineStr">
        <is>
          <t>978-5-227-11271-2</t>
        </is>
      </c>
      <c r="K3894" s="23" t="inlineStr">
        <is>
          <t>84x108 1/32</t>
        </is>
      </c>
      <c r="L3894" s="23" t="inlineStr">
        <is>
          <t>тв</t>
        </is>
      </c>
      <c r="M3894" s="23" t="n">
        <v>447</v>
      </c>
      <c r="N3894" s="23" t="n">
        <v>2026</v>
      </c>
      <c r="O3894" s="23" t="n">
        <v>482</v>
      </c>
      <c r="P3894" s="23" t="n"/>
      <c r="Q3894" s="23" t="n"/>
      <c r="R3894" s="25" t="inlineStr">
        <is>
          <t>Центральное место в воспоминаниях В.М. Фалина отводится острейшей борьбе, которая шла вокруг одной из самых сложных послевоенных проблем — германского вопроса. Автор рассказывает также о принятии руководителями Советского государства решений по таким затрагивающим судьбы всеобщего мира вопросам, как войны в Корее и в Афганистане, урегулирование кубинского и ближневосточных кризисов, события в Чехословакии в 1968 г., и многим другим, впервые открывая завесу секретных маневров ведущих советских и зарубежных деятелей.</t>
        </is>
      </c>
      <c r="S3894" s="26">
        <f>HYPERLINK("http://www.cnpol.ru/covers/22021.jpg","фото на сайте")</f>
        <v/>
      </c>
    </row>
    <row r="3895" ht="50.1" customHeight="1" s="3">
      <c r="A3895" s="23" t="n"/>
      <c r="B3895" s="24" t="inlineStr">
        <is>
          <t>20857</t>
        </is>
      </c>
      <c r="C3895" s="23" t="inlineStr">
        <is>
          <t>ОИ РОСС</t>
        </is>
      </c>
      <c r="D3895" s="23" t="inlineStr">
        <is>
          <t>Филимонов Б.Б.</t>
        </is>
      </c>
      <c r="E3895" s="23" t="inlineStr">
        <is>
          <t>Белоповстанцы. Кн. 1: Освобождение Приморья войсками Временного Приамурского правительства</t>
        </is>
      </c>
      <c r="F3895" s="23" t="inlineStr">
        <is>
          <t>        </t>
        </is>
      </c>
      <c r="G3895" s="27" t="n">
        <v>1075</v>
      </c>
      <c r="H3895" s="23" t="n">
        <v>10</v>
      </c>
      <c r="I3895" s="23" t="n">
        <v>10</v>
      </c>
      <c r="J3895" s="23" t="inlineStr">
        <is>
          <t>978-5-9524-6030-0</t>
        </is>
      </c>
      <c r="K3895" s="23" t="inlineStr">
        <is>
          <t>84x108 1/32</t>
        </is>
      </c>
      <c r="L3895" s="23" t="inlineStr">
        <is>
          <t>тв</t>
        </is>
      </c>
      <c r="M3895" s="23" t="n">
        <v>415</v>
      </c>
      <c r="N3895" s="23" t="n">
        <v>2023</v>
      </c>
      <c r="O3895" s="23" t="n">
        <v>455</v>
      </c>
      <c r="P3895" s="23" t="n"/>
      <c r="Q3895" s="23" t="n"/>
      <c r="R3895" s="25" t="inlineStr">
        <is>
          <t>Труд поручика Б. Филимонова, основанный на большом документальном материале, посвящен событиям Гражданской войны, происходившим в Приморье и Амурской области. В первой книге рассказывается о начальном периоде Хабаровского похода зимой 1921/22 г., явившегося последним наступлением остатков белых армий Восточного фронта. В книге даны общие сведения о состоянии вооруженных сил белых и красных на Дальнем Востоке.</t>
        </is>
      </c>
      <c r="S3895" s="26">
        <f>HYPERLINK("http://www.cnpol.ru/covers/20857.jpg","фото на сайте")</f>
        <v/>
      </c>
    </row>
    <row r="3896" ht="50.1" customHeight="1" s="3">
      <c r="A3896" s="23" t="n"/>
      <c r="B3896" s="24" t="inlineStr">
        <is>
          <t>20858</t>
        </is>
      </c>
      <c r="C3896" s="23" t="inlineStr">
        <is>
          <t>ОИ РОСС</t>
        </is>
      </c>
      <c r="D3896" s="23" t="inlineStr">
        <is>
          <t>Филимонов Б.Б.</t>
        </is>
      </c>
      <c r="E3896" s="23" t="inlineStr">
        <is>
          <t>Белоповстанцы. Кн. 2: Борьба белых повстанческих отрядов на амурской границе</t>
        </is>
      </c>
      <c r="F3896" s="23" t="inlineStr">
        <is>
          <t>        </t>
        </is>
      </c>
      <c r="G3896" s="23" t="n">
        <v>842</v>
      </c>
      <c r="H3896" s="23" t="n">
        <v>10</v>
      </c>
      <c r="I3896" s="23" t="n">
        <v>12</v>
      </c>
      <c r="J3896" s="23" t="inlineStr">
        <is>
          <t>978-5-9524-6031-7</t>
        </is>
      </c>
      <c r="K3896" s="23" t="inlineStr">
        <is>
          <t>84x108 1/32</t>
        </is>
      </c>
      <c r="L3896" s="23" t="inlineStr">
        <is>
          <t>тв</t>
        </is>
      </c>
      <c r="M3896" s="23" t="n">
        <v>287</v>
      </c>
      <c r="N3896" s="23" t="n">
        <v>2023</v>
      </c>
      <c r="O3896" s="23" t="n">
        <v>346</v>
      </c>
      <c r="P3896" s="23" t="n"/>
      <c r="Q3896" s="23" t="n"/>
      <c r="R3896" s="25" t="inlineStr">
        <is>
          <t>Вторая книга Бориса Филимонова рассматривает борьбу белоповстанческой армии с частями Народно-революционной армии на восточной границе Амурской области. Автор дает представление о силах сторон, старается беспристрастно дать правдивую картину упорного противостояния большевиков и Приамурского Временного правительства Белого движения в Гражданской войне.</t>
        </is>
      </c>
      <c r="S3896" s="26">
        <f>HYPERLINK("http://www.cnpol.ru/covers/20858.jpg","фото на сайте")</f>
        <v/>
      </c>
    </row>
    <row r="3897" ht="50.1" customHeight="1" s="3">
      <c r="A3897" s="23" t="inlineStr">
        <is>
          <t>Н</t>
        </is>
      </c>
      <c r="B3897" s="24" t="inlineStr">
        <is>
          <t>21210</t>
        </is>
      </c>
      <c r="C3897" s="23" t="inlineStr">
        <is>
          <t>ОИ РОСС</t>
        </is>
      </c>
      <c r="D3897" s="23" t="inlineStr">
        <is>
          <t>Хазанов А.И.</t>
        </is>
      </c>
      <c r="E3897" s="23" t="inlineStr">
        <is>
          <t>Беседы с Г.К. Жуковым. 16 встреч дома у маршала</t>
        </is>
      </c>
      <c r="F3897" s="23" t="inlineStr">
        <is>
          <t>        </t>
        </is>
      </c>
      <c r="G3897" s="23" t="n">
        <v>763</v>
      </c>
      <c r="H3897" s="23" t="n">
        <v>10</v>
      </c>
      <c r="I3897" s="23" t="n">
        <v>18</v>
      </c>
      <c r="J3897" s="23" t="inlineStr">
        <is>
          <t>978-5-227-10689-6</t>
        </is>
      </c>
      <c r="K3897" s="23" t="inlineStr">
        <is>
          <t>84x108 1/32</t>
        </is>
      </c>
      <c r="L3897" s="23" t="inlineStr">
        <is>
          <t>тв</t>
        </is>
      </c>
      <c r="M3897" s="23" t="n">
        <v>287</v>
      </c>
      <c r="N3897" s="23" t="n">
        <v>2024</v>
      </c>
      <c r="O3897" s="23" t="n">
        <v>342</v>
      </c>
      <c r="P3897" s="23" t="n"/>
      <c r="Q3897" s="23" t="n"/>
      <c r="R3897" s="25" t="inlineStr">
        <is>
          <t>Уникальная книга доктора медицинских наук, одного из ведущих специалистов в области гастроэнтерологии А.И. Хазанова (1922—2009) посвящена не вопросам медицинской науки. Большая часть профессиональной карьеры автора была связана с работой в Главном военном клиническом госпитале им. акад. Н.Н. Бурденко, где он многие годы был начальником гастроэнтерологического отделения. Будучи сам фронтовиком, московским ополченцем, принявшим свой первый бой тяжелой зимой 41-го года, автор никогда не забывал о войне. В период с 1945 по 1990 год во время работы в госпитале он собирал воспоминания полководцев и других участников Великой Отечественной войны. В этом деле ему помогала профессия военного врача: большинство собеседников были его пациентами, лишь иногда — коллегами по работе. Среди его собеседников были А.М. Василевский, К.К. Рокоссовский, И.С. Конев, К.А. Мерецков, С.М. Буденный, В.Д. Соколовский, А.И. Антонов, А.А. Гречко, М.В. Захаров, С.М. Штеменко и другие. Одним из частых собеседников А.И. Хазанова был Маршал Советского Союза Г.К. Жуков. Супруга маршала Галина Александровна работала с автором книги в одном отделении. Откровенные размышления Жукова о войне, о руководстве страны, о сослуживцах, а также воспоминания о самом маршале приводятся здесь в изложении автора, записывавшего рассказы собеседников по памяти.</t>
        </is>
      </c>
      <c r="S3897" s="26">
        <f>HYPERLINK("http://www.cnpol.ru/covers/21210.jpg","фото на сайте")</f>
        <v/>
      </c>
    </row>
    <row r="3898" ht="50.1" customHeight="1" s="3">
      <c r="A3898" s="23" t="n"/>
      <c r="B3898" s="24" t="inlineStr">
        <is>
          <t>20765</t>
        </is>
      </c>
      <c r="C3898" s="23" t="inlineStr">
        <is>
          <t>ОИ РОСС</t>
        </is>
      </c>
      <c r="D3898" s="23" t="inlineStr">
        <is>
          <t>Первушина Е.В.</t>
        </is>
      </c>
      <c r="E3898" s="23" t="inlineStr">
        <is>
          <t>Ближний круг российских императоров. Дружба и служба</t>
        </is>
      </c>
      <c r="F3898" s="23" t="inlineStr">
        <is>
          <t>        </t>
        </is>
      </c>
      <c r="G3898" s="23" t="n">
        <v>970</v>
      </c>
      <c r="H3898" s="23" t="n">
        <v>10</v>
      </c>
      <c r="I3898" s="23" t="n">
        <v>8</v>
      </c>
      <c r="J3898" s="23" t="inlineStr">
        <is>
          <t>978-5-227-10416-8</t>
        </is>
      </c>
      <c r="K3898" s="23" t="inlineStr">
        <is>
          <t>84x108 1/32</t>
        </is>
      </c>
      <c r="L3898" s="23" t="inlineStr">
        <is>
          <t>тв</t>
        </is>
      </c>
      <c r="M3898" s="23" t="n">
        <v>541</v>
      </c>
      <c r="N3898" s="23" t="n">
        <v>2023</v>
      </c>
      <c r="O3898" s="23" t="n">
        <v>547</v>
      </c>
      <c r="P3898" s="23" t="n"/>
      <c r="Q3898" s="23" t="n"/>
      <c r="R3898" s="25" t="inlineStr">
        <is>
          <t>Никто не может жить без друзей. Но очень непросто завести их, если ты принадлежишь к правящей семье и все жители страны являются твоими верноподданными. Да и сама атмосфера дворца не способствует искренности и откровенности. Удалось ли российским императорам и императрицам завязать настоящие, крепкие дружеские отношения? И как эти отношения повлияли на историю России? Об этом расскажет книга. Разумеется, в ней упомянуты не все люди, которые оказывались рядом с царями и императорами династии Романовых на протяжении 300 лет ее правления. Для того чтобы перечислить всех и выявить то влияние, которое они оказали на императоров и на ход русской истории, потребовалась бы целая библиотека… И тем не менее история озвученного периода оставила нам множество интересных биографий людей, которые далеко не всегда являлись образцами нравственности и ума, но жили ярко и яростно, пытаясь воплотить в реальность свои мечты, и даже их ошибки могут многому нас научить.</t>
        </is>
      </c>
      <c r="S3898" s="26">
        <f>HYPERLINK("http://www.cnpol.ru/covers/20765.jpg","фото на сайте")</f>
        <v/>
      </c>
    </row>
    <row r="3899" ht="50.1" customHeight="1" s="3">
      <c r="A3899" s="23" t="n"/>
      <c r="B3899" s="24" t="inlineStr">
        <is>
          <t>20206</t>
        </is>
      </c>
      <c r="C3899" s="23" t="inlineStr">
        <is>
          <t>ОИ РОСС</t>
        </is>
      </c>
      <c r="D3899" s="23" t="inlineStr">
        <is>
          <t>Гессен И.В.</t>
        </is>
      </c>
      <c r="E3899" s="23" t="inlineStr">
        <is>
          <t>В двух веках. Жизненный отчет российского государственного и политического деятеля, члена Второй Государственной думы</t>
        </is>
      </c>
      <c r="F3899" s="23" t="inlineStr">
        <is>
          <t>        </t>
        </is>
      </c>
      <c r="G3899" s="27" t="n">
        <v>1178</v>
      </c>
      <c r="H3899" s="23" t="n">
        <v>10</v>
      </c>
      <c r="I3899" s="23" t="n">
        <v>10</v>
      </c>
      <c r="J3899" s="23" t="inlineStr">
        <is>
          <t>978-5-227-09863-4</t>
        </is>
      </c>
      <c r="K3899" s="23" t="inlineStr">
        <is>
          <t>84x108 1/32</t>
        </is>
      </c>
      <c r="L3899" s="23" t="inlineStr">
        <is>
          <t>тв</t>
        </is>
      </c>
      <c r="M3899" s="23" t="n">
        <v>415</v>
      </c>
      <c r="N3899" s="23" t="n">
        <v>2022</v>
      </c>
      <c r="O3899" s="23" t="n">
        <v>375</v>
      </c>
      <c r="P3899" s="23" t="n"/>
      <c r="Q3899" s="23" t="n"/>
      <c r="R3899" s="25" t="inlineStr">
        <is>
          <t>Иосиф Владимирович Гессен — политик, издатель, журналист, юрист, человек известный в обществе начала ХХ века, отличался разнообразными интересами — был членом ЦК Конституционно-демократической партии, ответственным сотрудником министерства юстиции, депутатом Второй Государственной думы, главным редактором оппозиционной газеты «Речь», рупора кадетов, и либерального журнала «Право», побывал в ссылке на Севере России, послужил в судебных органах в провинции. Он по-приятельски общался с министрами, революционерами, крупными политиками, знаменитыми писателями, художниками, актерами… А в эмиграции подготовил и выпустил многотомный «Архив русской революции», сохраняя для потомков свидетельства и документы._x000D_
Переломные события российской истории не просто разворачивались у него перед глазами, он был их участником. И когда И.В. Гессен решил написать воспоминания, подводя итоги своей жизни, ему было о чем рассказать. Вот только оценить то фиаско, которое потерпела его партия в 1917 году, он так и не смог. Впрочем, честный рассказ о прошлом сам дает ответ на вопрос, почему кадеты были «выброшены с корабля истории».</t>
        </is>
      </c>
      <c r="S3899" s="26">
        <f>HYPERLINK("http://www.cnpol.ru/covers/20206.jpg","фото на сайте")</f>
        <v/>
      </c>
    </row>
    <row r="3900" ht="50.1" customHeight="1" s="3">
      <c r="A3900" s="23" t="n"/>
      <c r="B3900" s="24" t="inlineStr">
        <is>
          <t>20884</t>
        </is>
      </c>
      <c r="C3900" s="23" t="inlineStr">
        <is>
          <t>ОИ РОСС</t>
        </is>
      </c>
      <c r="D3900" s="23" t="inlineStr">
        <is>
          <t>Литтлпейдж Д.</t>
        </is>
      </c>
      <c r="E3900" s="23" t="inlineStr">
        <is>
          <t>В поисках советского золота. Генеральное сражение на золотом фронте Сталина</t>
        </is>
      </c>
      <c r="F3900" s="23" t="inlineStr">
        <is>
          <t>        </t>
        </is>
      </c>
      <c r="G3900" s="23" t="n">
        <v>512</v>
      </c>
      <c r="H3900" s="23" t="n">
        <v>10</v>
      </c>
      <c r="I3900" s="23" t="n">
        <v>14</v>
      </c>
      <c r="J3900" s="23" t="inlineStr">
        <is>
          <t>978-5-9524-5983-0</t>
        </is>
      </c>
      <c r="K3900" s="23" t="inlineStr">
        <is>
          <t>84x108 1/32</t>
        </is>
      </c>
      <c r="L3900" s="23" t="inlineStr">
        <is>
          <t>тв</t>
        </is>
      </c>
      <c r="M3900" s="23" t="n">
        <v>287</v>
      </c>
      <c r="N3900" s="23" t="n">
        <v>2023</v>
      </c>
      <c r="O3900" s="23" t="n">
        <v>260</v>
      </c>
      <c r="P3900" s="23" t="n"/>
      <c r="Q3900" s="23" t="n"/>
      <c r="R3900" s="25" t="inlineStr">
        <is>
          <t>Золото!.. Кто и в какие времена не искал его? Вот и в начале образования Советского государства возник вопрос о развертывании разведывательно-изыскательных партий золотоносных месторождений. По указанию Сталина были привлечены специалисты из других стран, в частности, горный инженер Джон Литтлпейдж, работавший на Аляске. Великолепный рассказчик, он в частных беседах говорил о своей работе в тресте «Главзолото», о советских приисках, об организации золотодобывающей промышленности, контролировавшейся НКВД, о положении рабочих и женском труде на шахтах, а также о плавильных производствах на Южном Урале, Казахстане, Башкирии, Якутии, Западной Сибири, где ему пришлось работать… Беседы с ним, которые записал журналист Демари Бесс, легли в основу этой книги.</t>
        </is>
      </c>
      <c r="S3900" s="26">
        <f>HYPERLINK("http://www.cnpol.ru/covers/20884.jpg","фото на сайте")</f>
        <v/>
      </c>
    </row>
    <row r="3901" ht="50.1" customHeight="1" s="3">
      <c r="A3901" s="23" t="inlineStr">
        <is>
          <t>Н</t>
        </is>
      </c>
      <c r="B3901" s="24" t="inlineStr">
        <is>
          <t>21000</t>
        </is>
      </c>
      <c r="C3901" s="23" t="inlineStr">
        <is>
          <t>ОИ РОСС</t>
        </is>
      </c>
      <c r="D3901" s="23" t="inlineStr">
        <is>
          <t>Бунатан Н. Г</t>
        </is>
      </c>
      <c r="E3901" s="23" t="inlineStr">
        <is>
          <t>В Ставке Верховного главнокомандующего. Воспоминания адмирала. 1914—1918</t>
        </is>
      </c>
      <c r="F3901" s="23" t="inlineStr">
        <is>
          <t>        </t>
        </is>
      </c>
      <c r="G3901" s="23" t="n">
        <v>806</v>
      </c>
      <c r="H3901" s="23" t="n">
        <v>10</v>
      </c>
      <c r="I3901" s="23" t="n">
        <v>14</v>
      </c>
      <c r="J3901" s="23" t="inlineStr">
        <is>
          <t>978-5-227-10429-8</t>
        </is>
      </c>
      <c r="K3901" s="23" t="inlineStr">
        <is>
          <t>84x108 1/32</t>
        </is>
      </c>
      <c r="L3901" s="23" t="inlineStr">
        <is>
          <t>тв</t>
        </is>
      </c>
      <c r="M3901" s="23" t="n">
        <v>255</v>
      </c>
      <c r="N3901" s="23" t="n">
        <v>2024</v>
      </c>
      <c r="O3901" s="23" t="n">
        <v>320</v>
      </c>
      <c r="P3901" s="23" t="n"/>
      <c r="Q3901" s="23" t="n"/>
      <c r="R3901" s="25" t="inlineStr">
        <is>
          <t>Контр-адмирал Александр Дмитриевич Бубнов посвятил книгу своих воспоминаний событиям Первой мировой войны. С начала войны он находился в Ставке Верховного главнокомандующего и служил там до Октябрьских событий 1917 года. В июле 1916 года Бубнов получил чин капитана 1-го ранга «за отличие по службе». Контр-адмиралом он стал через год, в июле 1917 года, уже при Временном правительстве. Свою службу в Ставке адмирал делит на три периода — при великом князе Николае Николаевиче, возглавлявшем русскую армию до августа 1915 года, при императоре Николае II, принявшем обязанности Верховного главнокомандующего на себя, и при власти Временного правительства, после февраля 1917 года сменившего за несколько месяцев ряд главнокомандующих. А.Д. Бубнов анализирует ход военных действий в этот период и делает ряд интересных, хоть и не бесспорных выводов. Как человек, лично причастный ко многим событиям, он хорошо знает факты, остававшиеся неизвестными людям со стороны. Например, эпопея с подготовкой Босфорской операции, увы, несостоявшейся, знакома ему в мелких деталях, так как он сам занимался разработкой этих планов в Ставке. В 1918 году ему удалось добраться до Одессы и примкнуть к Белому движению. Адмирал Колчак, хорошо знавший Бубнова, включил его в состав делегации, которая должна была представлять интересы России на Версальской мирной конференции после завершения Первой мировой войны. Но русская белая делегация на конференцию допущена не была — для союзников Россия стала отыгранной картой. Вернувшись в Россию, А.Д. Бубнов был в 1919 году назначен на должность начальника штаба командующего Черноморским флотом адмирала А.В. Ненюкова. А в 1920 году отправился вместе с семьей в эмиграцию, чтобы уже никогда не вернуться на русские берега…</t>
        </is>
      </c>
      <c r="S3901" s="26">
        <f>HYPERLINK("http://www.cnpol.ru/covers/21000.jpg","фото на сайте")</f>
        <v/>
      </c>
    </row>
    <row r="3902" ht="50.1" customHeight="1" s="3">
      <c r="A3902" s="23" t="n"/>
      <c r="B3902" s="24" t="inlineStr">
        <is>
          <t>19475</t>
        </is>
      </c>
      <c r="C3902" s="23" t="inlineStr">
        <is>
          <t>ОИ РОСС</t>
        </is>
      </c>
      <c r="D3902" s="23" t="inlineStr">
        <is>
          <t>Фалин В.М.</t>
        </is>
      </c>
      <c r="E3902" s="23" t="inlineStr">
        <is>
          <t>Валентин Фалин - уникальная фигура советской дипломатии</t>
        </is>
      </c>
      <c r="F3902" s="23" t="inlineStr">
        <is>
          <t>        </t>
        </is>
      </c>
      <c r="G3902" s="23" t="n">
        <v>888</v>
      </c>
      <c r="H3902" s="23" t="n">
        <v>10</v>
      </c>
      <c r="I3902" s="23" t="n">
        <v>10</v>
      </c>
      <c r="J3902" s="23" t="inlineStr">
        <is>
          <t>978-5-227-09363-9</t>
        </is>
      </c>
      <c r="K3902" s="23" t="inlineStr">
        <is>
          <t>84x108 1/32</t>
        </is>
      </c>
      <c r="L3902" s="23" t="inlineStr">
        <is>
          <t>тв</t>
        </is>
      </c>
      <c r="M3902" s="23" t="n">
        <v>448</v>
      </c>
      <c r="N3902" s="23" t="n">
        <v>2021</v>
      </c>
      <c r="O3902" s="23" t="n">
        <v>492</v>
      </c>
      <c r="P3902" s="23" t="n"/>
      <c r="Q3902" s="23" t="n"/>
      <c r="R3902" s="25" t="inlineStr">
        <is>
          <t>Валентин Михайлович Фалин — уникальное и незабываемое явление советской дипломатии, политики, науки. Квинтэссенция уникальности его личности в том, что и знания, и опыт, и характер, и судьба выковали в нем принципы и бесстрашие. За то, что он не ¬изменял своим принципам, не подстраивался под конъюнктуру, его далеко не всегда благодарили те, кто не отдавал себе отчет в том, что же такое грибоедовское «служить бы рад, прислуживаться тошно». Но сегодня, когда говорят о «принципиальной внешней политике», мы вспоминаем именно сурового, полного внутреннего достоинства и обаяния В.М. Фалина._x000D_
Предлагаем вашему вниманию необычную книгу. _x000D_
Первая ее часть — заметки наших современников, знавших Валентина Михайловича лично. Его назвали «Человеком между двух времен». Но мы прекрасно понимаем, что это был человек и нашего времени, и будущего._x000D_
Вторая — статьи Фалина, написанные для СМИ в период с 1984 по 2015 годы. Поразительна их актуальность!_x000D_
Третья, заключительная часть книги — заметки «для себя» из блокнота В.М. Фалина, куда он записывал в течение многих десяти¬летий самое сокровенное, интересное, наболевшее… Читая их, можно почувствовать, что было дорого, о чем он думал и чем жил…</t>
        </is>
      </c>
      <c r="S3902" s="26">
        <f>HYPERLINK("http://www.cnpol.ru/covers/19475.jpg","фото на сайте")</f>
        <v/>
      </c>
    </row>
    <row r="3903" ht="50.1" customHeight="1" s="3">
      <c r="A3903" s="23" t="inlineStr">
        <is>
          <t>Д</t>
        </is>
      </c>
      <c r="B3903" s="24" t="inlineStr">
        <is>
          <t>21858</t>
        </is>
      </c>
      <c r="C3903" s="23" t="inlineStr">
        <is>
          <t>ОИ РОСС</t>
        </is>
      </c>
      <c r="D3903" s="23" t="inlineStr">
        <is>
          <t>Спиридович А.И.</t>
        </is>
      </c>
      <c r="E3903" s="23" t="inlineStr">
        <is>
          <t>Великая война и Февральская революция 1914–1917 гг. Воспоминания генерал-майора Отдельного корпуса жандармов, начальника императорской дворцовой охраны Николая II</t>
        </is>
      </c>
      <c r="F3903" s="23" t="inlineStr">
        <is>
          <t>        </t>
        </is>
      </c>
      <c r="G3903" s="27" t="n">
        <v>1795</v>
      </c>
      <c r="H3903" s="23" t="n">
        <v>10</v>
      </c>
      <c r="I3903" s="23" t="n">
        <v>4</v>
      </c>
      <c r="J3903" s="23" t="inlineStr">
        <is>
          <t>978-5-227-10877-7</t>
        </is>
      </c>
      <c r="K3903" s="23" t="inlineStr">
        <is>
          <t>60x90 1/16</t>
        </is>
      </c>
      <c r="L3903" s="23" t="inlineStr">
        <is>
          <t>тв</t>
        </is>
      </c>
      <c r="M3903" s="23" t="n">
        <v>623</v>
      </c>
      <c r="N3903" s="23" t="n">
        <v>2025</v>
      </c>
      <c r="O3903" s="23" t="n">
        <v>728</v>
      </c>
      <c r="P3903" s="23" t="n"/>
      <c r="Q3903" s="23" t="n"/>
      <c r="R3903" s="25" t="inlineStr">
        <is>
          <t>Генерал­майор Отдельного корпуса жандармов Александр Иванович Спиридович был человеком, преданным императору Николаю II и самой идее монархической власти. С началом Первой мировой войны А.И. Спиридович сопровождал государя в поездках на фронт, обеспечивая его охрану, в Ставке и во фронтовых частях. В 1915 году за служебные успехи А.И. Спиридович был произведен в генерал-майоры. Летом 1916 года Николай II назначил Спиридовича градоначальником в Ялту. Война, по общему убеждению, шла к победному концу, и Ялту, любимый крымский уголок императора, следовало превратить в «русскую Ниццу», а для этого нужен был инициативный, честный человек, слуга закона. Генерал энергично взялся за дело, но… история приготовила для Российской империи иной сценарий… В феврале 1917 г., в разгар революционных событий, генерал Спиридович оказался в Петрограде, в деловой поездке, и мог наблюдать все происходящее своими глазами. Крушение Российской империи, свержение монарха и последующие события он воспринимал как большую трагедию._x000D__x000D_
Личные воспоминания А.И. Спиридович дополняет множеством официальных документов, что делает повествование особенно достоверным.</t>
        </is>
      </c>
      <c r="S3903" s="26">
        <f>HYPERLINK("http://www.cnpol.ru/covers/21858.jpg","фото на сайте")</f>
        <v/>
      </c>
    </row>
    <row r="3904" ht="50.1" customHeight="1" s="3">
      <c r="A3904" s="23" t="inlineStr">
        <is>
          <t>Н</t>
        </is>
      </c>
      <c r="B3904" s="24" t="inlineStr">
        <is>
          <t>21288</t>
        </is>
      </c>
      <c r="C3904" s="23" t="inlineStr">
        <is>
          <t>ОИ РОСС</t>
        </is>
      </c>
      <c r="D3904" s="23" t="inlineStr">
        <is>
          <t>Романова М.П.</t>
        </is>
      </c>
      <c r="E3904" s="23" t="inlineStr">
        <is>
          <t>Великая княжна в изгнании. Рассказ о пережитом кузины Николая II</t>
        </is>
      </c>
      <c r="F3904" s="23" t="inlineStr">
        <is>
          <t>        </t>
        </is>
      </c>
      <c r="G3904" s="23" t="n">
        <v>605</v>
      </c>
      <c r="H3904" s="23" t="n">
        <v>10</v>
      </c>
      <c r="I3904" s="23" t="n">
        <v>16</v>
      </c>
      <c r="J3904" s="23" t="inlineStr">
        <is>
          <t>978-5-9524-6206-9</t>
        </is>
      </c>
      <c r="K3904" s="23" t="inlineStr">
        <is>
          <t>84x108 1/32</t>
        </is>
      </c>
      <c r="L3904" s="23" t="inlineStr">
        <is>
          <t>тв</t>
        </is>
      </c>
      <c r="M3904" s="23" t="n">
        <v>255</v>
      </c>
      <c r="N3904" s="23" t="n">
        <v>2024</v>
      </c>
      <c r="O3904" s="23" t="n">
        <v>222</v>
      </c>
      <c r="P3904" s="23" t="n"/>
      <c r="Q3904" s="23" t="n"/>
      <c r="R3904" s="25" t="inlineStr">
        <is>
          <t>Великой княжне Марии Павловне и ее близким удалось спастись от гибели бегством из революционной России. Но жизнь на чужбине оказалась нелегкой, и княжна с благодарностью вспоминает тех немногих, кто помог ее семье, среди них короля и королеву Румынии. Княжна рассказывает о дружбе с королем Испании Альфонсо XIII, о встречах с королевой Англии, императрицей Марией Федоровной и королем Густавом V, о превратностях жизни в Лондоне и Париже. В поисках средств к существованию княжна пыталась зарабатывать шитьем, вязанием, вышивкой. Знакомство с Коко Шанель подтолкнуло Марию Павловну к организации своего дела — вышивальной мастерской. Наконец она действительно стала зарабатывать. Стремясь помогать бедствующим соотечественникам, княжна активно занималась благотворительностью. Ее рассказ — это взгляд на жизнь в эмиграции без прикрас, жалоб и ненависти.</t>
        </is>
      </c>
      <c r="S3904" s="26">
        <f>HYPERLINK("http://www.cnpol.ru/covers/21288.jpg","фото на сайте")</f>
        <v/>
      </c>
    </row>
    <row r="3905" ht="50.1" customHeight="1" s="3">
      <c r="A3905" s="23" t="n"/>
      <c r="B3905" s="24" t="inlineStr">
        <is>
          <t>20325</t>
        </is>
      </c>
      <c r="C3905" s="23" t="inlineStr">
        <is>
          <t>ОИ РОСС</t>
        </is>
      </c>
      <c r="D3905" s="23" t="inlineStr">
        <is>
          <t>Чернов В.М.</t>
        </is>
      </c>
      <c r="E3905" s="23" t="inlineStr">
        <is>
          <t>Великая русская революция. Воспоминания председателя Учредительного собрания. 1905—1920</t>
        </is>
      </c>
      <c r="F3905" s="23" t="inlineStr">
        <is>
          <t>        </t>
        </is>
      </c>
      <c r="G3905" s="27" t="n">
        <v>1225</v>
      </c>
      <c r="H3905" s="23" t="n">
        <v>10</v>
      </c>
      <c r="I3905" s="23" t="n">
        <v>10</v>
      </c>
      <c r="J3905" s="23" t="inlineStr">
        <is>
          <t>978-5-9524-5829-1</t>
        </is>
      </c>
      <c r="K3905" s="23" t="inlineStr">
        <is>
          <t>84x108 1/32</t>
        </is>
      </c>
      <c r="L3905" s="23" t="inlineStr">
        <is>
          <t>тв</t>
        </is>
      </c>
      <c r="M3905" s="23" t="n">
        <v>430</v>
      </c>
      <c r="N3905" s="23" t="n">
        <v>2022</v>
      </c>
      <c r="O3905" s="23" t="n">
        <v>396</v>
      </c>
      <c r="P3905" s="23" t="n"/>
      <c r="Q3905" s="23" t="n"/>
      <c r="R3905" s="25" t="inlineStr">
        <is>
          <t>Виктор Михайлович Чернов (1873—1952) — автор трудов по социологии и аграрному вопросу, один из основателей и главный теоретик партии эсеров, министр Временного правительства. В 1918 году избран председателем Учредительного собрания. В своей книге он вспоминает революционные дни потрясенной России, те события, в формировании которых он принимал непосредственное участие. Резко обвиняет царскую власть, а затем и «демократию» за болтливость и разрушительство, упрекает во властибоязни, а блок с кадетами, которые диктуют свои условия, называет нереальным и вредным. Высказывается об Октябрьской революции 1917 года, которую категорически не принял.</t>
        </is>
      </c>
      <c r="S3905" s="26">
        <f>HYPERLINK("http://www.cnpol.ru/covers/20325.jpg","фото на сайте")</f>
        <v/>
      </c>
    </row>
    <row r="3906" ht="50.1" customHeight="1" s="3">
      <c r="A3906" s="23" t="n"/>
      <c r="B3906" s="24" t="inlineStr">
        <is>
          <t>19032</t>
        </is>
      </c>
      <c r="C3906" s="23" t="inlineStr">
        <is>
          <t>ОИ РОСС</t>
        </is>
      </c>
      <c r="D3906" s="23" t="inlineStr">
        <is>
          <t>Первушина Е.В.</t>
        </is>
      </c>
      <c r="E3906" s="23" t="inlineStr">
        <is>
          <t>Великие государственные деятели Российской империи. Судьбы эпохи</t>
        </is>
      </c>
      <c r="F3906" s="23" t="inlineStr">
        <is>
          <t>        </t>
        </is>
      </c>
      <c r="G3906" s="23" t="n">
        <v>803</v>
      </c>
      <c r="H3906" s="23" t="n">
        <v>10</v>
      </c>
      <c r="I3906" s="23" t="n">
        <v>12</v>
      </c>
      <c r="J3906" s="23" t="inlineStr">
        <is>
          <t>978-5-227-08867-3</t>
        </is>
      </c>
      <c r="K3906" s="23" t="inlineStr">
        <is>
          <t>84x108 1/32</t>
        </is>
      </c>
      <c r="L3906" s="23" t="inlineStr">
        <is>
          <t>тв</t>
        </is>
      </c>
      <c r="M3906" s="23" t="n">
        <v>416</v>
      </c>
      <c r="N3906" s="23" t="n">
        <v>2020</v>
      </c>
      <c r="O3906" s="23" t="n">
        <v>420</v>
      </c>
      <c r="P3906" s="23" t="n"/>
      <c r="Q3906" s="23" t="n"/>
      <c r="R3906" s="25" t="inlineStr">
        <is>
          <t>Даже абсолютный монарх не может править страной единолично, у него всегда есть советники, министры, канцлеры. О самых ярких государственных деятелях, которые служили семье Романовых в течение трех веков, расскажет эта книга. Их судьбы были тесно связаны с судьбой Российской империи, некоторые из них даже отдали за нее жизнь. Каким они видели будущее России? Насколько совпадало их видение с видением государя, которому они служили, и как это сказалось на их судьбе и на судьбе правителей России? Какие их прогнозы сбылись? Какие их предостережения остаются актуальными и по сей день? Ответы на все эти вопросы вы узнаете из этой книги.</t>
        </is>
      </c>
      <c r="S3906" s="26">
        <f>HYPERLINK("http://www.cnpol.ru/covers/19032.jpg","фото на сайте")</f>
        <v/>
      </c>
    </row>
    <row r="3907" ht="50.1" customHeight="1" s="3">
      <c r="A3907" s="23" t="inlineStr">
        <is>
          <t>Д</t>
        </is>
      </c>
      <c r="B3907" s="24" t="inlineStr">
        <is>
          <t>22197</t>
        </is>
      </c>
      <c r="C3907" s="23" t="inlineStr">
        <is>
          <t>ОИ РОСС</t>
        </is>
      </c>
      <c r="D3907" s="23" t="inlineStr">
        <is>
          <t>Первушина Е.В.</t>
        </is>
      </c>
      <c r="E3907" s="23" t="inlineStr">
        <is>
          <t>Великие княгини и князья семьи Романовых. Судьбы, тайны, интриги, любовь и ненависть…</t>
        </is>
      </c>
      <c r="F3907" s="23" t="inlineStr">
        <is>
          <t>        </t>
        </is>
      </c>
      <c r="G3907" s="27" t="n">
        <v>1077</v>
      </c>
      <c r="H3907" s="23" t="n">
        <v>10</v>
      </c>
      <c r="I3907" s="23" t="n">
        <v>10</v>
      </c>
      <c r="J3907" s="23" t="inlineStr">
        <is>
          <t>978-5-227-11297-2</t>
        </is>
      </c>
      <c r="K3907" s="23" t="inlineStr">
        <is>
          <t>84x108 1/32</t>
        </is>
      </c>
      <c r="L3907" s="23" t="inlineStr">
        <is>
          <t>тв</t>
        </is>
      </c>
      <c r="M3907" s="23" t="n">
        <v>413</v>
      </c>
      <c r="N3907" s="23" t="n">
        <v>2026</v>
      </c>
      <c r="O3907" s="23" t="n">
        <v>441</v>
      </c>
      <c r="P3907" s="23" t="n"/>
      <c r="Q3907" s="23" t="n"/>
      <c r="R3907" s="25" t="inlineStr">
        <is>
          <t>Предлагаемая читателю книга, пожалуй, первая, в которой подробно в популярном изложении прослеживаются все родовые связи между членами императорской фамилии Романовых начиная от основателя династии до последнего российского императора. Рассматриваются все ветви разросшейся к началу ХХ века семьи, куда входили не только Великие князья — дети и внуки последовательно правивших императоров, но и князья императорской крови — как правило, дети детей Великих князей. Книга предназначена широкому кругу читателей, всем тем, кому интересна история России.</t>
        </is>
      </c>
      <c r="S3907" s="26">
        <f>HYPERLINK("http://www.cnpol.ru/covers/22197.jpg","фото на сайте")</f>
        <v/>
      </c>
    </row>
    <row r="3908" ht="50.1" customHeight="1" s="3">
      <c r="A3908" s="23" t="n"/>
      <c r="B3908" s="24" t="inlineStr">
        <is>
          <t>18936</t>
        </is>
      </c>
      <c r="C3908" s="23" t="inlineStr">
        <is>
          <t>ОИ РОСС</t>
        </is>
      </c>
      <c r="D3908" s="23" t="inlineStr">
        <is>
          <t>Экземплярский А.В</t>
        </is>
      </c>
      <c r="E3908" s="23" t="inlineStr">
        <is>
          <t>Великие князья Владимирские и Владимиро­Московские. Великие и удельные князья Северной Руси в татарский период с 1238 по 1505 г. Биографические очерки по первоисточникам и главнейшим пособиям.</t>
        </is>
      </c>
      <c r="F3908" s="23" t="inlineStr">
        <is>
          <t>        </t>
        </is>
      </c>
      <c r="G3908" s="27" t="n">
        <v>1165</v>
      </c>
      <c r="H3908" s="23" t="n">
        <v>10</v>
      </c>
      <c r="I3908" s="23" t="n">
        <v>10</v>
      </c>
      <c r="J3908" s="23" t="inlineStr">
        <is>
          <t>978-5-227-07879-7</t>
        </is>
      </c>
      <c r="K3908" s="23" t="inlineStr">
        <is>
          <t>60x90 1/16</t>
        </is>
      </c>
      <c r="L3908" s="23" t="inlineStr">
        <is>
          <t>тв</t>
        </is>
      </c>
      <c r="M3908" s="23" t="n">
        <v>480</v>
      </c>
      <c r="N3908" s="23" t="n">
        <v>2019</v>
      </c>
      <c r="O3908" s="23" t="n">
        <v>528</v>
      </c>
      <c r="P3908" s="23" t="n"/>
      <c r="Q3908" s="23" t="n"/>
      <c r="R3908" s="25" t="inlineStr">
        <is>
          <t>Предлагаемая читателю книга, пожалуй, первая, в которой подробно в популярном изложении прослеживаются все родовые связи между членами императорской фамилии Романовых начиная от основателя династии до последнего российского императора. Рассматриваются все ветви разросшейся к началу ХХ века семьи, куда входили не только Великие князья — дети и внуки последовательно правивших императоров, но и князья императорской крови — как правило, дети детей Великих князей. Книга предназначена широкому кругу читателей, всем тем, кому интересна история России.</t>
        </is>
      </c>
      <c r="S3908" s="26">
        <f>HYPERLINK("http://www.cnpol.ru/covers/18936.jpg","фото на сайте")</f>
        <v/>
      </c>
    </row>
    <row r="3909" ht="50.1" customHeight="1" s="3">
      <c r="A3909" s="23" t="inlineStr">
        <is>
          <t>Н</t>
        </is>
      </c>
      <c r="B3909" s="24" t="inlineStr">
        <is>
          <t>21798</t>
        </is>
      </c>
      <c r="C3909" s="23" t="inlineStr">
        <is>
          <t>ОИ РОСС</t>
        </is>
      </c>
      <c r="D3909" s="23" t="inlineStr">
        <is>
          <t>Данилов Ю.Н.</t>
        </is>
      </c>
      <c r="E3909" s="23" t="inlineStr">
        <is>
          <t>Великий князь Николай Николаевич. Жизнь на службе Отечеству. История главкома</t>
        </is>
      </c>
      <c r="F3909" s="23" t="inlineStr">
        <is>
          <t>        </t>
        </is>
      </c>
      <c r="G3909" s="27" t="n">
        <v>1110</v>
      </c>
      <c r="H3909" s="23" t="n">
        <v>10</v>
      </c>
      <c r="I3909" s="23" t="n">
        <v>5</v>
      </c>
      <c r="J3909" s="23" t="inlineStr">
        <is>
          <t>978-5-227-11141-8</t>
        </is>
      </c>
      <c r="K3909" s="23" t="inlineStr">
        <is>
          <t>84x108 1/32</t>
        </is>
      </c>
      <c r="L3909" s="23" t="inlineStr">
        <is>
          <t>тв</t>
        </is>
      </c>
      <c r="M3909" s="23" t="n">
        <v>383</v>
      </c>
      <c r="N3909" s="23" t="n">
        <v>2025</v>
      </c>
      <c r="O3909" s="23" t="n">
        <v>427</v>
      </c>
      <c r="P3909" s="23" t="n"/>
      <c r="Q3909" s="23" t="n"/>
      <c r="R3909" s="25" t="inlineStr">
        <is>
          <t>Юрий Никифорович Данилов — военный деятель, генерал от инфантерии, один из главных разработчиков стратегических операций русской армии в 1914—1915 гг. Автор военно-исторических трудов, посвященных участию русской армии в Первой мировой войне. Его книга посвящена великому князю Николаю Николаевичу Младшему, первому русскому Верховному главнокомандующему, который сыграл свою роль в событиях последнего царствования. Лицу, стоявшему во главе огромной пятимиллионной армии, человеку, имевшему по своей ответственности задачу защиты огромного государства. Через ряды этой армии, за время командования ею великим князем, прошли миллионы людей, собранных со всех концов России. Многие представители современности считали Николая Николаевича возможным вождем русской государственности, но он не стал таковым. Тем не менее вошел в историю нашего государства как видный деятель трагической эпохи._x000D_
В издании озвучены цели и причины войны, описаны события на полях сражений, отражена роль Верховного главнокомандующего, рассказано о событиях фронта и тыла и проанализированы взаимоотношения конфликтующих сторон.</t>
        </is>
      </c>
      <c r="S3909" s="26">
        <f>HYPERLINK("http://www.cnpol.ru/covers/21798.jpg","фото на сайте")</f>
        <v/>
      </c>
    </row>
    <row r="3910" ht="50.1" customHeight="1" s="3">
      <c r="A3910" s="23" t="n"/>
      <c r="B3910" s="24" t="inlineStr">
        <is>
          <t>18937</t>
        </is>
      </c>
      <c r="C3910" s="23" t="inlineStr">
        <is>
          <t>ОИ РОСС</t>
        </is>
      </c>
      <c r="D3910" s="23" t="inlineStr">
        <is>
          <t>Экземплярский А.В</t>
        </is>
      </c>
      <c r="E3910" s="23" t="inlineStr">
        <is>
          <t>Владетельные князья Владимирских и Московских уделов и великие и удельные владетельные князья Суздальско­Нижегородские, Тверские и Рязанские. Великие и удельные князья Северной Руси в татарский период с 1238 по 1505 г. Биографические очерки по первои</t>
        </is>
      </c>
      <c r="F3910" s="23" t="inlineStr">
        <is>
          <t>        </t>
        </is>
      </c>
      <c r="G3910" s="27" t="n">
        <v>1165</v>
      </c>
      <c r="H3910" s="23" t="n">
        <v>10</v>
      </c>
      <c r="I3910" s="23" t="n">
        <v>8</v>
      </c>
      <c r="J3910" s="23" t="inlineStr">
        <is>
          <t>978-5-227-07880-3</t>
        </is>
      </c>
      <c r="K3910" s="23" t="inlineStr">
        <is>
          <t>60x90 1/16</t>
        </is>
      </c>
      <c r="L3910" s="23" t="inlineStr">
        <is>
          <t>тв</t>
        </is>
      </c>
      <c r="M3910" s="23" t="n">
        <v>624</v>
      </c>
      <c r="N3910" s="23" t="n">
        <v>2019</v>
      </c>
      <c r="O3910" s="23" t="n">
        <v>648</v>
      </c>
      <c r="P3910" s="23" t="n"/>
      <c r="Q3910" s="23" t="n"/>
      <c r="R3910" s="25" t="inlineStr">
        <is>
          <t>Цель фундаментального исследования русского историка Андрея Васильевича Экземплярского, как определил ее сам автор, — «дать занимающимся русской историей справочную книгу для одного из самых важных и любопытных, но едва ли, можно сказать, вполне исследованных и обработанных периодов русской истории, периода татарского»._x000D_
Чтобы оценить грандиозность и значение труда Экземплярского, необходимо учесть, с какими трудностями пришлось столкнуться автору из­за относительной скудости и краткости летописных источников исследуемого периода. Для уяснения событий той эпохи автору было необходимо разобраться в непростых отношениях князей друг к другу, к их народу и, наконец, к татарам. Буквально на каждом шагу Экземплярскому приходилось встречаться с пробелами хронологии, генеалогии, географии и проводить вспомогательные исследования по этим направлениям.</t>
        </is>
      </c>
      <c r="S3910" s="26">
        <f>HYPERLINK("http://www.cnpol.ru/covers/18937.jpg","фото на сайте")</f>
        <v/>
      </c>
    </row>
    <row r="3911" ht="50.1" customHeight="1" s="3">
      <c r="A3911" s="23" t="inlineStr">
        <is>
          <t>Н</t>
        </is>
      </c>
      <c r="B3911" s="24" t="inlineStr">
        <is>
          <t>21547</t>
        </is>
      </c>
      <c r="C3911" s="23" t="inlineStr">
        <is>
          <t>ОИ РОСС</t>
        </is>
      </c>
      <c r="D3911" s="23" t="inlineStr">
        <is>
          <t>Гурко В.И.</t>
        </is>
      </c>
      <c r="E3911" s="23" t="inlineStr">
        <is>
          <t>Война и революция в России. Мемуары командующего Западным фронтом. 1914—1917</t>
        </is>
      </c>
      <c r="F3911" s="23" t="inlineStr">
        <is>
          <t>        </t>
        </is>
      </c>
      <c r="G3911" s="27" t="n">
        <v>1221</v>
      </c>
      <c r="H3911" s="23" t="n">
        <v>10</v>
      </c>
      <c r="I3911" s="23" t="n">
        <v>10</v>
      </c>
      <c r="J3911" s="23" t="inlineStr">
        <is>
          <t>978-5-227-10256-0</t>
        </is>
      </c>
      <c r="K3911" s="23" t="inlineStr">
        <is>
          <t>84x108 1/32</t>
        </is>
      </c>
      <c r="L3911" s="23" t="inlineStr">
        <is>
          <t>тв</t>
        </is>
      </c>
      <c r="M3911" s="23" t="n">
        <v>399</v>
      </c>
      <c r="N3911" s="23" t="n">
        <v>2025</v>
      </c>
      <c r="O3911" s="23" t="n">
        <v>610</v>
      </c>
      <c r="P3911" s="23" t="n"/>
      <c r="Q3911" s="23" t="n"/>
      <c r="R3911" s="25" t="inlineStr">
        <is>
          <t>В.И. Гурко — блестящий русский боевой офицер, генерал от кавалерии, сын прославленного генерал-фельдмаршала, героя войны 1812 года. В своих мемуарах Василий Иосифович правдиво и обстоятельно рассказывает о военных буднях русской армии, о действиях подчиненных ему частей, о тактике и стратегии воюющих сторон, а также о происходящих в России политических переменах.</t>
        </is>
      </c>
      <c r="S3911" s="26">
        <f>HYPERLINK("http://www.cnpol.ru/covers/21547.jpg","фото на сайте")</f>
        <v/>
      </c>
    </row>
    <row r="3912" ht="50.1" customHeight="1" s="3">
      <c r="A3912" s="23" t="inlineStr">
        <is>
          <t>Д</t>
        </is>
      </c>
      <c r="B3912" s="24" t="inlineStr">
        <is>
          <t>21820</t>
        </is>
      </c>
      <c r="C3912" s="23" t="inlineStr">
        <is>
          <t>ОИ РОСС</t>
        </is>
      </c>
      <c r="D3912" s="23" t="inlineStr">
        <is>
          <t>Вел. князь Александр Михайлович</t>
        </is>
      </c>
      <c r="E3912" s="23" t="inlineStr">
        <is>
          <t>Воспоминания</t>
        </is>
      </c>
      <c r="F3912" s="23" t="inlineStr">
        <is>
          <t>        </t>
        </is>
      </c>
      <c r="G3912" s="27" t="n">
        <v>1099</v>
      </c>
      <c r="H3912" s="23" t="n">
        <v>10</v>
      </c>
      <c r="I3912" s="23" t="n">
        <v>10</v>
      </c>
      <c r="J3912" s="23" t="inlineStr">
        <is>
          <t>978-5-227-11096-1</t>
        </is>
      </c>
      <c r="K3912" s="23" t="inlineStr">
        <is>
          <t>84x108 1/32</t>
        </is>
      </c>
      <c r="L3912" s="23" t="inlineStr">
        <is>
          <t>тв</t>
        </is>
      </c>
      <c r="M3912" s="23" t="n">
        <v>511</v>
      </c>
      <c r="N3912" s="23" t="n">
        <v>2025</v>
      </c>
      <c r="O3912" s="23" t="n">
        <v>635</v>
      </c>
      <c r="P3912" s="23" t="n"/>
      <c r="Q3912" s="23" t="n"/>
      <c r="R3912" s="25" t="inlineStr">
        <is>
          <t>Мемуары великого князя Александра Михайловича, внука Николая I и зятя Александра III, — не только описание его жизни с замечательно интересными подробностями дворцового этикета, особенностями воспитания и образования детей дома Романовых. Это взгляд умного, образованного, преданного своей стране человека на сложнейший период истории России. Русско-турецкая война и первый опыт узнавания реальной жизни за воротами дворца; очередное покушение на царя, его морганатический брак, затем гибель и восшествие на престол Александра III, мощью и умом которого великий князь искренне восхищается. Затем страшные события после воцарения Николая II: Ходынка, революция, война, снова революция, гибель царской семьи, бегство из страны семьи великого князя. Свой рассказ он ведет без лишнего пафоса и драматизма, трезво оценивая трагические события и фигуры их участников, пытаясь понять смысл происходящего и своего существования.</t>
        </is>
      </c>
      <c r="S3912" s="26">
        <f>HYPERLINK("http://www.cnpol.ru/covers/21820.jpg","фото на сайте")</f>
        <v/>
      </c>
    </row>
    <row r="3913" ht="50.1" customHeight="1" s="3">
      <c r="A3913" s="23" t="inlineStr">
        <is>
          <t>Д</t>
        </is>
      </c>
      <c r="B3913" s="24" t="inlineStr">
        <is>
          <t>22148</t>
        </is>
      </c>
      <c r="C3913" s="23" t="inlineStr">
        <is>
          <t>ОИ РОСС</t>
        </is>
      </c>
      <c r="D3913" s="23" t="inlineStr">
        <is>
          <t>Бажанов Б.Г.</t>
        </is>
      </c>
      <c r="E3913" s="23" t="inlineStr">
        <is>
          <t>Воспоминания бывшего секретаря Сталина. Как я стал антикоммунистом</t>
        </is>
      </c>
      <c r="F3913" s="23" t="inlineStr">
        <is>
          <t>        </t>
        </is>
      </c>
      <c r="G3913" s="27" t="n">
        <v>1009</v>
      </c>
      <c r="H3913" s="23" t="n">
        <v>10</v>
      </c>
      <c r="I3913" s="23" t="n">
        <v>10</v>
      </c>
      <c r="J3913" s="23" t="inlineStr">
        <is>
          <t>978-5-9524-6497-1</t>
        </is>
      </c>
      <c r="K3913" s="23" t="inlineStr">
        <is>
          <t>84x108 1/32</t>
        </is>
      </c>
      <c r="L3913" s="23" t="inlineStr">
        <is>
          <t>тв</t>
        </is>
      </c>
      <c r="M3913" s="23" t="n">
        <v>318</v>
      </c>
      <c r="N3913" s="23" t="n">
        <v>2026</v>
      </c>
      <c r="O3913" s="23" t="n">
        <v>371</v>
      </c>
      <c r="P3913" s="23" t="n"/>
      <c r="Q3913" s="23" t="n"/>
      <c r="R3913" s="25" t="inlineStr">
        <is>
          <t>В книге подробно изложены закулисные политические интриги в Кремле начиная с изгнания Троцкого, а также последующие действия Сталина по устранению с политической сцены его соратников и соперников — Каменева, Зиновьева, Рыкова, Фрунзе, Бухарина… Так как автор пять лет являлся личным секретарем Сталина, его рассказ является ценным источником сведений от очевидца событий, наблюдавшего работу государственного аппарата изнутри._x000D_
Бажанов глубоко разочаровался в коммунизме и, став перебежчиком, покинул Россию. Читая его воспоминания, понимаешь, почему так произошло и насколько сильно реальная картина событий того времени отличается от той, что преподносят массам.</t>
        </is>
      </c>
      <c r="S3913" s="26">
        <f>HYPERLINK("http://www.cnpol.ru/covers/22148.jpg","фото на сайте")</f>
        <v/>
      </c>
    </row>
    <row r="3914" ht="50.1" customHeight="1" s="3">
      <c r="A3914" s="23" t="inlineStr">
        <is>
          <t>Д</t>
        </is>
      </c>
      <c r="B3914" s="24" t="inlineStr">
        <is>
          <t>22149</t>
        </is>
      </c>
      <c r="C3914" s="23" t="inlineStr">
        <is>
          <t>ОИ РОСС</t>
        </is>
      </c>
      <c r="D3914" s="23" t="inlineStr">
        <is>
          <t>Романова М.П.</t>
        </is>
      </c>
      <c r="E3914" s="23" t="inlineStr">
        <is>
          <t>Воспоминания великой княжны. Страницы жизни кузины Николая II. 1890—1918</t>
        </is>
      </c>
      <c r="F3914" s="23" t="inlineStr">
        <is>
          <t>        </t>
        </is>
      </c>
      <c r="G3914" s="27" t="n">
        <v>1157</v>
      </c>
      <c r="H3914" s="23" t="n">
        <v>10</v>
      </c>
      <c r="I3914" s="23" t="n">
        <v>10</v>
      </c>
      <c r="J3914" s="23" t="inlineStr">
        <is>
          <t>978-5-9524-6692-0</t>
        </is>
      </c>
      <c r="K3914" s="23" t="inlineStr">
        <is>
          <t>84x108 1/32</t>
        </is>
      </c>
      <c r="L3914" s="23" t="inlineStr">
        <is>
          <t>тв</t>
        </is>
      </c>
      <c r="M3914" s="23" t="n">
        <v>383</v>
      </c>
      <c r="N3914" s="23" t="n">
        <v>2026</v>
      </c>
      <c r="O3914" s="23" t="n">
        <v>445</v>
      </c>
      <c r="P3914" s="23" t="n"/>
      <c r="Q3914" s="23" t="n"/>
      <c r="R3914" s="25" t="inlineStr">
        <is>
          <t>Великая княгиня Мария Павловна Романова, внучка Александра II и дочь младшего брата Александра III — великого князя Павла Александровича, рассказывает о детстве в Ильинском у дяди, великого князя Сергея, церемонном воспитании, которое она получала, своем недолгом замужестве и жизни при шведском дворе, о возвращении в Россию, интригах Распутина, последних драматических днях династии Романовых и бегстве из России.</t>
        </is>
      </c>
      <c r="S3914" s="26">
        <f>HYPERLINK("http://www.cnpol.ru/covers/22149.jpg","фото на сайте")</f>
        <v/>
      </c>
    </row>
    <row r="3915" ht="50.1" customHeight="1" s="3">
      <c r="A3915" s="23" t="n"/>
      <c r="B3915" s="24" t="inlineStr">
        <is>
          <t>20780</t>
        </is>
      </c>
      <c r="C3915" s="23" t="inlineStr">
        <is>
          <t>ОИ РОСС</t>
        </is>
      </c>
      <c r="D3915" s="23" t="inlineStr">
        <is>
          <t>Сухомлинов В.А.</t>
        </is>
      </c>
      <c r="E3915" s="23" t="inlineStr">
        <is>
          <t>Воспоминания военного министра</t>
        </is>
      </c>
      <c r="F3915" s="23" t="inlineStr">
        <is>
          <t>        </t>
        </is>
      </c>
      <c r="G3915" s="27" t="n">
        <v>1036</v>
      </c>
      <c r="H3915" s="23" t="n">
        <v>10</v>
      </c>
      <c r="I3915" s="23" t="n">
        <v>10</v>
      </c>
      <c r="J3915" s="23" t="inlineStr">
        <is>
          <t>978-5-227-10421-2</t>
        </is>
      </c>
      <c r="K3915" s="23" t="inlineStr">
        <is>
          <t>84x108 1/32</t>
        </is>
      </c>
      <c r="L3915" s="23" t="inlineStr">
        <is>
          <t>тв</t>
        </is>
      </c>
      <c r="M3915" s="23" t="n">
        <v>383</v>
      </c>
      <c r="N3915" s="23" t="n">
        <v>2023</v>
      </c>
      <c r="O3915" s="23" t="n">
        <v>442</v>
      </c>
      <c r="P3915" s="23" t="n"/>
      <c r="Q3915" s="23" t="n"/>
      <c r="R3915" s="25" t="inlineStr">
        <is>
          <t>Генерал В.А. Сухомлинов – одна из самых противоречивых фигур в истории России. Боевой офицер, участник Русско-турецкой войны, ближайший помощник знаменитого военного теоретика генерала М.И. Драгомирова, Сухомлинов сделал блестящую военную карьеру. В начале ХХ века В.А. Сухомлинов – командующий Киевским военным округом, в 1908 году он возглавляет Генштаб, а вскоре, в 1909 году, занимает пост военного министра._x000D_
Но при этом трудно было не заметить, что Сухомлинова отличало определенное легкомыслие. Генерал Брусилов так отзывался о Сухомлинове: «…считаю его человеком, несомненно, умным, быстро соображающим и распорядительным, но ума поверхностного и легкомысленного. Главный же его недостаток состоял в том, что он был, что называется, очковтиратель и, не углубляясь в дело, довольствовался поверхностным успехом своих действий и распоряжений». Эти черты военного министра привели к печальному положению дел в русской армии в период Первой мировой войны._x000D_
Сухомлинов был в 1915 году снят с должности и оказался под следствием… Правда, тянулось оно долго, приговор генералу вынесли уже при Временном правительстве, а под амнистию осужденный Сухомлинов попал при большевиках, весной 1918 г. Как ни странно, Октябрьская революция помогла ему не только сохранить жизнь, но и выйти на свободу и отправиться в эмиграцию, хотя большинство его сослуживцев сложили головы в огне революции и Гражданской войны. Впрочем, бывший военный министр Сухомлинов не признавал себя виновным никогда и ни в чем и утверждал, что был лишь оклеветан врагами…</t>
        </is>
      </c>
      <c r="S3915" s="26">
        <f>HYPERLINK("http://www.cnpol.ru/covers/20780.jpg","фото на сайте")</f>
        <v/>
      </c>
    </row>
    <row r="3916" ht="50.1" customHeight="1" s="3">
      <c r="A3916" s="23" t="n"/>
      <c r="B3916" s="24" t="inlineStr">
        <is>
          <t>20962</t>
        </is>
      </c>
      <c r="C3916" s="23" t="inlineStr">
        <is>
          <t>ОИ РОСС</t>
        </is>
      </c>
      <c r="D3916" s="23" t="inlineStr">
        <is>
          <t>Станкевич В.Б.</t>
        </is>
      </c>
      <c r="E3916" s="23" t="inlineStr">
        <is>
          <t>Воспоминания комиссара Временного правительства. 1914—1919</t>
        </is>
      </c>
      <c r="F3916" s="23" t="inlineStr">
        <is>
          <t>        </t>
        </is>
      </c>
      <c r="G3916" s="23" t="n">
        <v>849</v>
      </c>
      <c r="H3916" s="23" t="n">
        <v>10</v>
      </c>
      <c r="I3916" s="23" t="n">
        <v>14</v>
      </c>
      <c r="J3916" s="23" t="inlineStr">
        <is>
          <t>978-5-227-10424-3</t>
        </is>
      </c>
      <c r="K3916" s="23" t="inlineStr">
        <is>
          <t>84x108 1/32</t>
        </is>
      </c>
      <c r="L3916" s="23" t="inlineStr">
        <is>
          <t>тв</t>
        </is>
      </c>
      <c r="M3916" s="23" t="n">
        <v>255</v>
      </c>
      <c r="N3916" s="23" t="n">
        <v>2024</v>
      </c>
      <c r="O3916" s="23" t="n">
        <v>326</v>
      </c>
      <c r="P3916" s="23" t="n"/>
      <c r="Q3916" s="23" t="n"/>
      <c r="R3916" s="25" t="inlineStr">
        <is>
          <t>Владимир Бенедиктович Станкевич — профессиональный юрист, политик, близкий к кругу А.Ф. Керенского, в годы Первой мировой войны оказался в армии с невысоким чином прапорщика. Однако чин не помешал ему в дни Февральской революции занять высокое положение – сначала он был избран в Исполком Совета рабочих и солдатских депутатов, а с получением Керенским портфеля военного министра во Временном правительстве получил назначение комиссаром Северного фронта, а позже и Ставки Верховного главнокомандующего._x000D__x000D_
Рассказ человека, прикоснувшегося к великим историческим событиям — революциям, войнам и пр. — и лично знавшего тех, чьи имена остались на страницах учебников, по-новому раскрывает картины минувшего.</t>
        </is>
      </c>
      <c r="S3916" s="26">
        <f>HYPERLINK("http://www.cnpol.ru/covers/20962.jpg","фото на сайте")</f>
        <v/>
      </c>
    </row>
    <row r="3917" ht="50.1" customHeight="1" s="3">
      <c r="A3917" s="23" t="n"/>
      <c r="B3917" s="24" t="inlineStr">
        <is>
          <t>20750</t>
        </is>
      </c>
      <c r="C3917" s="23" t="inlineStr">
        <is>
          <t>ОИ РОСС</t>
        </is>
      </c>
      <c r="D3917" s="23" t="inlineStr">
        <is>
          <t>Колосов Н.А.</t>
        </is>
      </c>
      <c r="E3917" s="23" t="inlineStr">
        <is>
          <t>Воспоминания комиссара-танкиста</t>
        </is>
      </c>
      <c r="F3917" s="23" t="inlineStr">
        <is>
          <t>        </t>
        </is>
      </c>
      <c r="G3917" s="23" t="n">
        <v>728</v>
      </c>
      <c r="H3917" s="23" t="n">
        <v>10</v>
      </c>
      <c r="I3917" s="23" t="n">
        <v>6</v>
      </c>
      <c r="J3917" s="23" t="inlineStr">
        <is>
          <t>978-5-227-10455-7</t>
        </is>
      </c>
      <c r="K3917" s="23" t="inlineStr">
        <is>
          <t>84x108 1/32</t>
        </is>
      </c>
      <c r="L3917" s="23" t="inlineStr">
        <is>
          <t>тв</t>
        </is>
      </c>
      <c r="M3917" s="23" t="n">
        <v>287</v>
      </c>
      <c r="N3917" s="23" t="n">
        <v>2023</v>
      </c>
      <c r="O3917" s="23" t="n">
        <v>427</v>
      </c>
      <c r="P3917" s="23" t="n"/>
      <c r="Q3917" s="23" t="n"/>
      <c r="R3917" s="25" t="inlineStr">
        <is>
          <t>Биография генерал-майора Н.А. Колосова (1909—1993) тесно связана с вооруженными силами нашей страны. В 1930-х годах он стоял у истоков формирования танковых войск РККА, а с началом Великой Отечественной войны на самом высоком уровне решал вопросы их реформирования и бое­вой подготовки в связи с новыми задачами. В составе действующей армии участвовал в боях за освобождение Польши и Восточной Пруссии. После войны Н.А. Колосов на политической работе в Советской армии, а позднее стал первым директором музея-панорамы «Бородинская битва». Полный ярких событий и интересных встреч жизненный путь автора и его мастерство рассказчика позволили создать интересную информативную книгу о Советской стране в сложные периоды ее истории.</t>
        </is>
      </c>
      <c r="S3917" s="26">
        <f>HYPERLINK("http://www.cnpol.ru/covers/20750.jpg","фото на сайте")</f>
        <v/>
      </c>
    </row>
    <row r="3918" ht="50.1" customHeight="1" s="3">
      <c r="A3918" s="23" t="n"/>
      <c r="B3918" s="24" t="inlineStr">
        <is>
          <t>19988</t>
        </is>
      </c>
      <c r="C3918" s="23" t="inlineStr">
        <is>
          <t>ОИ РОСС</t>
        </is>
      </c>
      <c r="D3918" s="23" t="inlineStr">
        <is>
          <t>Геруа Б.В.</t>
        </is>
      </c>
      <c r="E3918" s="23" t="inlineStr">
        <is>
          <t>Воспоминания о моей жизни. Двадцать лет в Российской Императорской армии. 1895–1917 гг.</t>
        </is>
      </c>
      <c r="F3918" s="23" t="inlineStr">
        <is>
          <t>        </t>
        </is>
      </c>
      <c r="G3918" s="27" t="n">
        <v>1291</v>
      </c>
      <c r="H3918" s="23" t="n">
        <v>10</v>
      </c>
      <c r="I3918" s="23" t="n">
        <v>10</v>
      </c>
      <c r="J3918" s="23" t="inlineStr">
        <is>
          <t>978-5-227-09756-9</t>
        </is>
      </c>
      <c r="K3918" s="23" t="inlineStr">
        <is>
          <t>84x108 1/32</t>
        </is>
      </c>
      <c r="L3918" s="23" t="inlineStr">
        <is>
          <t>тв</t>
        </is>
      </c>
      <c r="M3918" s="23" t="n">
        <v>479</v>
      </c>
      <c r="N3918" s="23" t="n">
        <v>2022</v>
      </c>
      <c r="O3918" s="23" t="n">
        <v>470</v>
      </c>
      <c r="P3918" s="23" t="n"/>
      <c r="Q3918" s="23" t="n"/>
      <c r="R3918" s="25" t="inlineStr">
        <is>
          <t>Мемуары генерал­майора Б.В. Геруа позволяют проследить жизненный и боевой путь русского офицера, георгиевского кавалера и блестяще образованного светского человека. Первый том посвящен периоду с 1886 по 1914 гг. — учебе в кадетском и пажеском корпусах, службе при дворе, обучению в Николаевской академии Генерального штаба и участию в Русско­японской войне. Во второй том вошли воспоминания о службе в штабе Юго­Западного фронта, командовании лейб­гвардии Измайловским полком, службе в штабе Особой армии. Одинаково увлекательно Геруа рассказывает о великосветских балах, сражениях на фронтах Первой мировой войны и драматических событиях революционного лихолетья, свидетелем и непосредственным участником которых он был. В полном объеме воспоминания публикуются впервые.</t>
        </is>
      </c>
      <c r="S3918" s="26">
        <f>HYPERLINK("http://www.cnpol.ru/covers/19988.jpg","фото на сайте")</f>
        <v/>
      </c>
    </row>
    <row r="3919" ht="50.1" customHeight="1" s="3">
      <c r="A3919" s="23" t="inlineStr">
        <is>
          <t>Д</t>
        </is>
      </c>
      <c r="B3919" s="24" t="inlineStr">
        <is>
          <t>22164</t>
        </is>
      </c>
      <c r="C3919" s="23" t="inlineStr">
        <is>
          <t>ОИ РОСС</t>
        </is>
      </c>
      <c r="D3919" s="23" t="inlineStr">
        <is>
          <t>Палей О.А.</t>
        </is>
      </c>
      <c r="E3919" s="23" t="inlineStr">
        <is>
          <t>Воспоминания о России. Страницы жизни морганатической супруги Павла Александровича. 1916—1919</t>
        </is>
      </c>
      <c r="F3919" s="23" t="inlineStr">
        <is>
          <t>        </t>
        </is>
      </c>
      <c r="G3919" s="23" t="n">
        <v>704</v>
      </c>
      <c r="H3919" s="23" t="n">
        <v>10</v>
      </c>
      <c r="I3919" s="23" t="n">
        <v>18</v>
      </c>
      <c r="J3919" s="23" t="inlineStr">
        <is>
          <t>978-5-227-11249-1</t>
        </is>
      </c>
      <c r="K3919" s="23" t="inlineStr">
        <is>
          <t>84x108 1/32</t>
        </is>
      </c>
      <c r="L3919" s="23" t="inlineStr">
        <is>
          <t>тв</t>
        </is>
      </c>
      <c r="M3919" s="23" t="n">
        <v>223</v>
      </c>
      <c r="N3919" s="23" t="n">
        <v>2026</v>
      </c>
      <c r="O3919" s="23" t="n">
        <v>300</v>
      </c>
      <c r="P3919" s="23" t="n"/>
      <c r="Q3919" s="23" t="n"/>
      <c r="R3919" s="25" t="inlineStr">
        <is>
          <t>Княгиня Ольга Палей, морганатическая супруга великого князя Павла Александровича, сына Александра III, в своих воспоминаниях описывает страшные события, пережитые ее семьей после совершившейся революции. В 1918 году большевики арестовали великого князя, а затем и его сына. Им была уготована тяжелая участь. Ольга отчаянно билась за своего мужа и сына, надеясь их спасти, безрезультатно обивала пороги начальников. Когда в России было потеряно все, княгиня бежала за границу и воссоединилась со своими дочерьми. В эмиграции Палей написала мемуары, полные боли и ненависти к новой власти в России.</t>
        </is>
      </c>
      <c r="S3919" s="26">
        <f>HYPERLINK("http://www.cnpol.ru/covers/22164.jpg","фото на сайте")</f>
        <v/>
      </c>
    </row>
    <row r="3920" ht="50.1" customHeight="1" s="3">
      <c r="A3920" s="23" t="inlineStr">
        <is>
          <t>Д</t>
        </is>
      </c>
      <c r="B3920" s="24" t="inlineStr">
        <is>
          <t>22101</t>
        </is>
      </c>
      <c r="C3920" s="23" t="inlineStr">
        <is>
          <t>ОИ РОСС</t>
        </is>
      </c>
      <c r="D3920" s="23" t="inlineStr">
        <is>
          <t>Мельник­Боткина Т.Е.</t>
        </is>
      </c>
      <c r="E3920" s="23" t="inlineStr">
        <is>
          <t>Воспоминания о царской семье и ее жизни до и после революции: С дополнением рассказа императорского камердинера А.А. Волкова «Около царской семьи»</t>
        </is>
      </c>
      <c r="F3920" s="23" t="inlineStr">
        <is>
          <t>        </t>
        </is>
      </c>
      <c r="G3920" s="23" t="n">
        <v>935</v>
      </c>
      <c r="H3920" s="23" t="n">
        <v>10</v>
      </c>
      <c r="I3920" s="23" t="n">
        <v>10</v>
      </c>
      <c r="J3920" s="23" t="inlineStr">
        <is>
          <t>978-5-227-10927-9</t>
        </is>
      </c>
      <c r="K3920" s="23" t="inlineStr">
        <is>
          <t>84x108 1/32</t>
        </is>
      </c>
      <c r="L3920" s="23" t="inlineStr">
        <is>
          <t>тв</t>
        </is>
      </c>
      <c r="M3920" s="23" t="n">
        <v>255</v>
      </c>
      <c r="N3920" s="23" t="n">
        <v>2026</v>
      </c>
      <c r="O3920" s="23" t="n">
        <v>333</v>
      </c>
      <c r="P3920" s="23" t="n"/>
      <c r="Q3920" s="23" t="n"/>
      <c r="R3920" s="25" t="inlineStr">
        <is>
          <t>Татьяна Евгеньевна Мельник-Боткина, дочь лейб-медика Евгения Сергеевича Боткина, расстрелянного вместе с царской семьей в 1918 году, рассказывает о жизни последнего русского императора Николая Александровича, его родных и близких и о событиях, приведших к трагедии в Екатеринбурге. Когда в 1917 году свергнутого императора с женой и детьми отправляли в ссылку, врач царской семьи Е.С. Боткин добровольно поехал вместе с ними. А девятнадцатилетняя Татьяна Боткина вместе с младшим братом решила самостоятельно добраться до Тобольска, чтобы быть в нелегкий момент с отцом, помочь ему и поддержать... Тобольские страницы воспоминаний Т.Е. Мельник-Боткиной особенно интересны. Для Татьяны Евгеньевны гибель отца, последовавшего вместе с императором и его близкими в Екатеринбург, стала страшным ударом. Сама она сразу выехать вслед за отцом не смогла, а потом Екатеринбург и Тобольск оказались отрезанными друг от друга фронтами Гражданской войны… Осенью 1918 года Татьяна Боткина вышла замуж за подпоручика Константина Мельника, с которым познакомилась еще в царскосельском лазарете, где он лечился от фронтовых ран. Мельник был из числа тех офицеров, кто прибыл в Тобольск в надежде помочь царской семье. Вместе с ним Татьяна и Глеб Боткины перебрались на территорию, занятую белыми, в 1919 году оказались во Владивостоке, а потом — в вынужденной эмиграции._x000D_
Воспоминания Т.Е. Мельник-Боткиной дополнены рассказом камердинера императрицы А.А. Волкова, сопровождавшего царскую семью в ссылку и чудом избежавшего смерти. История Волкова дополняет и по-новому окрашивает мемуары Татьяны Евгеньевны о страшном периоде нашей и</t>
        </is>
      </c>
      <c r="S3920" s="26">
        <f>HYPERLINK("http://www.cnpol.ru/covers/22101.jpg","фото на сайте")</f>
        <v/>
      </c>
    </row>
    <row r="3921" ht="50.1" customHeight="1" s="3">
      <c r="A3921" s="23" t="n"/>
      <c r="B3921" s="24" t="inlineStr">
        <is>
          <t>20319</t>
        </is>
      </c>
      <c r="C3921" s="23" t="inlineStr">
        <is>
          <t>ОИ РОСС</t>
        </is>
      </c>
      <c r="D3921" s="23" t="inlineStr">
        <is>
          <t>Врангель П.Н.</t>
        </is>
      </c>
      <c r="E3921" s="23" t="inlineStr">
        <is>
          <t>Воспоминания. Боевой путь русского генерала</t>
        </is>
      </c>
      <c r="F3921" s="23" t="inlineStr">
        <is>
          <t>        </t>
        </is>
      </c>
      <c r="G3921" s="27" t="n">
        <v>2111</v>
      </c>
      <c r="H3921" s="23" t="n">
        <v>10</v>
      </c>
      <c r="I3921" s="23" t="n">
        <v>6</v>
      </c>
      <c r="J3921" s="23" t="inlineStr">
        <is>
          <t>978-5-227-10011-5</t>
        </is>
      </c>
      <c r="K3921" s="23" t="inlineStr">
        <is>
          <t>60x90 1/16</t>
        </is>
      </c>
      <c r="L3921" s="23" t="inlineStr">
        <is>
          <t>тв</t>
        </is>
      </c>
      <c r="M3921" s="23" t="n">
        <v>769</v>
      </c>
      <c r="N3921" s="23" t="n">
        <v>2022</v>
      </c>
      <c r="O3921" s="23" t="n">
        <v>870</v>
      </c>
      <c r="P3921" s="23" t="n"/>
      <c r="Q3921" s="23" t="n"/>
      <c r="R3921" s="25" t="inlineStr">
        <is>
          <t>Вниманию читателей предлагаются уникальные воспоминания генерала Петра Николаевича Врангеля, охватывающие большую часть его военной биографии, начало которой было положено на фронтах Русско-японской войны. Наиболее подробно генерал, отличившийся также в баталиях Первой мировой войны, рассказывает о периоде с кануна революции до участия в Гражданской войне в России, на последнем этапе которой он стал главнокомандующим белой Русской армией.</t>
        </is>
      </c>
      <c r="S3921" s="26">
        <f>HYPERLINK("http://www.cnpol.ru/covers/20319.jpg","фото на сайте")</f>
        <v/>
      </c>
    </row>
    <row r="3922" ht="50.1" customHeight="1" s="3">
      <c r="A3922" s="23" t="inlineStr">
        <is>
          <t>Д</t>
        </is>
      </c>
      <c r="B3922" s="24" t="inlineStr">
        <is>
          <t>22240</t>
        </is>
      </c>
      <c r="C3922" s="23" t="inlineStr">
        <is>
          <t>ОИ РОСС</t>
        </is>
      </c>
      <c r="D3922" s="23" t="inlineStr">
        <is>
          <t>Юсупов Ф.Ф.</t>
        </is>
      </c>
      <c r="E3922" s="23" t="inlineStr">
        <is>
          <t>Воспоминания. До изгнания/в изгнании</t>
        </is>
      </c>
      <c r="F3922" s="23" t="inlineStr">
        <is>
          <t>        </t>
        </is>
      </c>
      <c r="G3922" s="27" t="n">
        <v>1008</v>
      </c>
      <c r="H3922" s="23" t="n">
        <v>10</v>
      </c>
      <c r="I3922" s="23" t="n">
        <v>10</v>
      </c>
      <c r="J3922" s="23" t="inlineStr">
        <is>
          <t>978-5-227-11130-2</t>
        </is>
      </c>
      <c r="K3922" s="23" t="inlineStr">
        <is>
          <t>84x108 1/32</t>
        </is>
      </c>
      <c r="L3922" s="23" t="inlineStr">
        <is>
          <t>тв</t>
        </is>
      </c>
      <c r="M3922" s="23" t="n">
        <v>511</v>
      </c>
      <c r="N3922" s="23" t="n">
        <v>2025</v>
      </c>
      <c r="O3922" s="23" t="n">
        <v>545</v>
      </c>
      <c r="P3922" s="23" t="n"/>
      <c r="Q3922" s="23" t="n"/>
      <c r="R3922" s="25" t="inlineStr">
        <is>
          <t>Князь Феликс Феликсович Юсупов — аристократ, последний из богатейшего рода Юсуповых, красивый, изящный, образованный человек и мастер эпатажа, участник убийства Распутина, рассказывает историю своего рода и собственной жизни. С нежностью и любовью он пишет о матери, знаменитой красавице княгине Зинаиде, и с уважением, но сдержанно об отце — гвардейском офицере, о дружбе с братом и его ранней гибели. Увлекательно и остроумно автор описывает бурно проведенную юность, жизнь семьи в Архангельском и в столичных особняках, подготовку к праздникам, убранство поместий, роскошь, которая окружала его с рождения. А затем революция, утрата всего достояния, бегство за границу и жизнь в изгнании со всеми ее лишениями и тоской по Родине._x000D_
Впервые полное издание на русском языке.</t>
        </is>
      </c>
      <c r="S3922" s="26">
        <f>HYPERLINK("http://www.cnpol.ru/covers/22240.jpg","фото на сайте")</f>
        <v/>
      </c>
    </row>
    <row r="3923" ht="50.1" customHeight="1" s="3">
      <c r="A3923" s="23" t="inlineStr">
        <is>
          <t>Н</t>
        </is>
      </c>
      <c r="B3923" s="24" t="inlineStr">
        <is>
          <t>22283</t>
        </is>
      </c>
      <c r="C3923" s="23" t="inlineStr">
        <is>
          <t>ОИ РОСС</t>
        </is>
      </c>
      <c r="D3923" s="23" t="inlineStr">
        <is>
          <t>Щукин П.И.</t>
        </is>
      </c>
      <c r="E3923" s="23" t="inlineStr">
        <is>
          <t>Воспоминания. Из жизни богатейшего просвещенного российского купечества XIX—XX веков</t>
        </is>
      </c>
      <c r="F3923" s="23" t="inlineStr">
        <is>
          <t>        </t>
        </is>
      </c>
      <c r="G3923" s="23" t="n">
        <v>936</v>
      </c>
      <c r="H3923" s="23" t="n">
        <v>10</v>
      </c>
      <c r="I3923" s="23" t="n">
        <v>8</v>
      </c>
      <c r="J3923" s="23" t="inlineStr">
        <is>
          <t>978-5-227-11377-1</t>
        </is>
      </c>
      <c r="K3923" s="23" t="inlineStr">
        <is>
          <t>84x108 1/32</t>
        </is>
      </c>
      <c r="L3923" s="23" t="inlineStr">
        <is>
          <t>тв</t>
        </is>
      </c>
      <c r="M3923" s="23" t="n">
        <v>287</v>
      </c>
      <c r="N3923" s="23" t="n">
        <v>2026</v>
      </c>
      <c r="O3923" s="23" t="n">
        <v>342</v>
      </c>
      <c r="P3923" s="23" t="n"/>
      <c r="Q3923" s="23" t="n"/>
      <c r="R3923" s="25" t="inlineStr">
        <is>
          <t>Выдающийся русский коллекционер Петр Иванович Щукин (1853—1912) в своей книге делится воспоминаниями о детстве в сердце старой Москвы, учебе в петербургском пансионе и в Берлинском торговом училище, а также о профессиональном становлении — освоении производства шелковых материй на мануфактурах Лиона. Автор рассказывает о том, как его интерес к старинным тканям и восточным диковинкам перерос в дело всей жизни — коллекционирование предметов русской старины и сохранение бесценного наследия отечественной материальной культуры. Автор рассказывает о деловых поездках по Европе, странам Африки, великоросским губерниям и Русскому Северу, в ходе которых пополнялась коллекция, впоследствии переданная в собрание Исторического музея. Воспоминания о путешествиях изобилуют яркими наблюдениями о быте, особенностях транспортного сообщения, устройстве постоялых дворов и кухне народов России и дальних стран. Мемуары П.И. Щукина являются важным свидетельством о развитии музейного дела в России и вкладе просвещенного купечества в сохранение национального культурного достояния.</t>
        </is>
      </c>
      <c r="S3923" s="26">
        <f>HYPERLINK("http://www.cnpol.ru/covers/22283.jpg","фото на сайте")</f>
        <v/>
      </c>
    </row>
    <row r="3924" ht="50.1" customHeight="1" s="3">
      <c r="A3924" s="23" t="n"/>
      <c r="B3924" s="24" t="inlineStr">
        <is>
          <t>20326</t>
        </is>
      </c>
      <c r="C3924" s="23" t="inlineStr">
        <is>
          <t>ОИ РОСС</t>
        </is>
      </c>
      <c r="D3924" s="23" t="inlineStr">
        <is>
          <t>Маклаков В. А.</t>
        </is>
      </c>
      <c r="E3924" s="23" t="inlineStr">
        <is>
          <t>Воспоминания. Лидер московских кадетов о крахе самодержавия в России. 1880—1917</t>
        </is>
      </c>
      <c r="F3924" s="23" t="inlineStr">
        <is>
          <t>        </t>
        </is>
      </c>
      <c r="G3924" s="27" t="n">
        <v>1057</v>
      </c>
      <c r="H3924" s="23" t="n">
        <v>10</v>
      </c>
      <c r="I3924" s="23" t="n">
        <v>12</v>
      </c>
      <c r="J3924" s="23" t="inlineStr">
        <is>
          <t>978-5-9524-5822-2</t>
        </is>
      </c>
      <c r="K3924" s="23" t="inlineStr">
        <is>
          <t>84x108 1/32</t>
        </is>
      </c>
      <c r="L3924" s="23" t="inlineStr">
        <is>
          <t>тв</t>
        </is>
      </c>
      <c r="M3924" s="23" t="n">
        <v>351</v>
      </c>
      <c r="N3924" s="23" t="n">
        <v>2022</v>
      </c>
      <c r="O3924" s="23" t="n">
        <v>310</v>
      </c>
      <c r="P3924" s="23" t="n"/>
      <c r="Q3924" s="23" t="n"/>
      <c r="R3924" s="25" t="inlineStr">
        <is>
          <t>Василий Алексеевич Маклаков — член ЦК партии кадетов, депутат Государственной думы 2-го, 3-го и 4-го созывов, авторитетный российский политик, один из виднейших русских адвокатов. В этой книге он рассказывает о тех демократических и правовых основах, которые определяли когда-то величие и мощь Российской империи, и тех роковых особенностях нашего менталитета, что послужили причиной ее трагедии. Анализируя историю парламентаризма в России, Маклаков приходит к выводам, актуальным и для сегодняшнего политического процесса.</t>
        </is>
      </c>
      <c r="S3924" s="26">
        <f>HYPERLINK("http://www.cnpol.ru/covers/20326.jpg","фото на сайте")</f>
        <v/>
      </c>
    </row>
    <row r="3925" ht="50.1" customHeight="1" s="3">
      <c r="A3925" s="23" t="n"/>
      <c r="B3925" s="24" t="inlineStr">
        <is>
          <t>20458</t>
        </is>
      </c>
      <c r="C3925" s="23" t="inlineStr">
        <is>
          <t>ОИ РОСС</t>
        </is>
      </c>
      <c r="D3925" s="23" t="inlineStr">
        <is>
          <t>Извольский А.П.</t>
        </is>
      </c>
      <c r="E3925" s="23" t="inlineStr">
        <is>
          <t>Воспоминания. Министр иностранных дел о международных заговорах и политических интригах накануне свержения монархии в России</t>
        </is>
      </c>
      <c r="F3925" s="23" t="inlineStr">
        <is>
          <t>        </t>
        </is>
      </c>
      <c r="G3925" s="23" t="n">
        <v>835</v>
      </c>
      <c r="H3925" s="23" t="n">
        <v>10</v>
      </c>
      <c r="I3925" s="23" t="n">
        <v>12</v>
      </c>
      <c r="J3925" s="23" t="inlineStr">
        <is>
          <t>978-5-227-10190-7</t>
        </is>
      </c>
      <c r="K3925" s="23" t="inlineStr">
        <is>
          <t>84x108 1/32</t>
        </is>
      </c>
      <c r="L3925" s="23" t="inlineStr">
        <is>
          <t>тв</t>
        </is>
      </c>
      <c r="M3925" s="23" t="n">
        <v>223</v>
      </c>
      <c r="N3925" s="23" t="n">
        <v>2022</v>
      </c>
      <c r="O3925" s="23" t="n">
        <v>220</v>
      </c>
      <c r="P3925" s="23" t="n"/>
      <c r="Q3925" s="23" t="n"/>
      <c r="R3925" s="25" t="inlineStr">
        <is>
          <t>Александр Петрович Извольский, русский государственный деятель, дипломат, министр иностранных дел в 1906—1910 гг., в своих воспоминаниях прежде всего рассматривает эпоху первой русской революции и зарождение российского парламентаризма. Большое внимание автор уделяет работе I и II Государственных дум и деятельности Витте и Столыпина. Сообщает о секретных совещаниях, на которых обсуждался вопрос об образовании кабинета в составе С.А. Муромцева, А.А. Муханова, Г.Е. Львова, Д.Н. Шипова, И.Н. Милюкова и П.А. Столыпина. Приводит докладную записку царю о необходимости конституционных реформ, составленную H. Львовым; подробно рассказывает о секретном договоре в Бьерке; об инциденте у Доггер-банки, едва не вызвавшем войну между Россией и Англией, и многое другое. Как и все авторы мемуаров, Извольский субъективен в своих мнениях и оценках событий и фигурантов в них участвующих, но его свидетельства, основанные на личных впечатлениях и подтвержденные документами, интересны и ценны деталями, за которыми чувствуется живая история.</t>
        </is>
      </c>
      <c r="S3925" s="26">
        <f>HYPERLINK("http://www.cnpol.ru/covers/20458.jpg","фото на сайте")</f>
        <v/>
      </c>
    </row>
    <row r="3926" ht="50.1" customHeight="1" s="3">
      <c r="A3926" s="23" t="inlineStr">
        <is>
          <t>Н</t>
        </is>
      </c>
      <c r="B3926" s="24" t="inlineStr">
        <is>
          <t>21964</t>
        </is>
      </c>
      <c r="C3926" s="23" t="inlineStr">
        <is>
          <t>ОИ РОСС</t>
        </is>
      </c>
      <c r="D3926" s="23" t="inlineStr">
        <is>
          <t>Давыдов А.В.</t>
        </is>
      </c>
      <c r="E3926" s="23" t="inlineStr">
        <is>
          <t>Воспоминания. Правнук двух декабристов о жизни в России времен Александра III, Николая II и революции</t>
        </is>
      </c>
      <c r="F3926" s="23" t="inlineStr">
        <is>
          <t>        </t>
        </is>
      </c>
      <c r="G3926" s="23" t="n">
        <v>970</v>
      </c>
      <c r="H3926" s="23" t="n">
        <v>10</v>
      </c>
      <c r="I3926" s="23" t="n">
        <v>10</v>
      </c>
      <c r="J3926" s="23" t="inlineStr">
        <is>
          <t>978-5-9524-6598-5</t>
        </is>
      </c>
      <c r="K3926" s="23" t="inlineStr">
        <is>
          <t>84x108 1/32</t>
        </is>
      </c>
      <c r="L3926" s="23" t="inlineStr">
        <is>
          <t>тв</t>
        </is>
      </c>
      <c r="M3926" s="23" t="n">
        <v>287</v>
      </c>
      <c r="N3926" s="23" t="n">
        <v>2026</v>
      </c>
      <c r="O3926" s="23" t="n">
        <v>370</v>
      </c>
      <c r="P3926" s="23" t="n"/>
      <c r="Q3926" s="23" t="n"/>
      <c r="R3926" s="25" t="inlineStr">
        <is>
          <t>Мемуары А.В. Давыдова (1881—1955) — писателя и общественного деятеля, известного в эмигрантской среде, — это летопись жизни как самого автора, так и его предков — русских и остзейских дворян, крестьян и уральских купцов-промышленников. В главах, посвященных прадедам автора — декабристам В.Л. Давыдову и С.П. Трубецкому, автор изложил семейные предания о заговоре и ссылке в Сибирь, рассказал о судьбах потомков. На страницах книги отражены воспоминания о Москве, учебе в гимназии, дружбе с сыновьями Л.Н. Толстого и молодежных вечерах в Хамовниках. В издание включены рассказы А.В. Давыдова об участии в Русско-японской войне, работе в Крымском краевом правительстве в 1918 году, а также письма и уникальные фотоматериалы.</t>
        </is>
      </c>
      <c r="S3926" s="26">
        <f>HYPERLINK("http://www.cnpol.ru/covers/21964.jpg","фото на сайте")</f>
        <v/>
      </c>
    </row>
    <row r="3927" ht="50.1" customHeight="1" s="3">
      <c r="A3927" s="23" t="n"/>
      <c r="B3927" s="24" t="inlineStr">
        <is>
          <t>20201</t>
        </is>
      </c>
      <c r="C3927" s="23" t="inlineStr">
        <is>
          <t>ОИ РОСС</t>
        </is>
      </c>
      <c r="D3927" s="23" t="inlineStr">
        <is>
          <t>Крыжановский С.Е.</t>
        </is>
      </c>
      <c r="E3927" s="23" t="inlineStr">
        <is>
          <t>Воспоминания: из бумаг последнего государственного секретаря Российской империи</t>
        </is>
      </c>
      <c r="F3927" s="23" t="inlineStr">
        <is>
          <t>        </t>
        </is>
      </c>
      <c r="G3927" s="23" t="n">
        <v>754</v>
      </c>
      <c r="H3927" s="23" t="n">
        <v>10</v>
      </c>
      <c r="I3927" s="23" t="n">
        <v>20</v>
      </c>
      <c r="J3927" s="23" t="inlineStr">
        <is>
          <t>978-5-227-09864-1</t>
        </is>
      </c>
      <c r="K3927" s="23" t="inlineStr">
        <is>
          <t>84x108 1/32</t>
        </is>
      </c>
      <c r="L3927" s="23" t="inlineStr">
        <is>
          <t>тв</t>
        </is>
      </c>
      <c r="M3927" s="23" t="n">
        <v>191</v>
      </c>
      <c r="N3927" s="23" t="n">
        <v>2022</v>
      </c>
      <c r="O3927" s="23" t="n">
        <v>280</v>
      </c>
      <c r="P3927" s="23" t="n"/>
      <c r="Q3927" s="23" t="n"/>
      <c r="R3927" s="25" t="inlineStr">
        <is>
          <t>Сергея Ефимовича Крыжановского можно назвать «серым кардиналом» последних двух десятилетий Российской империи. Большой объем принципиально важных законопроектов был подготовлен лично Крыжановским, остававшимся в тени всесильных министров внутренних дел. Именно он разработал законы о выборах в Государственную думу и был ближайшим помощником Столыпина, воплощая его реформы._x000D_
Самому С.Е. Крыжановскому стать министром так и не удалось. Венцом его карьеры был пост товарища министра внутренних дел. В 1911 году он был назначен государственным секретарем и занимал эту должность вплоть до дня падения самодержавия… В эмиграции Крыжановский написал мемуары, открывая интереснейшие страницы истории России.</t>
        </is>
      </c>
      <c r="S3927" s="26">
        <f>HYPERLINK("http://www.cnpol.ru/covers/20201.jpg","фото на сайте")</f>
        <v/>
      </c>
    </row>
    <row r="3928" ht="50.1" customHeight="1" s="3">
      <c r="A3928" s="23" t="inlineStr">
        <is>
          <t>Н</t>
        </is>
      </c>
      <c r="B3928" s="24" t="inlineStr">
        <is>
          <t>21544</t>
        </is>
      </c>
      <c r="C3928" s="23" t="inlineStr">
        <is>
          <t>ОИ РОСС</t>
        </is>
      </c>
      <c r="D3928" s="23" t="inlineStr">
        <is>
          <t>Эврич П.</t>
        </is>
      </c>
      <c r="E3928" s="23" t="inlineStr">
        <is>
          <t>Восстание в Кронштадте. 1921 год</t>
        </is>
      </c>
      <c r="F3928" s="23" t="inlineStr">
        <is>
          <t>        </t>
        </is>
      </c>
      <c r="G3928" s="23" t="n">
        <v>904</v>
      </c>
      <c r="H3928" s="23" t="n">
        <v>10</v>
      </c>
      <c r="I3928" s="23" t="n">
        <v>16</v>
      </c>
      <c r="J3928" s="23" t="inlineStr">
        <is>
          <t>978-5-9524-5832-1</t>
        </is>
      </c>
      <c r="K3928" s="23" t="inlineStr">
        <is>
          <t>84x108 1/32</t>
        </is>
      </c>
      <c r="L3928" s="23" t="inlineStr">
        <is>
          <t>тв</t>
        </is>
      </c>
      <c r="M3928" s="23" t="n">
        <v>239</v>
      </c>
      <c r="N3928" s="23" t="n">
        <v>2025</v>
      </c>
      <c r="O3928" s="23" t="n">
        <v>299</v>
      </c>
      <c r="P3928" s="23" t="n"/>
      <c r="Q3928" s="23" t="n"/>
      <c r="R3928" s="25" t="inlineStr">
        <is>
          <t>В марте 1921 года красные матросы, оплот и боевой авангард революции, подняли в крепости на Финском заливе восстание против правительства большевиков. Это событие до сих пор вызывает яростные споры. Было ли оно протестом против правящей диктатуры, или же противники молодой Республики Советов умело воспользовались их недовольством и подготовили этот взрыв народного возмущения?  Пол Эврич — американский историк, специалист по русской эмиграции и русскому анархизму — делает попытку объективно разобраться с событиями на острове Котлин.</t>
        </is>
      </c>
      <c r="S3928" s="26">
        <f>HYPERLINK("http://www.cnpol.ru/covers/21544.jpg","фото на сайте")</f>
        <v/>
      </c>
    </row>
    <row r="3929" ht="50.1" customHeight="1" s="3">
      <c r="A3929" s="23" t="inlineStr">
        <is>
          <t>Д</t>
        </is>
      </c>
      <c r="B3929" s="24" t="inlineStr">
        <is>
          <t>21373</t>
        </is>
      </c>
      <c r="C3929" s="23" t="inlineStr">
        <is>
          <t>ОИ РОСС</t>
        </is>
      </c>
      <c r="D3929" s="23" t="inlineStr">
        <is>
          <t>Набоков В.Д.</t>
        </is>
      </c>
      <c r="E3929" s="23" t="inlineStr">
        <is>
          <t>Временное правительство</t>
        </is>
      </c>
      <c r="F3929" s="23" t="inlineStr">
        <is>
          <t>        </t>
        </is>
      </c>
      <c r="G3929" s="23" t="n">
        <v>762</v>
      </c>
      <c r="H3929" s="23" t="n">
        <v>10</v>
      </c>
      <c r="I3929" s="23" t="n">
        <v>18</v>
      </c>
      <c r="J3929" s="23" t="inlineStr">
        <is>
          <t>978-5-227-10861-6</t>
        </is>
      </c>
      <c r="K3929" s="23" t="inlineStr">
        <is>
          <t>84x108 1/32</t>
        </is>
      </c>
      <c r="L3929" s="23" t="inlineStr">
        <is>
          <t>тв</t>
        </is>
      </c>
      <c r="M3929" s="23" t="n">
        <v>191</v>
      </c>
      <c r="N3929" s="23" t="n">
        <v>2024</v>
      </c>
      <c r="O3929" s="23" t="n">
        <v>150</v>
      </c>
      <c r="P3929" s="23" t="n"/>
      <c r="Q3929" s="23" t="n"/>
      <c r="R3929" s="25" t="inlineStr">
        <is>
          <t>Воспоминания известного политика, лидера Конституционно-демократической партии (партии Народной свободы) Владимира Дмитриевича Набокова о событиях 1917 года в Петрограде: Февральской и Октябрьской революциях, деятельности Временного правительства и Петроградского Совета рабочих и солдатских депутатов, людях и исторических фактах…_x000D_
В.Д. Набоков начал работу над мемуарами в 1918 году, когда все было еще живо в памяти, полагая, что его свидетельство — очевидца и участника происходящего — будет интересно грядущим поколениям. И оказался прав — книга его воспоминаний представляет несомненный интерес для каждого, кто хочет знать историю своего Отечества.</t>
        </is>
      </c>
      <c r="S3929" s="26">
        <f>HYPERLINK("http://www.cnpol.ru/covers/21373.jpg","фото на сайте")</f>
        <v/>
      </c>
    </row>
    <row r="3930" ht="50.1" customHeight="1" s="3">
      <c r="A3930" s="23" t="n"/>
      <c r="B3930" s="24" t="inlineStr">
        <is>
          <t>20025</t>
        </is>
      </c>
      <c r="C3930" s="23" t="inlineStr">
        <is>
          <t>ОИ РОСС</t>
        </is>
      </c>
      <c r="D3930" s="23" t="inlineStr">
        <is>
          <t>Маклаков В. А.</t>
        </is>
      </c>
      <c r="E3930" s="23" t="inlineStr">
        <is>
          <t>Вторая Государственная дума. Политическая конфронтация с властью. 20 февраля — 2 июня 1907 г.</t>
        </is>
      </c>
      <c r="F3930" s="23" t="inlineStr">
        <is>
          <t>        </t>
        </is>
      </c>
      <c r="G3930" s="27" t="n">
        <v>1031</v>
      </c>
      <c r="H3930" s="23" t="n">
        <v>10</v>
      </c>
      <c r="I3930" s="23" t="n">
        <v>12</v>
      </c>
      <c r="J3930" s="23" t="inlineStr">
        <is>
          <t>978-5-9524-5663-1</t>
        </is>
      </c>
      <c r="K3930" s="23" t="inlineStr">
        <is>
          <t>84x108 1/32</t>
        </is>
      </c>
      <c r="L3930" s="23" t="inlineStr">
        <is>
          <t>тв</t>
        </is>
      </c>
      <c r="M3930" s="23" t="n">
        <v>335</v>
      </c>
      <c r="N3930" s="23" t="n">
        <v>2022</v>
      </c>
      <c r="O3930" s="23" t="n">
        <v>250</v>
      </c>
      <c r="P3930" s="23" t="n"/>
      <c r="Q3930" s="23" t="n"/>
      <c r="R3930" s="25" t="inlineStr">
        <is>
          <t>Член ЦК партии кадетов, депутат Государственной думы 2-го, 3-го и 4-го созывов Василий Алексеевич Маклаков 1869—1957 был одним из самых авторитетных российских политиков начала XX века и, как и многие в то время, мечтал о революционном обновлении России. Октябрьскую революцию он встретил в Париже, куда Временное правительство направило его...</t>
        </is>
      </c>
      <c r="S3930" s="26">
        <f>HYPERLINK("http://www.cnpol.ru/covers/20025.jpg","фото на сайте")</f>
        <v/>
      </c>
    </row>
    <row r="3931" ht="50.1" customHeight="1" s="3">
      <c r="A3931" s="23" t="inlineStr">
        <is>
          <t>Д</t>
        </is>
      </c>
      <c r="B3931" s="24" t="inlineStr">
        <is>
          <t>21530</t>
        </is>
      </c>
      <c r="C3931" s="23" t="inlineStr">
        <is>
          <t>ОИ РОСС</t>
        </is>
      </c>
      <c r="D3931" s="23" t="inlineStr">
        <is>
          <t>Погодин М.П.</t>
        </is>
      </c>
      <c r="E3931" s="23" t="inlineStr">
        <is>
          <t>Генерал Ермолов. Сражения и победы легендарного солдата империи, героя Эйлау и Бородина и безжалостного покорителя Кавказа</t>
        </is>
      </c>
      <c r="F3931" s="23" t="inlineStr">
        <is>
          <t>        </t>
        </is>
      </c>
      <c r="G3931" s="27" t="n">
        <v>1560</v>
      </c>
      <c r="H3931" s="23" t="n">
        <v>10</v>
      </c>
      <c r="I3931" s="23" t="n">
        <v>5</v>
      </c>
      <c r="J3931" s="23" t="inlineStr">
        <is>
          <t>978-5-227-10998-9</t>
        </is>
      </c>
      <c r="K3931" s="23" t="inlineStr">
        <is>
          <t>60x90 1/16</t>
        </is>
      </c>
      <c r="L3931" s="23" t="inlineStr">
        <is>
          <t>тв</t>
        </is>
      </c>
      <c r="M3931" s="23" t="n">
        <v>527</v>
      </c>
      <c r="N3931" s="23" t="n">
        <v>2025</v>
      </c>
      <c r="O3931" s="23" t="n">
        <v>601</v>
      </c>
      <c r="P3931" s="23" t="n"/>
      <c r="Q3931" s="23" t="n"/>
      <c r="R3931" s="25" t="inlineStr">
        <is>
          <t>Алексей Петрович Ермолов — фигура в русской истории загадочная, противоречивая и тем не менее легендарная. С юности дерзкий и независимый, Ермолов раздражал высокопоставленных особ. Восстание в Польше, военные действия против французов в Италии, осада крепости Дербент, временная опала, участие в войне коалиций с Наполеоном, Отечественная война и, наконец, Кавказ. Ермолов начал с покорения Чечни и Горного Дагестана. Непокорные селения сжигались, сады вырубались, скот угонялся, покоренные народы приводились к присяге на верность российскому императору, облагались данью, у них брались заложники. Имя Алексея Ермолова стало нарицательным, им горцы пугали своих детей.</t>
        </is>
      </c>
      <c r="S3931" s="26">
        <f>HYPERLINK("http://www.cnpol.ru/covers/21530.jpg","фото на сайте")</f>
        <v/>
      </c>
    </row>
    <row r="3932" ht="50.1" customHeight="1" s="3">
      <c r="A3932" s="23" t="inlineStr">
        <is>
          <t>Д</t>
        </is>
      </c>
      <c r="B3932" s="24" t="inlineStr">
        <is>
          <t>22037</t>
        </is>
      </c>
      <c r="C3932" s="23" t="inlineStr">
        <is>
          <t>ОИ РОСС</t>
        </is>
      </c>
      <c r="D3932" s="23" t="inlineStr">
        <is>
          <t>Захарова О.Ю.</t>
        </is>
      </c>
      <c r="E3932" s="23" t="inlineStr">
        <is>
          <t>Генерал-фельдмаршал светлейший князь Михаил Семенович Воронцов. Рыцарь Российской империи</t>
        </is>
      </c>
      <c r="F3932" s="23" t="inlineStr">
        <is>
          <t>        </t>
        </is>
      </c>
      <c r="G3932" s="27" t="n">
        <v>1265</v>
      </c>
      <c r="H3932" s="23" t="n">
        <v>10</v>
      </c>
      <c r="I3932" s="23" t="n">
        <v>5</v>
      </c>
      <c r="J3932" s="23" t="inlineStr">
        <is>
          <t>978-5-227-11275-0</t>
        </is>
      </c>
      <c r="K3932" s="23" t="inlineStr">
        <is>
          <t>84x108 1/32</t>
        </is>
      </c>
      <c r="L3932" s="23" t="inlineStr">
        <is>
          <t>тв</t>
        </is>
      </c>
      <c r="M3932" s="23" t="n">
        <v>383</v>
      </c>
      <c r="N3932" s="23" t="n">
        <v>2026</v>
      </c>
      <c r="O3932" s="23" t="n">
        <v>490</v>
      </c>
      <c r="P3932" s="23" t="n"/>
      <c r="Q3932" s="23" t="n"/>
      <c r="R3932" s="25" t="inlineStr">
        <is>
          <t>Книга О.Ю. Захаровой посвящена выдающемуся русскому военному и государственному деятелю, представителю одной из самых блистательных фамилий Российской империи светлейшему князю Михаилу Семеновичу Воронцову (1782—1856). Герой Отечественной войны 1812 года, участник практически всех войн, которые вела Россия в первой половине XIX века, генерал-фельдмаршал, он снискал себе не умирающую до сих пор славу не только на военном, но и на гражданском поприще. Практически три десятилетия он был генерал-губернатором и наместником, правителем и устроителем Юга России: Новороссии, Бессарабии, Кавказа. Под его правлением эти регионы получили мощное экономическое и культурное развитие, став подлинными жемчужинами Российского государства._x000D_
Прекрасно воспитанный и образованный, обладавший высокими нравственными качествами, Михаил Семенович Воронцов был истинным рыцарем и гордостью Российской империи. Вся его жизнь до сих пор может быть настоящим примером для подражания.</t>
        </is>
      </c>
      <c r="S3932" s="26">
        <f>HYPERLINK("http://www.cnpol.ru/covers/22037.jpg","фото на сайте")</f>
        <v/>
      </c>
    </row>
    <row r="3933" ht="50.1" customHeight="1" s="3">
      <c r="A3933" s="23" t="n"/>
      <c r="B3933" s="24" t="inlineStr">
        <is>
          <t>13439</t>
        </is>
      </c>
      <c r="C3933" s="23" t="inlineStr">
        <is>
          <t>ОИ РОСС</t>
        </is>
      </c>
      <c r="D3933" s="23" t="inlineStr">
        <is>
          <t>Безугольный А.Ю., Бугай Н.Ф., Кринко Е.Ф.</t>
        </is>
      </c>
      <c r="E3933" s="23" t="inlineStr">
        <is>
          <t>Горцы Северного Кавказа в Великой Отечественной войне 1941-1945 гг.:проблемы истории, историографии и источниковедения.</t>
        </is>
      </c>
      <c r="F3933" s="23" t="inlineStr">
        <is>
          <t>        </t>
        </is>
      </c>
      <c r="G3933" s="23" t="n">
        <v>927</v>
      </c>
      <c r="H3933" s="23" t="n">
        <v>10</v>
      </c>
      <c r="I3933" s="23" t="n">
        <v>12</v>
      </c>
      <c r="J3933" s="23" t="inlineStr">
        <is>
          <t>978-5-227-03570-7</t>
        </is>
      </c>
      <c r="K3933" s="23" t="inlineStr">
        <is>
          <t>84x108 1/32</t>
        </is>
      </c>
      <c r="L3933" s="23" t="inlineStr">
        <is>
          <t>тв</t>
        </is>
      </c>
      <c r="M3933" s="23" t="n">
        <v>479</v>
      </c>
      <c r="N3933" s="23" t="n">
        <v>2012</v>
      </c>
      <c r="O3933" s="23" t="n">
        <v>500</v>
      </c>
      <c r="P3933" s="23" t="n"/>
      <c r="Q3933" s="23" t="n"/>
      <c r="R3933" s="25" t="inlineStr">
        <is>
          <t>В монографии известных специалистов в области истории Северного Кавказа советского периода анализируются наиболее острые проблемы участия горских народов в событиях Великой Отечественной войны 1941— 1945 гг.: особенности организационномобилизационной работы в национальных регионах Северного Кавказа и прохождения горцами военной службы, история национальных частей, оккупационный режим, причины и масштаб явлений коллаборационизма и антисоветского повстанческого движения, депортации ряда народов с исторической родины. В работе дан подробный анализ состояния историографического и источниковедческого освоения перечисленных тем. Все эти вопросы являются предметом острых дискуссий и нередко толкуются крайне тенденциозно в исторической литературе и публицистике. Авторы постарались беспристрастно, основываясь на широком документальном материале, внести свою лепту в объективное изучение участия горцев в Великой Отечественной войне.</t>
        </is>
      </c>
      <c r="S3933" s="26">
        <f>HYPERLINK("http://www.cnpol.ru/covers/13439.jpg","фото на сайте")</f>
        <v/>
      </c>
    </row>
    <row r="3934" ht="50.1" customHeight="1" s="3">
      <c r="A3934" s="23" t="n"/>
      <c r="B3934" s="24" t="inlineStr">
        <is>
          <t>20574</t>
        </is>
      </c>
      <c r="C3934" s="23" t="inlineStr">
        <is>
          <t>ОИ РОСС</t>
        </is>
      </c>
      <c r="D3934" s="23" t="inlineStr">
        <is>
          <t>Павлов­Сильванский Н.П.</t>
        </is>
      </c>
      <c r="E3934" s="23" t="inlineStr">
        <is>
          <t>Государевы служилые люди. Происхождение русского дворянства</t>
        </is>
      </c>
      <c r="F3934" s="23" t="inlineStr">
        <is>
          <t>        </t>
        </is>
      </c>
      <c r="G3934" s="27" t="n">
        <v>1009</v>
      </c>
      <c r="H3934" s="23" t="n">
        <v>10</v>
      </c>
      <c r="I3934" s="23" t="n">
        <v>8</v>
      </c>
      <c r="J3934" s="23" t="inlineStr">
        <is>
          <t>978-5-227-10297-3</t>
        </is>
      </c>
      <c r="K3934" s="23" t="inlineStr">
        <is>
          <t>84x108 1/32</t>
        </is>
      </c>
      <c r="L3934" s="23" t="inlineStr">
        <is>
          <t>тв</t>
        </is>
      </c>
      <c r="M3934" s="23" t="n">
        <v>319</v>
      </c>
      <c r="N3934" s="23" t="n">
        <v>2023</v>
      </c>
      <c r="O3934" s="23" t="n">
        <v>315</v>
      </c>
      <c r="P3934" s="23" t="n"/>
      <c r="Q3934" s="23" t="n"/>
      <c r="R3934" s="25" t="inlineStr">
        <is>
          <t>Профессор Николай Павлович Павлов-Сильванский в своей работе на большом документальном материале проследил становление и развитие сословного общества со времен царствования Иоанна Грозного, когда удельная Русь преобразовалась в Московское государство, и до рассвета империи. Автор рассмотрел не только судьбы высшего класса в начальные периоды русской исторической жизни, но и меры по образованию однородного служилого класса дворян и детей боярских из потомков князей, вольных слуг и других разрядов._x000D_
В книгу также вошла работа автора «Люди кабальные и докладные» о холопах XVI века.</t>
        </is>
      </c>
      <c r="S3934" s="26">
        <f>HYPERLINK("http://www.cnpol.ru/covers/20574.jpg","фото на сайте")</f>
        <v/>
      </c>
    </row>
    <row r="3935" ht="50.1" customHeight="1" s="3">
      <c r="A3935" s="23" t="n"/>
      <c r="B3935" s="24" t="inlineStr">
        <is>
          <t>19604</t>
        </is>
      </c>
      <c r="C3935" s="23" t="inlineStr">
        <is>
          <t>ОИ РОСС</t>
        </is>
      </c>
      <c r="D3935" s="23" t="inlineStr">
        <is>
          <t>Смирнов А.Ф</t>
        </is>
      </c>
      <c r="E3935" s="23" t="inlineStr">
        <is>
          <t>Государственная Дума Российской империи 1906—1917 гг.</t>
        </is>
      </c>
      <c r="F3935" s="23" t="inlineStr">
        <is>
          <t>        </t>
        </is>
      </c>
      <c r="G3935" s="27" t="n">
        <v>1183</v>
      </c>
      <c r="H3935" s="23" t="n">
        <v>10</v>
      </c>
      <c r="I3935" s="23" t="n">
        <v>6</v>
      </c>
      <c r="J3935" s="23" t="inlineStr">
        <is>
          <t>978-5-227-07918-3</t>
        </is>
      </c>
      <c r="K3935" s="23" t="inlineStr">
        <is>
          <t>60x90 1/16</t>
        </is>
      </c>
      <c r="L3935" s="23" t="inlineStr">
        <is>
          <t>тв</t>
        </is>
      </c>
      <c r="M3935" s="23" t="n">
        <v>720</v>
      </c>
      <c r="N3935" s="23" t="n">
        <v>2021</v>
      </c>
      <c r="O3935" s="23" t="n">
        <v>754</v>
      </c>
      <c r="P3935" s="23" t="n"/>
      <c r="Q3935" s="23" t="n"/>
      <c r="R3935" s="25" t="inlineStr">
        <is>
          <t>В книге детально прослеживается история подготовки, учреждения и функционирования Государственной Думы — первого парламента России. Работа написана на основе изучения стенографических отчетов заседаний Думы, архивных материалов, статей, переписки, мемуаров таких политических деятелей той эпохи, как Столыпин, Витте, Милюков, Маклаков, Керенский, Родзянко и др._x000D_
Издание является прекрасным пособием по изучению парламентаризма в России. Также интересна и широкой читательской аудитории.</t>
        </is>
      </c>
      <c r="S3935" s="26">
        <f>HYPERLINK("http://www.cnpol.ru/covers/19604.jpg","фото на сайте")</f>
        <v/>
      </c>
    </row>
    <row r="3936" ht="50.1" customHeight="1" s="3">
      <c r="A3936" s="23" t="n"/>
      <c r="B3936" s="24" t="inlineStr">
        <is>
          <t>20430</t>
        </is>
      </c>
      <c r="C3936" s="23" t="inlineStr">
        <is>
          <t>ОИ РОСС</t>
        </is>
      </c>
      <c r="D3936" s="23" t="inlineStr">
        <is>
          <t>Фюлёп­Миллер Р.</t>
        </is>
      </c>
      <c r="E3936" s="23" t="inlineStr">
        <is>
          <t>Григорий Распутин. Жизнь и смерть самой загадочной фигуры российской истории</t>
        </is>
      </c>
      <c r="F3936" s="23" t="inlineStr">
        <is>
          <t>        </t>
        </is>
      </c>
      <c r="G3936" s="23" t="n">
        <v>516</v>
      </c>
      <c r="H3936" s="23" t="n">
        <v>10</v>
      </c>
      <c r="I3936" s="23" t="n">
        <v>14</v>
      </c>
      <c r="J3936" s="23" t="inlineStr">
        <is>
          <t>978-5-9524-5868-0</t>
        </is>
      </c>
      <c r="K3936" s="23" t="inlineStr">
        <is>
          <t>84x108 1/32</t>
        </is>
      </c>
      <c r="L3936" s="23" t="inlineStr">
        <is>
          <t>тв</t>
        </is>
      </c>
      <c r="M3936" s="23" t="n">
        <v>287</v>
      </c>
      <c r="N3936" s="23" t="n">
        <v>2022</v>
      </c>
      <c r="O3936" s="23" t="n">
        <v>370</v>
      </c>
      <c r="P3936" s="23" t="n"/>
      <c r="Q3936" s="23" t="n"/>
      <c r="R3936" s="25" t="inlineStr">
        <is>
          <t>Книга Рене Фюлёпа-Миллера, историка культуры, — удачная попытка раскрыть феномен Григория Распутина, «великого старца», «царского друга», «прозорливца и целителя». Основываясь на официальных документах — полицейских отчетах, письмах, подлинных свидетельствах и т. п., автор постарался объективно представить портрет крайне незаурядного, неординарного, непростого человека, на котором было поставлено клише «дьявола во плоти». Будучи сильным, волевым, щедро одаренным природой, Распутин и не идеально хорош, и не абсолютно плох, он показан со всеми своими слабостями. Разноречивость отношения к нему окружавших его людей — от благочестивого почитания до неистовой ненависти — только усугубляет интерес к его личности. На фоне образа Распутина дана характеристика того сложного предреволюционного времени.</t>
        </is>
      </c>
      <c r="S3936" s="26">
        <f>HYPERLINK("http://www.cnpol.ru/covers/20430.jpg","фото на сайте")</f>
        <v/>
      </c>
    </row>
    <row r="3937" ht="50.1" customHeight="1" s="3">
      <c r="A3937" s="23" t="n"/>
      <c r="B3937" s="24" t="inlineStr">
        <is>
          <t>20235</t>
        </is>
      </c>
      <c r="C3937" s="23" t="inlineStr">
        <is>
          <t>ОИ РОСС</t>
        </is>
      </c>
      <c r="D3937" s="23" t="inlineStr">
        <is>
          <t>Пирлинг П.О.</t>
        </is>
      </c>
      <c r="E3937" s="23" t="inlineStr">
        <is>
          <t>Дмитрий Самозванец. Конец дома Рюриковичей. Легенда об императоре. Апогей и катастрофа. Поляки в Кремле</t>
        </is>
      </c>
      <c r="F3937" s="23" t="inlineStr">
        <is>
          <t>        </t>
        </is>
      </c>
      <c r="G3937" s="27" t="n">
        <v>1063</v>
      </c>
      <c r="H3937" s="23" t="n">
        <v>10</v>
      </c>
      <c r="I3937" s="23" t="n">
        <v>12</v>
      </c>
      <c r="J3937" s="23" t="inlineStr">
        <is>
          <t>978-5-227-09947-1</t>
        </is>
      </c>
      <c r="K3937" s="23" t="inlineStr">
        <is>
          <t>84x108 1/32</t>
        </is>
      </c>
      <c r="L3937" s="23" t="inlineStr">
        <is>
          <t>тв</t>
        </is>
      </c>
      <c r="M3937" s="23" t="n">
        <v>383</v>
      </c>
      <c r="N3937" s="23" t="n">
        <v>2022</v>
      </c>
      <c r="O3937" s="23" t="n">
        <v>400</v>
      </c>
      <c r="P3937" s="23" t="n"/>
      <c r="Q3937" s="23" t="n"/>
      <c r="R3937" s="25" t="inlineStr">
        <is>
          <t>Историк, директор славянской библиотеки в Париже Павел Пирлинг в настоящей книге описывает период русской истории XVI века, когда после смерти царевича Дмитрия на российский престол претендовал Лжедмитрий I, Дмитрий Самозванец. На основе русских и западноевропейских исторических документов автор воссоздает не только устоявшийся в историографии облик Гришки Отрепьева, но и отношения России с Римской католической церковью.</t>
        </is>
      </c>
      <c r="S3937" s="26">
        <f>HYPERLINK("http://www.cnpol.ru/covers/20235.jpg","фото на сайте")</f>
        <v/>
      </c>
    </row>
    <row r="3938" ht="50.1" customHeight="1" s="3">
      <c r="A3938" s="23" t="inlineStr">
        <is>
          <t>Н</t>
        </is>
      </c>
      <c r="B3938" s="24" t="inlineStr">
        <is>
          <t>21497</t>
        </is>
      </c>
      <c r="C3938" s="23" t="inlineStr">
        <is>
          <t>ОИ РОСС</t>
        </is>
      </c>
      <c r="D3938" s="23" t="inlineStr">
        <is>
          <t>Лилье М.И.</t>
        </is>
      </c>
      <c r="E3938" s="23" t="inlineStr">
        <is>
          <t>Дневник осады Порт-Артура. Полная хронология героической обороны. Свидетельства очевидца событий капитана военно-инженерной службы</t>
        </is>
      </c>
      <c r="F3938" s="23" t="inlineStr">
        <is>
          <t>        </t>
        </is>
      </c>
      <c r="G3938" s="27" t="n">
        <v>1117</v>
      </c>
      <c r="H3938" s="23" t="n">
        <v>10</v>
      </c>
      <c r="I3938" s="23" t="n">
        <v>12</v>
      </c>
      <c r="J3938" s="23" t="inlineStr">
        <is>
          <t>978-5-9524-6326-4</t>
        </is>
      </c>
      <c r="K3938" s="23" t="inlineStr">
        <is>
          <t>84x108 1/32</t>
        </is>
      </c>
      <c r="L3938" s="23" t="inlineStr">
        <is>
          <t>тв</t>
        </is>
      </c>
      <c r="M3938" s="23" t="n">
        <v>346</v>
      </c>
      <c r="N3938" s="23" t="n">
        <v>2025</v>
      </c>
      <c r="O3938" s="23" t="n">
        <v>324</v>
      </c>
      <c r="P3938" s="23" t="n"/>
      <c r="Q3938" s="23" t="n"/>
      <c r="R3938" s="25" t="inlineStr">
        <is>
          <t>Книга представляет собой дневник потомственного военного инженера М.И. Лилье, активного участника героической обороны Порт-Артура от первого дня до последнего. Читатель найдет в ней как общие оценки Русско-японской войны и действий генералитета, так и взгляд боевого офицера «из окопов»._x000D_
Издание имеет несомненное научное и публицистическое значение.</t>
        </is>
      </c>
      <c r="S3938" s="26">
        <f>HYPERLINK("http://www.cnpol.ru/covers/21497.jpg","фото на сайте")</f>
        <v/>
      </c>
    </row>
    <row r="3939" ht="50.1" customHeight="1" s="3">
      <c r="A3939" s="23" t="inlineStr">
        <is>
          <t>Н</t>
        </is>
      </c>
      <c r="B3939" s="24" t="inlineStr">
        <is>
          <t>21893</t>
        </is>
      </c>
      <c r="C3939" s="23" t="inlineStr">
        <is>
          <t>ОИ РОСС</t>
        </is>
      </c>
      <c r="D3939" s="23" t="inlineStr">
        <is>
          <t>Шинаков Е.А.</t>
        </is>
      </c>
      <c r="E3939" s="23" t="inlineStr">
        <is>
          <t>Древняя Русь. От «вождеств» к ранней государственности. IX—XI века.</t>
        </is>
      </c>
      <c r="F3939" s="23" t="inlineStr">
        <is>
          <t>        </t>
        </is>
      </c>
      <c r="G3939" s="27" t="n">
        <v>1533</v>
      </c>
      <c r="H3939" s="23" t="n">
        <v>10</v>
      </c>
      <c r="I3939" s="23" t="n">
        <v>6</v>
      </c>
      <c r="J3939" s="23" t="inlineStr">
        <is>
          <t>978-5-227-11137-1</t>
        </is>
      </c>
      <c r="K3939" s="23" t="inlineStr">
        <is>
          <t>84x108 1/32</t>
        </is>
      </c>
      <c r="L3939" s="23" t="inlineStr">
        <is>
          <t>тв</t>
        </is>
      </c>
      <c r="M3939" s="23" t="n">
        <v>607</v>
      </c>
      <c r="N3939" s="23" t="n">
        <v>2025</v>
      </c>
      <c r="O3939" s="23" t="n">
        <v>352</v>
      </c>
      <c r="P3939" s="23" t="n"/>
      <c r="Q3939" s="23" t="n"/>
      <c r="R3939" s="25" t="inlineStr">
        <is>
          <t>Книга известного археолога и историка доктора исторических наук Е.А. Шинакова посвящена одной из ключевых для истории России тем — образованию Древнерусского государства. Исследование базируется на комплексе источников – как письменных (русских и иностранных), так и вещественных (археологических и нумизматических), а также сравнительно-этнографических. Используются методология политической (социокультурной) антропологии, компаративистский подход, статистико-комбинаторные методы. Главный вывод книги: образование Древнерусского государства — не единовременный акт (призвание Рюрика или присоединение Олегом Киева), а растянувшийся на двести лет процесс, прошедший с IX по XI век в три этапа, содержание которых и анализирует автор. _x000D_
Издание предназначено не только для специалистов и студентов, но и широкого круга читателей, интересующихся первыми страницами истории русского народа, Древнерусского государства.</t>
        </is>
      </c>
      <c r="S3939" s="26">
        <f>HYPERLINK("http://www.cnpol.ru/covers/21893.jpg","фото на сайте")</f>
        <v/>
      </c>
    </row>
    <row r="3940" ht="50.1" customHeight="1" s="3">
      <c r="A3940" s="23" t="inlineStr">
        <is>
          <t>Д</t>
        </is>
      </c>
      <c r="B3940" s="24" t="inlineStr">
        <is>
          <t>21808</t>
        </is>
      </c>
      <c r="C3940" s="23" t="inlineStr">
        <is>
          <t>ОИ РОСС</t>
        </is>
      </c>
      <c r="D3940" s="23" t="inlineStr">
        <is>
          <t>Аничков В.П.</t>
        </is>
      </c>
      <c r="E3940" s="23" t="inlineStr">
        <is>
          <t>Екатеринбург — Владивосток. Свидетельства очевидца революции и гражданской войны. 1917—1922</t>
        </is>
      </c>
      <c r="F3940" s="23" t="inlineStr">
        <is>
          <t>        </t>
        </is>
      </c>
      <c r="G3940" s="27" t="n">
        <v>1184</v>
      </c>
      <c r="H3940" s="23" t="n">
        <v>10</v>
      </c>
      <c r="I3940" s="23" t="n">
        <v>6</v>
      </c>
      <c r="J3940" s="23" t="inlineStr">
        <is>
          <t>978-5-227-11154-8</t>
        </is>
      </c>
      <c r="K3940" s="23" t="inlineStr">
        <is>
          <t>84x108 1/32</t>
        </is>
      </c>
      <c r="L3940" s="23" t="inlineStr">
        <is>
          <t>тв</t>
        </is>
      </c>
      <c r="M3940" s="23" t="n">
        <v>414</v>
      </c>
      <c r="N3940" s="23" t="n">
        <v>2025</v>
      </c>
      <c r="O3940" s="23" t="n">
        <v>438</v>
      </c>
      <c r="P3940" s="23" t="n"/>
      <c r="Q3940" s="23" t="n"/>
      <c r="R3940" s="25" t="inlineStr">
        <is>
          <t>Владимир Петрович Аничков — русский банкир и предприниматель, долгое время возглавлял отделение Волжско-Камского банка и вследствие этого оказался в самом центре февральских и последующих событий на Урале и в Сибири. Вскоре после революции Аничков вошел в состав Комитета общественной безопасности. В своей книге автор рассказывает, как он пережидал красный террор в окрестностях города Екатеринбурга. После прихода к власти большевиков и национализации банков Аничков был арестован и позже бежал. Работал в Министерстве финансов правительства Колчака._x000D_
Произведение полно живых наблюдений и редких деталей. Повествование о событиях и исторических персонажах, которые не выдуманы, а абсолютно реальны, читается, без преувеличения, как приключенческий роман. Атмосфера того времени передана великолепно, а имена знакомы каждому, кто интересуется историей Отечества: ссыльные князья Сергей Михайлович, Константин и Игорь Константиновичи Романовы, следователь по убийству царской семьи Николай Соколов, камердинер императора Николая II Терентий Чемодуров и вереница современников, затянутых в круговерть революционного переворота…</t>
        </is>
      </c>
      <c r="S3940" s="26">
        <f>HYPERLINK("http://www.cnpol.ru/covers/21808.jpg","фото на сайте")</f>
        <v/>
      </c>
    </row>
    <row r="3941" ht="50.1" customHeight="1" s="3">
      <c r="A3941" s="23" t="inlineStr">
        <is>
          <t>Н</t>
        </is>
      </c>
      <c r="B3941" s="24" t="inlineStr">
        <is>
          <t>21774</t>
        </is>
      </c>
      <c r="C3941" s="23" t="inlineStr">
        <is>
          <t>ОИ РОСС</t>
        </is>
      </c>
      <c r="D3941" s="23" t="inlineStr">
        <is>
          <t>Заварзин П.П.</t>
        </is>
      </c>
      <c r="E3941" s="23" t="inlineStr">
        <is>
          <t>Жандармы и революционеры. Секретные приемы политического сыска. Вербовка и засылка агентов. Противодействие террористам и государственным преступникам. Лучшие операции Особого корпуса жандармов</t>
        </is>
      </c>
      <c r="F3941" s="23" t="inlineStr">
        <is>
          <t>        </t>
        </is>
      </c>
      <c r="G3941" s="23" t="n">
        <v>829</v>
      </c>
      <c r="H3941" s="23" t="n">
        <v>10</v>
      </c>
      <c r="I3941" s="23" t="n">
        <v>10</v>
      </c>
      <c r="J3941" s="23" t="inlineStr">
        <is>
          <t>978-5-227-11094-7</t>
        </is>
      </c>
      <c r="K3941" s="23" t="inlineStr">
        <is>
          <t>84x108 1/32</t>
        </is>
      </c>
      <c r="L3941" s="23" t="inlineStr">
        <is>
          <t>тв</t>
        </is>
      </c>
      <c r="M3941" s="23" t="n">
        <v>223</v>
      </c>
      <c r="N3941" s="23" t="n">
        <v>2025</v>
      </c>
      <c r="O3941" s="23" t="n">
        <v>233</v>
      </c>
      <c r="P3941" s="23" t="n"/>
      <c r="Q3941" s="23" t="n"/>
      <c r="R3941" s="25" t="inlineStr">
        <is>
          <t>Павел Павлович Заварзин — российский жандармский офицер, генерал-майор Отдельного корпуса жандармов. Занимал должности начальника разыскных отделений в Кишиневе, Гомеле, Одессе, Ростове-на-Дону, Варшаве, Москве и других местах. На основании колоссального опыта Заварзин знакомит читателя с теорией и техникой розыска, объясняет смысл, задачи и образ действий разыскных органов до революции, отмечая их отличие от деятельности ЧЕКА. Раскрывает особенности пограничной и таможенной службы, охраны высокопоставленных лиц, упоминая содействие военной разведке. Описывает последние дни Александра III, восшествие на престол Николая II, вспоминает свои встречи с генералами Рузским, Сухомлиновым, министром Плеве и другими. Возвращаясь мыслями к прошлому, автор поражается тому, как вяло российская власть реагировала на постоянные, в течение многих лет, убийства, совершаемые сначала народовольцами, а затем социалистами-революционерами, считая, что такое отношение способствует разгулу терроризма в стране.</t>
        </is>
      </c>
      <c r="S3941" s="26">
        <f>HYPERLINK("http://www.cnpol.ru/covers/21774.jpg","фото на сайте")</f>
        <v/>
      </c>
    </row>
    <row r="3942" ht="50.1" customHeight="1" s="3">
      <c r="A3942" s="23" t="n"/>
      <c r="B3942" s="24" t="inlineStr">
        <is>
          <t>20244</t>
        </is>
      </c>
      <c r="C3942" s="23" t="inlineStr">
        <is>
          <t>ОИ РОСС</t>
        </is>
      </c>
      <c r="D3942" s="23" t="inlineStr">
        <is>
          <t>Петелин В.В.</t>
        </is>
      </c>
      <c r="E3942" s="23" t="inlineStr">
        <is>
          <t>Жизнь графа Николая Румянцева. На службе Российскому трону</t>
        </is>
      </c>
      <c r="F3942" s="23" t="inlineStr">
        <is>
          <t>        </t>
        </is>
      </c>
      <c r="G3942" s="27" t="n">
        <v>1775</v>
      </c>
      <c r="H3942" s="23" t="n">
        <v>10</v>
      </c>
      <c r="I3942" s="23" t="n">
        <v>6</v>
      </c>
      <c r="J3942" s="23" t="inlineStr">
        <is>
          <t>978-5-227-09695-1</t>
        </is>
      </c>
      <c r="K3942" s="23" t="inlineStr">
        <is>
          <t>60x90 1/16</t>
        </is>
      </c>
      <c r="L3942" s="23" t="inlineStr">
        <is>
          <t>тв</t>
        </is>
      </c>
      <c r="M3942" s="23" t="n">
        <v>671</v>
      </c>
      <c r="N3942" s="23" t="n">
        <v>2022</v>
      </c>
      <c r="O3942" s="23" t="n">
        <v>570</v>
      </c>
      <c r="P3942" s="23" t="n"/>
      <c r="Q3942" s="23" t="n"/>
      <c r="R3942" s="25" t="inlineStr">
        <is>
          <t>Граф Николай Петрович Румянцев (1754—1826) — один из трех сыновей великого полководца П.А. Румянцева — верой и правдой служил России при трех императорах: Екатерине II, Павле I и Александре I. Выдающийся дипломат и мудрый государственный деятель, пожизненный канцлер, книжник и просветитель, меценат и коллекционер, основатель Румянцевского музея (собрания книг и рукописей), открытого в Санкт-Петербурге, а позже переехавшего в Москву, в Пашков дом. Александр I, Наполеон, Талейран, писатели, ученые и общественные деятели высоко ценили заслуги Н.П. Румянцева в деле государственного, а также политического устройства и культурного развития России и Европы. Однако личность и судьба графа Николая Румянцева во многом еще не разгаданы, его домашний архив уничтожен повелением Николая I._x000D_
Книга включает подлинные исторические документы, в том числе переписку монарших особ, фрагменты древних грамот, найденных и опубликованных Н.П. Румянцевым.</t>
        </is>
      </c>
      <c r="S3942" s="26">
        <f>HYPERLINK("http://www.cnpol.ru/covers/20244.jpg","фото на сайте")</f>
        <v/>
      </c>
    </row>
    <row r="3943" ht="50.1" customHeight="1" s="3">
      <c r="A3943" s="23" t="inlineStr">
        <is>
          <t>Н</t>
        </is>
      </c>
      <c r="B3943" s="24" t="inlineStr">
        <is>
          <t>21330</t>
        </is>
      </c>
      <c r="C3943" s="23" t="inlineStr">
        <is>
          <t>ОИ РОСС</t>
        </is>
      </c>
      <c r="D3943" s="23" t="inlineStr">
        <is>
          <t>Захарова О.Ю.</t>
        </is>
      </c>
      <c r="E3943" s="23" t="inlineStr">
        <is>
          <t>Жизнь и дипломатическая деятельность графа Семена Романовича Воронцова. Из истории российско-британских отношений</t>
        </is>
      </c>
      <c r="F3943" s="23" t="inlineStr">
        <is>
          <t>        </t>
        </is>
      </c>
      <c r="G3943" s="23" t="n">
        <v>888</v>
      </c>
      <c r="H3943" s="23" t="n">
        <v>10</v>
      </c>
      <c r="I3943" s="23" t="n">
        <v>14</v>
      </c>
      <c r="J3943" s="23" t="inlineStr">
        <is>
          <t>978-5-227-10827-2</t>
        </is>
      </c>
      <c r="K3943" s="23" t="inlineStr">
        <is>
          <t>84x108 1/32</t>
        </is>
      </c>
      <c r="L3943" s="23" t="inlineStr">
        <is>
          <t>тв</t>
        </is>
      </c>
      <c r="M3943" s="23" t="n">
        <v>255</v>
      </c>
      <c r="N3943" s="23" t="n">
        <v>2024</v>
      </c>
      <c r="O3943" s="23" t="n">
        <v>316</v>
      </c>
      <c r="P3943" s="23" t="n"/>
      <c r="Q3943" s="23" t="n"/>
      <c r="R3943" s="25" t="inlineStr">
        <is>
          <t>Книга посвящена представителю старинного дворянского рода Воронцовых. В ней прослеживается военная и дипломатическая деятельность графа С.Р. Воронцова, внесшего неоценимый вклад в развитие русско-английских отношений в конце XVIII — первой четверти XIX века. Для С.Р. Воронцова честь и доброе имя были дороже жизни, дороже всех материальных благ. Эти принципы он передал своему сыну — генерал-фельдмаршалу, светлейшему князю М.С. Воронцову. На основании ранее не опубликованных архивных материалов в книге приводятся интересные и малоосвещенные факты из истории российско-британских политических, экономических и культурных связей.</t>
        </is>
      </c>
      <c r="S3943" s="26">
        <f>HYPERLINK("http://www.cnpol.ru/covers/21330.jpg","фото на сайте")</f>
        <v/>
      </c>
    </row>
    <row r="3944" ht="50.1" customHeight="1" s="3">
      <c r="A3944" s="23" t="inlineStr">
        <is>
          <t>Н</t>
        </is>
      </c>
      <c r="B3944" s="24" t="inlineStr">
        <is>
          <t>21462</t>
        </is>
      </c>
      <c r="C3944" s="23" t="inlineStr">
        <is>
          <t>ОИ РОСС</t>
        </is>
      </c>
      <c r="D3944" s="23" t="inlineStr">
        <is>
          <t>Буксгевден С.К.</t>
        </is>
      </c>
      <c r="E3944" s="23" t="inlineStr">
        <is>
          <t>Жизнь и трагедия императрицы Александры Федоровны. Рассказ фрейлины и близкой подруги, бывшей рядом с российской царской семьей в годы правления и трагические дни ссылки</t>
        </is>
      </c>
      <c r="F3944" s="23" t="inlineStr">
        <is>
          <t>        </t>
        </is>
      </c>
      <c r="G3944" s="23" t="n">
        <v>796</v>
      </c>
      <c r="H3944" s="23" t="n">
        <v>10</v>
      </c>
      <c r="I3944" s="23" t="n">
        <v>10</v>
      </c>
      <c r="J3944" s="23" t="inlineStr">
        <is>
          <t>978-5-9524-6317-2</t>
        </is>
      </c>
      <c r="K3944" s="23" t="inlineStr">
        <is>
          <t>84x108 1/32</t>
        </is>
      </c>
      <c r="L3944" s="23" t="inlineStr">
        <is>
          <t>тв</t>
        </is>
      </c>
      <c r="M3944" s="23" t="n">
        <v>319</v>
      </c>
      <c r="N3944" s="23" t="n">
        <v>2025</v>
      </c>
      <c r="O3944" s="23" t="n">
        <v>377</v>
      </c>
      <c r="P3944" s="23" t="n"/>
      <c r="Q3944" s="23" t="n"/>
      <c r="R3944" s="25" t="inlineStr">
        <is>
          <t>Баронесса Буксгевден (1883—1956), первый биограф русской императрицы, долгие годы была не только фрейлиной, но и преданным другом царской семьи. София Карловна, дочь русского посланника в Дании, с большой любовью, но беспристрастно рассказывает о жизни гессенской принцессы с раннего детства до последних дней. Иза, как называли баронессу при дворе, с 1913 г. неотлучно пребывала при Александре Федоровне до ссылки Романовых в Тобольск, а затем последовала за ними. Софии Карловне удалось запечатлеть множество зарисовок из жизни патронессы в счастливые времена и в дни великих печалей и горестей, сохранить бесценные сведения о взаимоотношениях в семье, подметить черты характера августейшей четы и их детей, описать особенности быта и передать атмосферу жизни при дворе. На страницах книги Александра Федоровна предстает не только как государыня, но, прежде всего, как любящая мать и жена, добрый друг и щедрая благотворительница, неустанно трудившаяся на благо своей страны и принявшая мученическую смерть вместе со всей семьей.</t>
        </is>
      </c>
      <c r="S3944" s="26">
        <f>HYPERLINK("http://www.cnpol.ru/covers/21462.jpg","фото на сайте")</f>
        <v/>
      </c>
    </row>
    <row r="3945" ht="50.1" customHeight="1" s="3">
      <c r="A3945" s="23" t="inlineStr">
        <is>
          <t>Д</t>
        </is>
      </c>
      <c r="B3945" s="24" t="inlineStr">
        <is>
          <t>21778</t>
        </is>
      </c>
      <c r="C3945" s="23" t="inlineStr">
        <is>
          <t>ОИ РОСС</t>
        </is>
      </c>
      <c r="D3945" s="23" t="inlineStr">
        <is>
          <t>Абаза К.К.</t>
        </is>
      </c>
      <c r="E3945" s="23" t="inlineStr">
        <is>
          <t>Завоевание Туркестана. Рассказы военной истории, очерки природы, быта и нравов туземцев в общедоступном изложении</t>
        </is>
      </c>
      <c r="F3945" s="23" t="inlineStr">
        <is>
          <t>        </t>
        </is>
      </c>
      <c r="G3945" s="27" t="n">
        <v>1009</v>
      </c>
      <c r="H3945" s="23" t="n">
        <v>10</v>
      </c>
      <c r="I3945" s="23" t="n">
        <v>8</v>
      </c>
      <c r="J3945" s="23" t="inlineStr">
        <is>
          <t>978-5-227-11150-0</t>
        </is>
      </c>
      <c r="K3945" s="23" t="inlineStr">
        <is>
          <t>84x108 1/32</t>
        </is>
      </c>
      <c r="L3945" s="23" t="inlineStr">
        <is>
          <t>тв</t>
        </is>
      </c>
      <c r="M3945" s="23" t="n">
        <v>319</v>
      </c>
      <c r="N3945" s="23" t="n">
        <v>2025</v>
      </c>
      <c r="O3945" s="23" t="n">
        <v>369</v>
      </c>
      <c r="P3945" s="23" t="n"/>
      <c r="Q3945" s="23" t="n"/>
      <c r="R3945" s="25" t="inlineStr">
        <is>
          <t>Книга военного писателя и педагога Константина Абазы знакомит современного читателя с историей присоединения к Российской империи обширных территорий Центральной Азии. Процесс проникновения русских в эти древние земли начался ещё при Петре I. Поход в Хивинское ханство отряда Бековича-Черкасского оказался неудачным, и после этого, почти на сто лет прекратилось активное продвижение в этот регион. Начиная с 30-х годов ХIХ века Российская империя начала активно действовать в Туркестане, где было три основных государства — Хива, Коканд и Бухара, и к 1881 году основные земли Туркестана вошли в состав империи в виде семи областей. Книга живо рисует историю завоевания края, на территории которого в настоящее время появилось пять независимых государств, активному развитию которых способствовало их вхождение как в состав Российской империи, так и СССР.</t>
        </is>
      </c>
      <c r="S3945" s="26">
        <f>HYPERLINK("http://www.cnpol.ru/covers/21778.jpg","фото на сайте")</f>
        <v/>
      </c>
    </row>
    <row r="3946" ht="50.1" customHeight="1" s="3">
      <c r="A3946" s="23" t="n"/>
      <c r="B3946" s="24" t="inlineStr">
        <is>
          <t>19277</t>
        </is>
      </c>
      <c r="C3946" s="23" t="inlineStr">
        <is>
          <t>ОИ РОСС</t>
        </is>
      </c>
      <c r="D3946" s="23" t="inlineStr">
        <is>
          <t>Юль Ю.</t>
        </is>
      </c>
      <c r="E3946" s="23" t="inlineStr">
        <is>
          <t>Записки датского посланника при Петре Великом. 1709-1711</t>
        </is>
      </c>
      <c r="F3946" s="23" t="inlineStr">
        <is>
          <t>        </t>
        </is>
      </c>
      <c r="G3946" s="23" t="n">
        <v>948</v>
      </c>
      <c r="H3946" s="23" t="n">
        <v>10</v>
      </c>
      <c r="I3946" s="23" t="n">
        <v>12</v>
      </c>
      <c r="J3946" s="23" t="inlineStr">
        <is>
          <t>978-5-227-09193-2</t>
        </is>
      </c>
      <c r="K3946" s="23" t="inlineStr">
        <is>
          <t>60x90 1/16</t>
        </is>
      </c>
      <c r="L3946" s="23" t="inlineStr">
        <is>
          <t>тв</t>
        </is>
      </c>
      <c r="M3946" s="23" t="n">
        <v>448</v>
      </c>
      <c r="N3946" s="23" t="n">
        <v>2020</v>
      </c>
      <c r="O3946" s="23" t="n">
        <v>506</v>
      </c>
      <c r="P3946" s="23" t="n"/>
      <c r="Q3946" s="23" t="n"/>
      <c r="R3946" s="25" t="inlineStr">
        <is>
          <t>В год Полтавской победы России (1709) король Датский Фредерик IV отправил к Петру I в качестве своего посланника морского командора Датской службы Юста Юля._x000D_
Отважный моряк, умный дипломат, вице-адмирал Юст Юль оставил замечательные дневниковые записи своего пребывания в России. Это — тщательные записки современника, участника событий. Наблюдательность, заинтересованность в деталях жизни русского народа, внимание к подробностям быта, в особенности к ритуалам светским и церковным, техническим, экономическим, отличает записки датчанина. Так же как и их эмоциональность, оживляющая историю, — в некоторых эпизодах Юль показывает как силу, так и слабость русского императора, ужасается пьяному варварству тогдашнего царского двора, но и восхищается умом, находчивостью и... хитростью Петра. То же относится к оценкам других исторических фигур, как русских, так и зарубежных._x000D_
Записки эти — чтение не простое, но весьма увлекательное. Рукопись была восстановлена и переведена замечательным дипломатом и историком Юрием Щербачёвым в далеком 1899-м году, но представляет большой интерес для любителей истории и сегодня.</t>
        </is>
      </c>
      <c r="S3946" s="26">
        <f>HYPERLINK("http://www.cnpol.ru/covers/19277.jpg","фото на сайте")</f>
        <v/>
      </c>
    </row>
    <row r="3947" ht="50.1" customHeight="1" s="3">
      <c r="A3947" s="23" t="n"/>
      <c r="B3947" s="24" t="inlineStr">
        <is>
          <t>18356</t>
        </is>
      </c>
      <c r="C3947" s="23" t="inlineStr">
        <is>
          <t>ОИ РОСС</t>
        </is>
      </c>
      <c r="D3947" s="23" t="inlineStr">
        <is>
          <t>Коротич В.А</t>
        </is>
      </c>
      <c r="E3947" s="23" t="inlineStr">
        <is>
          <t>Застолье в застой</t>
        </is>
      </c>
      <c r="F3947" s="23" t="inlineStr">
        <is>
          <t>        </t>
        </is>
      </c>
      <c r="G3947" s="23" t="n">
        <v>534</v>
      </c>
      <c r="H3947" s="23" t="n">
        <v>10</v>
      </c>
      <c r="I3947" s="23" t="n">
        <v>16</v>
      </c>
      <c r="J3947" s="23" t="inlineStr">
        <is>
          <t>978-5-9524-5307-4</t>
        </is>
      </c>
      <c r="K3947" s="23" t="inlineStr">
        <is>
          <t>82x100 1/32</t>
        </is>
      </c>
      <c r="L3947" s="23" t="inlineStr">
        <is>
          <t>тв</t>
        </is>
      </c>
      <c r="M3947" s="23" t="n">
        <v>288</v>
      </c>
      <c r="N3947" s="23" t="n">
        <v>2018</v>
      </c>
      <c r="O3947" s="23" t="n">
        <v>264</v>
      </c>
      <c r="P3947" s="23" t="n"/>
      <c r="Q3947" s="23" t="n"/>
      <c r="R3947" s="25" t="inlineStr">
        <is>
          <t>Эти записи В.А. Коротич начал систематизировать давно. Первые заготовки для книги делались в еще советские времена в Киеве, где автор рылся в документах и старинных фолиантах, доступных в архивах; продолжались в Москве, где количество печатных и не всегда печатных источников сразу увеличилось, дописывались в разных странах. Это взгляд на современников с необычного ракурса — из­за накрытого стола, в кругу самых неожиданных собеседников, рассказ о том, как мы и наши предки в разные времена жили­были­ели­пили, общались между собой.</t>
        </is>
      </c>
      <c r="S3947" s="26">
        <f>HYPERLINK("http://www.cnpol.ru/covers/18356.jpg","фото на сайте")</f>
        <v/>
      </c>
    </row>
    <row r="3948" ht="50.1" customHeight="1" s="3">
      <c r="A3948" s="23" t="inlineStr">
        <is>
          <t>Д</t>
        </is>
      </c>
      <c r="B3948" s="24" t="inlineStr">
        <is>
          <t>22033</t>
        </is>
      </c>
      <c r="C3948" s="23" t="inlineStr">
        <is>
          <t>ОИ РОСС</t>
        </is>
      </c>
      <c r="D3948" s="23" t="inlineStr">
        <is>
          <t>Платонов С.Ф.</t>
        </is>
      </c>
      <c r="E3948" s="23" t="inlineStr">
        <is>
          <t>Иван Грозный. Борис Годунов. История правления первого русского царя и его избранного преемника</t>
        </is>
      </c>
      <c r="F3948" s="23" t="inlineStr">
        <is>
          <t>        </t>
        </is>
      </c>
      <c r="G3948" s="27" t="n">
        <v>1009</v>
      </c>
      <c r="H3948" s="23" t="n">
        <v>10</v>
      </c>
      <c r="I3948" s="23" t="n">
        <v>10</v>
      </c>
      <c r="J3948" s="23" t="inlineStr">
        <is>
          <t>978-5-227-11239-2</t>
        </is>
      </c>
      <c r="K3948" s="23" t="inlineStr">
        <is>
          <t>84x108 1/32</t>
        </is>
      </c>
      <c r="L3948" s="23" t="inlineStr">
        <is>
          <t>тв</t>
        </is>
      </c>
      <c r="M3948" s="23" t="n">
        <v>319</v>
      </c>
      <c r="N3948" s="23" t="n">
        <v>2026</v>
      </c>
      <c r="O3948" s="23" t="n">
        <v>372</v>
      </c>
      <c r="P3948" s="23" t="n"/>
      <c r="Q3948" s="23" t="n"/>
      <c r="R3948" s="25" t="inlineStr">
        <is>
          <t>В книге выдающегося русского историка представлены его работы, посвященные Ивану Грозному и Борису Годунову. Первый — величайший правитель и государственный деятель, дипломат, реформатор, умный, образованный, расчетливый и смелый человек. Но личность чрезвычайно сложная и противоречивая. Автор обрисовал главные моменты жизни и деятельности Грозного в сложнейший период времени и некоторые достоверные черты его характера и ума. Второй — фигура также неоднозначная: личные свойства и дела этого политического деятеля вызывали у его современников как похвалы, так и осуждение, переходившее в клевету. С.Ф. Платонов сумел рассмотреть в Борисе не одни черты драматического злодея, но и качества истинно государственного деятеля.</t>
        </is>
      </c>
      <c r="S3948" s="26">
        <f>HYPERLINK("http://www.cnpol.ru/covers/22033.jpg","фото на сайте")</f>
        <v/>
      </c>
    </row>
    <row r="3949" ht="50.1" customHeight="1" s="3">
      <c r="A3949" s="23" t="n"/>
      <c r="B3949" s="24" t="inlineStr">
        <is>
          <t>20205</t>
        </is>
      </c>
      <c r="C3949" s="23" t="inlineStr">
        <is>
          <t>ОИ РОСС</t>
        </is>
      </c>
      <c r="D3949" s="23" t="inlineStr">
        <is>
          <t>Коковцов В.Н.</t>
        </is>
      </c>
      <c r="E3949" s="23" t="inlineStr">
        <is>
          <t>Из моего прошлого. Воспоминания выдающегося государственного деятеля Российской империи о трагически</t>
        </is>
      </c>
      <c r="F3949" s="23" t="inlineStr">
        <is>
          <t>        </t>
        </is>
      </c>
      <c r="G3949" s="27" t="n">
        <v>2272</v>
      </c>
      <c r="H3949" s="23" t="n">
        <v>10</v>
      </c>
      <c r="I3949" s="23" t="n">
        <v>6</v>
      </c>
      <c r="J3949" s="23" t="inlineStr">
        <is>
          <t>978-5-227-09862-7</t>
        </is>
      </c>
      <c r="K3949" s="23" t="inlineStr">
        <is>
          <t>60x90 1/16</t>
        </is>
      </c>
      <c r="L3949" s="23" t="inlineStr">
        <is>
          <t>тв</t>
        </is>
      </c>
      <c r="M3949" s="23" t="n">
        <v>863</v>
      </c>
      <c r="N3949" s="23" t="n">
        <v>2022</v>
      </c>
      <c r="O3949" s="23" t="n">
        <v>900</v>
      </c>
      <c r="P3949" s="23" t="n"/>
      <c r="Q3949" s="23" t="n"/>
      <c r="R3949" s="25" t="inlineStr">
        <is>
          <t>Выдающийся государственный деятель, человек, близкий к императору Николаю II, занимавший ключевые посты в правительстве Российской империи в 1904–1914 годах и возглавивший правительство после гибели премьер-министра П.А. Столыпина, рассказывает о трагических страницах русской истории, о том, что ему довелось увидеть и пережить.</t>
        </is>
      </c>
      <c r="S3949" s="26">
        <f>HYPERLINK("http://www.cnpol.ru/covers/20205.jpg","фото на сайте")</f>
        <v/>
      </c>
    </row>
    <row r="3950" ht="50.1" customHeight="1" s="3">
      <c r="A3950" s="23" t="inlineStr">
        <is>
          <t>Н</t>
        </is>
      </c>
      <c r="B3950" s="24" t="inlineStr">
        <is>
          <t>21854</t>
        </is>
      </c>
      <c r="C3950" s="23" t="inlineStr">
        <is>
          <t>ОИ РОСС</t>
        </is>
      </c>
      <c r="D3950" s="23" t="inlineStr">
        <is>
          <t>Шуазель­Гуфье С. де</t>
        </is>
      </c>
      <c r="E3950" s="23" t="inlineStr">
        <is>
          <t>Император Александр I и его окружение. Воспоминания фрейлины свиты двух русских императриц о высшей знати времен Отечественной войны 1812 года</t>
        </is>
      </c>
      <c r="F3950" s="23" t="inlineStr">
        <is>
          <t>        </t>
        </is>
      </c>
      <c r="G3950" s="27" t="n">
        <v>1004</v>
      </c>
      <c r="H3950" s="23" t="n">
        <v>10</v>
      </c>
      <c r="I3950" s="23" t="n">
        <v>5</v>
      </c>
      <c r="J3950" s="23" t="inlineStr">
        <is>
          <t>978-5-227-09397-4</t>
        </is>
      </c>
      <c r="K3950" s="23" t="inlineStr">
        <is>
          <t>84x108 1/32</t>
        </is>
      </c>
      <c r="L3950" s="23" t="inlineStr">
        <is>
          <t>тв</t>
        </is>
      </c>
      <c r="M3950" s="23" t="n">
        <v>287</v>
      </c>
      <c r="N3950" s="23" t="n">
        <v>2025</v>
      </c>
      <c r="O3950" s="23" t="n">
        <v>364</v>
      </c>
      <c r="P3950" s="23" t="n"/>
      <c r="Q3950" s="23" t="n"/>
      <c r="R3950" s="25" t="inlineStr">
        <is>
          <t>Представительница польско-литовской аристократии, графиня София де Шуазель-Гуфье была удостоена придворного женского звания фрейлины в свите российских императриц Елизаветы Алексеевны (супруги Александра I) и Марии Федоровны (матери Александра I). В 1812 году она познакомилась с российским императором Александром I, с которым у нее сложились дружеские отношения, поддерживаемые до конца жизни российского монарха. Во время Отечественной войны 1812 года пережила в Вильно французскую оккупацию, при которой встречалась с Наполеоном Бонапартом, демонстративно поддерживая русского императора и его политику. Настоящие мемуары не только личные воспоминания о встречах с императорами Александром I и Наполеоном, фельдмаршалом М.И. Кутузовым, с которым также была знакома, но и рассказ о времени царствования Александра I, о русско-французской войне, о судьбе Вильно во время оккупации и освобождения русской армией._x000D_
На русском языке в полном объеме издается впервые.</t>
        </is>
      </c>
      <c r="S3950" s="26">
        <f>HYPERLINK("http://www.cnpol.ru/covers/21854.jpg","фото на сайте")</f>
        <v/>
      </c>
    </row>
    <row r="3951" ht="50.1" customHeight="1" s="3">
      <c r="A3951" s="23" t="inlineStr">
        <is>
          <t>Д</t>
        </is>
      </c>
      <c r="B3951" s="24" t="inlineStr">
        <is>
          <t>22018</t>
        </is>
      </c>
      <c r="C3951" s="23" t="inlineStr">
        <is>
          <t>ОИ РОСС</t>
        </is>
      </c>
      <c r="D3951" s="23" t="inlineStr">
        <is>
          <t>Захарова О.Ю.</t>
        </is>
      </c>
      <c r="E3951" s="23" t="inlineStr">
        <is>
          <t>История балов императорской России. Увлекательное путешествие</t>
        </is>
      </c>
      <c r="F3951" s="23" t="inlineStr">
        <is>
          <t>        </t>
        </is>
      </c>
      <c r="G3951" s="27" t="n">
        <v>1771</v>
      </c>
      <c r="H3951" s="23" t="n">
        <v>10</v>
      </c>
      <c r="I3951" s="23" t="n">
        <v>10</v>
      </c>
      <c r="J3951" s="23" t="inlineStr">
        <is>
          <t>978-5-227-11269-9</t>
        </is>
      </c>
      <c r="K3951" s="23" t="inlineStr">
        <is>
          <t>84x108 1/32</t>
        </is>
      </c>
      <c r="L3951" s="23" t="inlineStr">
        <is>
          <t>тв</t>
        </is>
      </c>
      <c r="M3951" s="23" t="n">
        <v>510</v>
      </c>
      <c r="N3951" s="23" t="n">
        <v>2026</v>
      </c>
      <c r="O3951" s="23" t="n">
        <v>598</v>
      </c>
      <c r="P3951" s="23" t="n"/>
      <c r="Q3951" s="23" t="n"/>
      <c r="R3951" s="25" t="inlineStr">
        <is>
          <t>Книга доктора исторических наук, профессора Оксаны Юрьевны Захаровой открывает читателю особый, невиданный и мало изученный мир бального церемониала…_x000D_
Автор на основании исторических источников рассказывает о возникновении и развитии русского бала, истории танца и костюма, символике жеста, оформлении бальных залов. Это исследование во многом носит и прикладной характер. Впервые опубликованные фигуры котильона позволяют воспроизвести этот танец на современных балах._x000D_
По-своему уникальна опубликованная в книге хрестоматия, в ¬которой читателю впервые предоставляется возможность вместе с героями Пушкина, Лермонтова, ¬Гоголя, Данилевского, Загоскина, Баратынского, Бунина, Куприна и др. побывать на балах XVIII—XX столетий, почувствовать поэти¬ческий мир бальной культуры. Вас ждет увлекательное историческое путе-шествие, погружение в удивительное переплетение эпох и судеб, политики и культуры.</t>
        </is>
      </c>
      <c r="S3951" s="26">
        <f>HYPERLINK("http://www.cnpol.ru/covers/22018.jpg","фото на сайте")</f>
        <v/>
      </c>
    </row>
    <row r="3952" ht="50.1" customHeight="1" s="3">
      <c r="A3952" s="23" t="inlineStr">
        <is>
          <t>Д</t>
        </is>
      </c>
      <c r="B3952" s="24" t="inlineStr">
        <is>
          <t>21758</t>
        </is>
      </c>
      <c r="C3952" s="23" t="inlineStr">
        <is>
          <t>ОИ РОСС</t>
        </is>
      </c>
      <c r="D3952" s="23" t="inlineStr">
        <is>
          <t>Спиридович А.И.</t>
        </is>
      </c>
      <c r="E3952" s="23" t="inlineStr">
        <is>
          <t>История большевизма в России от возникновения до захвата власти: 1883—1903—1917. С приложением документов</t>
        </is>
      </c>
      <c r="F3952" s="23" t="inlineStr">
        <is>
          <t>        </t>
        </is>
      </c>
      <c r="G3952" s="27" t="n">
        <v>1160</v>
      </c>
      <c r="H3952" s="23" t="n">
        <v>10</v>
      </c>
      <c r="I3952" s="23" t="n">
        <v>5</v>
      </c>
      <c r="J3952" s="23" t="inlineStr">
        <is>
          <t>978-5-227-10872-2</t>
        </is>
      </c>
      <c r="K3952" s="23" t="inlineStr">
        <is>
          <t>84x108 1/32</t>
        </is>
      </c>
      <c r="L3952" s="23" t="inlineStr">
        <is>
          <t>тв</t>
        </is>
      </c>
      <c r="M3952" s="23" t="n">
        <v>415</v>
      </c>
      <c r="N3952" s="23" t="n">
        <v>2025</v>
      </c>
      <c r="O3952" s="23" t="n">
        <v>458</v>
      </c>
      <c r="P3952" s="23" t="n"/>
      <c r="Q3952" s="23" t="n"/>
      <c r="R3952" s="25" t="inlineStr">
        <is>
          <t>Генерал-майор Отдельного корпуса жандармов Александр Иванович Спиридович был человеком, преданным идее монархической власти. Историю революционных партий Спиридович знал очень хорошо — много лет он занимался политическим сыском. С началом Первой мировой войны А.И. Спиридович, обеспечивая личную охрану государя, сопровождал его в поездках на фронт, в Ставку и фронтовые части. В 1915 году за служебные успехи А.И. Спиридович был произведен в генерал-майоры._x000D_
Но свой разыскной опыт он обобщил в книгах о борьбе с революционерами, которые были изданы в типографии Охранного отделения и использовались жандармами как справочные и учебные издания. Крушение Российской империи, свержение монарха и последующие события генерал Спиридович воспринимал как большую трагедию. Если бы Временное правительство не заключило его в Петропавловскую крепость в дни Февральской революции, возможно, он нашел бы способ спасения царской семьи._x000D_
Книга «История большевизма в России от возникновения до захвата власти» была написана им в эмиграции и издана в Париже в 1922 году.</t>
        </is>
      </c>
      <c r="S3952" s="26">
        <f>HYPERLINK("http://www.cnpol.ru/covers/21758.jpg","фото на сайте")</f>
        <v/>
      </c>
    </row>
    <row r="3953" ht="50.1" customHeight="1" s="3">
      <c r="A3953" s="23" t="inlineStr">
        <is>
          <t>Н</t>
        </is>
      </c>
      <c r="B3953" s="24" t="inlineStr">
        <is>
          <t>21922</t>
        </is>
      </c>
      <c r="C3953" s="23" t="inlineStr">
        <is>
          <t>ОИ РОСС</t>
        </is>
      </c>
      <c r="D3953" s="23" t="inlineStr">
        <is>
          <t>Карамзин Н.М.</t>
        </is>
      </c>
      <c r="E3953" s="23" t="inlineStr">
        <is>
          <t>История государства Российского. Двенадцать томов в двух книгах. Кн. I. Т. 1—6</t>
        </is>
      </c>
      <c r="F3953" s="23" t="n">
        <v>1</v>
      </c>
      <c r="G3953" s="27" t="n">
        <v>2687</v>
      </c>
      <c r="H3953" s="23" t="n">
        <v>10</v>
      </c>
      <c r="I3953" s="23" t="n">
        <v>3</v>
      </c>
      <c r="J3953" s="23" t="inlineStr">
        <is>
          <t>978-5-227-09785-9</t>
        </is>
      </c>
      <c r="K3953" s="23" t="inlineStr">
        <is>
          <t>60x90 1/16</t>
        </is>
      </c>
      <c r="L3953" s="23" t="inlineStr">
        <is>
          <t>тв</t>
        </is>
      </c>
      <c r="M3953" s="23" t="n">
        <v>1039</v>
      </c>
      <c r="N3953" s="23" t="n">
        <v>2026</v>
      </c>
      <c r="O3953" s="23" t="n">
        <v>1084</v>
      </c>
      <c r="P3953" s="23" t="n"/>
      <c r="Q3953" s="23" t="n"/>
      <c r="R3953" s="25" t="inlineStr">
        <is>
          <t>"Перед вами легендарное двенадцатитомное сочинение Н.М. Карамзина, описывающее российскую историю начиная с древнейших времен до правления Ивана Грозного и Смутного времени. Этот труд благодаря высоким литературным достоинствам и научной скрупулезности автора открыл историю России широкому кругу читателей. А.С. Пушкин сказал: «Все, даже светские женщины, бросились читать историю своего отечества, дотоле им неизвестную. Она была для них новым открытием. Древняя Россия, казалось, найдена Карамзиным, как Америка — Колумбом». «Историю государства Российского» Карамзин писал до конца жизни, но, увы, закончить ее так и не успел… Было задумано вести повествование до начала правления дома Романовых, но текст рукописи последнего тома обрывается на главе «Междоцарствие. 1611—1612». Автор проделал колоссальную работу, систематизировал исторические источники и изложил для читателей доступным языком. И хотя язык книги архаичен, читается она легко.
В книгу I вошли первые шесть томов, рассказывающие о событиях, происходящих на территории России с момента первых упоминаний о славянах и до 1505 года — окончания времени правлении государя, державного великого князя Иоанна III Васильевича.
"</t>
        </is>
      </c>
      <c r="S3953" s="26">
        <f>HYPERLINK("http://www.cnpol.ru/covers/21922.jpg","фото на сайте")</f>
        <v/>
      </c>
    </row>
    <row r="3954" ht="50.1" customHeight="1" s="3">
      <c r="A3954" s="23" t="inlineStr">
        <is>
          <t>Н</t>
        </is>
      </c>
      <c r="B3954" s="24" t="inlineStr">
        <is>
          <t>21923</t>
        </is>
      </c>
      <c r="C3954" s="23" t="inlineStr">
        <is>
          <t>ОИ РОСС</t>
        </is>
      </c>
      <c r="D3954" s="23" t="inlineStr">
        <is>
          <t>Карамзин Н.М.</t>
        </is>
      </c>
      <c r="E3954" s="23" t="inlineStr">
        <is>
          <t>История государства Российского. Двенадцать томов в двух книгах. Кн. II. Т. 7—12</t>
        </is>
      </c>
      <c r="F3954" s="23" t="n">
        <v>2</v>
      </c>
      <c r="G3954" s="27" t="n">
        <v>2687</v>
      </c>
      <c r="H3954" s="23" t="n">
        <v>10</v>
      </c>
      <c r="I3954" s="23" t="n">
        <v>3</v>
      </c>
      <c r="J3954" s="23" t="inlineStr">
        <is>
          <t>978-5-227-09786-6</t>
        </is>
      </c>
      <c r="K3954" s="23" t="inlineStr">
        <is>
          <t>60x90 1/16</t>
        </is>
      </c>
      <c r="L3954" s="23" t="inlineStr">
        <is>
          <t>тв</t>
        </is>
      </c>
      <c r="M3954" s="23" t="n">
        <v>959</v>
      </c>
      <c r="N3954" s="23" t="n">
        <v>2026</v>
      </c>
      <c r="O3954" s="23" t="n">
        <v>1011</v>
      </c>
      <c r="P3954" s="23" t="n"/>
      <c r="Q3954" s="23" t="n"/>
      <c r="R3954" s="25" t="inlineStr">
        <is>
          <t>В книгу II вошли тома c седьмого по двенадцатый. Речь идет о событиях, происходящих на территории России в период с 1505 по 1612 год. Повествуется о периоде правления государя, великого князя Василия III Иоанновича, великого князя и царя Иоанна IV — Грозного и до низвержения Василия Иоанновича Шуйского, трудных годах самозванщины и междуцарствия.</t>
        </is>
      </c>
      <c r="S3954" s="26">
        <f>HYPERLINK("http://www.cnpol.ru/covers/21923.jpg","фото на сайте")</f>
        <v/>
      </c>
    </row>
    <row r="3955" ht="50.1" customHeight="1" s="3">
      <c r="A3955" s="23" t="inlineStr">
        <is>
          <t>Д</t>
        </is>
      </c>
      <c r="B3955" s="24" t="inlineStr">
        <is>
          <t>21987</t>
        </is>
      </c>
      <c r="C3955" s="23" t="inlineStr">
        <is>
          <t>ОИ РОСС</t>
        </is>
      </c>
      <c r="D3955" s="23" t="inlineStr">
        <is>
          <t>Гордеев А.А.</t>
        </is>
      </c>
      <c r="E3955" s="23" t="inlineStr">
        <is>
          <t>История казачества. Военное служилое сословие в жизни Российского государства от зарождения во времена Золотой Орды до Гражданской войны</t>
        </is>
      </c>
      <c r="F3955" s="23" t="inlineStr">
        <is>
          <t>        </t>
        </is>
      </c>
      <c r="G3955" s="27" t="n">
        <v>1949</v>
      </c>
      <c r="H3955" s="23" t="n">
        <v>10</v>
      </c>
      <c r="I3955" s="23" t="n">
        <v>5</v>
      </c>
      <c r="J3955" s="23" t="inlineStr">
        <is>
          <t>978-5-9524-6620-3</t>
        </is>
      </c>
      <c r="K3955" s="23" t="inlineStr">
        <is>
          <t>60x90 1/16</t>
        </is>
      </c>
      <c r="L3955" s="23" t="inlineStr">
        <is>
          <t>тв</t>
        </is>
      </c>
      <c r="M3955" s="23" t="n">
        <v>767</v>
      </c>
      <c r="N3955" s="23" t="n">
        <v>2026</v>
      </c>
      <c r="O3955" s="23" t="n">
        <v>895</v>
      </c>
      <c r="P3955" s="23" t="n"/>
      <c r="Q3955" s="23" t="n"/>
      <c r="R3955" s="25" t="inlineStr">
        <is>
          <t>А.А. Гордеев — потомственный донской казак, полковник Войска Донского, георгиевский кавалер, участник Первой мировой войны и Белого движения, создал всеобъемлющий труд по истории казачества Российской державы. Автор исследовал происхождение, становление, политическую и военную организацию казаков, систему управления, особенности ведения хозяйства, культуру быта. Описал тяжелые непрерывные войны казаков по защите своих земель, а также походы в составе русских армий. Представил исторические судьбы всех казачьих войск Российской империи: Донского, Уральского, Кубанского, Терского, Оренбургского, Астраханского, Сибирского, Семиреченского, Забайкальского, Енисейского, Амурского и Уссурийского. Фундаментальный труд Гордеева высоко оценен историками и участниками движения возрождения казачества.</t>
        </is>
      </c>
      <c r="S3955" s="26">
        <f>HYPERLINK("http://www.cnpol.ru/covers/21987.jpg","фото на сайте")</f>
        <v/>
      </c>
    </row>
    <row r="3956" ht="50.1" customHeight="1" s="3">
      <c r="A3956" s="23" t="inlineStr">
        <is>
          <t>Н</t>
        </is>
      </c>
      <c r="B3956" s="24" t="inlineStr">
        <is>
          <t>21253</t>
        </is>
      </c>
      <c r="C3956" s="23" t="inlineStr">
        <is>
          <t>ОИ РОСС</t>
        </is>
      </c>
      <c r="D3956" s="23" t="inlineStr">
        <is>
          <t>Иловайский Д.И.</t>
        </is>
      </c>
      <c r="E3956" s="23" t="inlineStr">
        <is>
          <t>История России. Алексей Михайлович и его ближайшие преемники. Вторая половина XVII века</t>
        </is>
      </c>
      <c r="F3956" s="23" t="inlineStr">
        <is>
          <t>        </t>
        </is>
      </c>
      <c r="G3956" s="27" t="n">
        <v>1747</v>
      </c>
      <c r="H3956" s="23" t="n">
        <v>10</v>
      </c>
      <c r="I3956" s="23" t="n">
        <v>6</v>
      </c>
      <c r="J3956" s="23" t="inlineStr">
        <is>
          <t>978-5-227-10822-7</t>
        </is>
      </c>
      <c r="K3956" s="23" t="inlineStr">
        <is>
          <t>60x90 1/16</t>
        </is>
      </c>
      <c r="L3956" s="23" t="inlineStr">
        <is>
          <t>тв</t>
        </is>
      </c>
      <c r="M3956" s="23" t="n">
        <v>655</v>
      </c>
      <c r="N3956" s="23" t="n">
        <v>2024</v>
      </c>
      <c r="O3956" s="23" t="n">
        <v>510</v>
      </c>
      <c r="P3956" s="23" t="n"/>
      <c r="Q3956" s="23" t="n"/>
      <c r="R3956" s="25" t="inlineStr">
        <is>
          <t>В настоящем томе выдающийся русский историк, яркий публицист, педагог и общественный деятель Дмитрий Иванович Иловайский исследует историю России второй половины XVII в. — эпоху царствования Алексея Михайловича и доводит повествование до единодержавия Петра Великого. Это было время громких событий и бурных движений. На первый план выступает украинский вопрос с его разнообразными перипетиями и колебаниями то в ту, то в другую сторону по отношению к Польше и Москве. Московскому государству дорого обошлось присоединение Украины, в особенности благодаря изменам гетманов и притягательной силе польской культуры. Наряду с украинским вопросом автор анализирует внутреннее церковное движение, известное под именем раскола, начавшееся распрей патриарха Никона с царем. Богдан Хмельницкий и Никон — эти две крупные исторические личности занимают видное место в русской истории и стоят непосредственно за главным ее представителем, царем Алексеем Михайловичем._x000D_
Книга снабжена обширными примечаниями, которые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is>
      </c>
      <c r="S3956" s="26">
        <f>HYPERLINK("http://www.cnpol.ru/covers/21253.jpg","фото на сайте")</f>
        <v/>
      </c>
    </row>
    <row r="3957" ht="50.1" customHeight="1" s="3">
      <c r="A3957" s="23" t="n"/>
      <c r="B3957" s="24" t="inlineStr">
        <is>
          <t>20452</t>
        </is>
      </c>
      <c r="C3957" s="23" t="inlineStr">
        <is>
          <t>ОИ РОСС</t>
        </is>
      </c>
      <c r="D3957" s="23" t="inlineStr">
        <is>
          <t>Иловайский Д.И.</t>
        </is>
      </c>
      <c r="E3957" s="23" t="inlineStr">
        <is>
          <t>История России. Владимирский период. Середина XII — начало XIV века</t>
        </is>
      </c>
      <c r="F3957" s="23" t="inlineStr">
        <is>
          <t>        </t>
        </is>
      </c>
      <c r="G3957" s="27" t="n">
        <v>1520</v>
      </c>
      <c r="H3957" s="23" t="n">
        <v>10</v>
      </c>
      <c r="I3957" s="23" t="n">
        <v>6</v>
      </c>
      <c r="J3957" s="23" t="inlineStr">
        <is>
          <t>978-5-227-10222-5</t>
        </is>
      </c>
      <c r="K3957" s="23" t="inlineStr">
        <is>
          <t>60x90 1/16</t>
        </is>
      </c>
      <c r="L3957" s="23" t="inlineStr">
        <is>
          <t>тв</t>
        </is>
      </c>
      <c r="M3957" s="23" t="n">
        <v>495</v>
      </c>
      <c r="N3957" s="23" t="n">
        <v>2022</v>
      </c>
      <c r="O3957" s="23" t="n">
        <v>550</v>
      </c>
      <c r="P3957" s="23" t="n"/>
      <c r="Q3957" s="23" t="n"/>
      <c r="R3957" s="25" t="inlineStr">
        <is>
          <t>Выдающийся русский историк, публицист, автор многих исторических исследований, в том числе всеобъемлющего труда по истории России, Дмитрий Иванович Иловайский посвятил этот труд Владимирскому периоду ста¬новления русского государства с середины XII до начала XIV века. Подобно Карамзину, Иловайский считал, что история народа — история развития его государственности, которая, прежде всего, воплощается в его царях и вождях. В каждом своем исследовании Д.И. Иловайский подтверждает эту теорию, наглядно демонстрируя огромное влияние, которое оказывают на ход истории выдающиеся личности. Юрий Долгорукий, Андрей Боголюбский, Всеволод Большое Гнездо, Александр Невский — их значение в истории Руси трудно переоценить. Почти четыре века Киев служил средоточием политической и культурной жизни русского народа, в XII веке начинается возвышение Вла¬димирского княжества.</t>
        </is>
      </c>
      <c r="S3957" s="26">
        <f>HYPERLINK("http://www.cnpol.ru/covers/20452.jpg","фото на сайте")</f>
        <v/>
      </c>
    </row>
    <row r="3958" ht="50.1" customHeight="1" s="3">
      <c r="A3958" s="23" t="n"/>
      <c r="B3958" s="24" t="inlineStr">
        <is>
          <t>20414</t>
        </is>
      </c>
      <c r="C3958" s="23" t="inlineStr">
        <is>
          <t>ОИ РОСС</t>
        </is>
      </c>
      <c r="D3958" s="23" t="inlineStr">
        <is>
          <t>Иловайский Д.И.</t>
        </is>
      </c>
      <c r="E3958" s="23" t="inlineStr">
        <is>
          <t>История России. Киевский период. Начало IX — конец XII века</t>
        </is>
      </c>
      <c r="F3958" s="23" t="inlineStr">
        <is>
          <t>        </t>
        </is>
      </c>
      <c r="G3958" s="27" t="n">
        <v>1117</v>
      </c>
      <c r="H3958" s="23" t="n">
        <v>10</v>
      </c>
      <c r="I3958" s="23" t="n">
        <v>14</v>
      </c>
      <c r="J3958" s="23" t="inlineStr">
        <is>
          <t>978-5-227-10176-1</t>
        </is>
      </c>
      <c r="K3958" s="23" t="inlineStr">
        <is>
          <t>60x90 1/16</t>
        </is>
      </c>
      <c r="L3958" s="23" t="inlineStr">
        <is>
          <t>тв</t>
        </is>
      </c>
      <c r="M3958" s="23" t="n">
        <v>319</v>
      </c>
      <c r="N3958" s="23" t="n">
        <v>2022</v>
      </c>
      <c r="O3958" s="23" t="n">
        <v>365</v>
      </c>
      <c r="P3958" s="23" t="n"/>
      <c r="Q3958" s="23" t="n"/>
      <c r="R3958" s="25" t="inlineStr">
        <is>
          <t>Выдающийся русский историк, публицист, автор многих исторических исследований, в том числе всеобъемлющего труда по истории России, Дмитрий Иванович Иловайский рассматривает так называемый Киевский период русской истории. Автор последовательно излагает сложный и подчас жестокий процесс становления и развития русской государственности в IX—XII вв. Обладая несомненным писательским талантом, умением кратко и точно излагать факты, автор описывает бесконечные междоусобные войны, порождающие голод и разруху, обстановку, в которой происходило насаждение христианства, возвышение и гибель князей и целых княжеских родов. И в то же время созидательную сторону жизни Руси: строительство монастырей и храмов, расцвет городов и торговли, особенности культуры и быта славянских народов в эту эпоху. И констатирует: «В основу нашей национальности положено крепкое плотное ядро, то есть могучее славянское племя, которым только и можно объяснить замечательную живучесть и прочность нашего государственного организма».</t>
        </is>
      </c>
      <c r="S3958" s="26">
        <f>HYPERLINK("http://www.cnpol.ru/covers/20414.jpg","фото на сайте")</f>
        <v/>
      </c>
    </row>
    <row r="3959" ht="50.1" customHeight="1" s="3">
      <c r="A3959" s="23" t="n"/>
      <c r="B3959" s="24" t="inlineStr">
        <is>
          <t>20795</t>
        </is>
      </c>
      <c r="C3959" s="23" t="inlineStr">
        <is>
          <t>ОИ РОСС</t>
        </is>
      </c>
      <c r="D3959" s="23" t="inlineStr">
        <is>
          <t>Иловайский Д.И.</t>
        </is>
      </c>
      <c r="E3959" s="23" t="inlineStr">
        <is>
          <t>История России. Московско-литовский период, или Собиратели Руси. Начало XIV — конец XV века</t>
        </is>
      </c>
      <c r="F3959" s="23" t="inlineStr">
        <is>
          <t>        </t>
        </is>
      </c>
      <c r="G3959" s="27" t="n">
        <v>1654</v>
      </c>
      <c r="H3959" s="23" t="n">
        <v>10</v>
      </c>
      <c r="I3959" s="23" t="n">
        <v>8</v>
      </c>
      <c r="J3959" s="23" t="inlineStr">
        <is>
          <t>978-5-227-10393-2</t>
        </is>
      </c>
      <c r="K3959" s="23" t="inlineStr">
        <is>
          <t>60x90 1/16</t>
        </is>
      </c>
      <c r="L3959" s="23" t="inlineStr">
        <is>
          <t>тв</t>
        </is>
      </c>
      <c r="M3959" s="23" t="n">
        <v>575</v>
      </c>
      <c r="N3959" s="23" t="n">
        <v>2023</v>
      </c>
      <c r="O3959" s="23" t="n">
        <v>681</v>
      </c>
      <c r="P3959" s="23" t="n"/>
      <c r="Q3959" s="23" t="n"/>
      <c r="R3959" s="25" t="inlineStr">
        <is>
          <t>Дмитрий Иванович Иловайский — историк, яркий публицист и педагог, общественный деятель, активный противник норманнской государственной теории, автор книг и учебников по истории, это свое исследование посвятил московско-литовскому периоду становления Русского государства в XIV—XV вв. Автор анализирует историю возникновения Московского княжества, его постепенное возвышение; усиление великокняжеской власти, бесконечные междоусобные войны, присоединение Новгорода, Вятки, Перми и других княжеств, а также начало конца многовекового ига — Куликовскую битву. Большое внимание Иловайский уделяет деятельности Русской церкви, культуре и быту жителей русских территорий.</t>
        </is>
      </c>
      <c r="S3959" s="26">
        <f>HYPERLINK("http://www.cnpol.ru/covers/20795.jpg","фото на сайте")</f>
        <v/>
      </c>
    </row>
    <row r="3960" ht="50.1" customHeight="1" s="3">
      <c r="A3960" s="23" t="n"/>
      <c r="B3960" s="24" t="inlineStr">
        <is>
          <t>20967</t>
        </is>
      </c>
      <c r="C3960" s="23" t="inlineStr">
        <is>
          <t>ОИ РОСС</t>
        </is>
      </c>
      <c r="D3960" s="23" t="inlineStr">
        <is>
          <t>Иловайский Д.И.</t>
        </is>
      </c>
      <c r="E3960" s="23" t="inlineStr">
        <is>
          <t>История России. Московско-царский период. XVI век</t>
        </is>
      </c>
      <c r="F3960" s="23" t="inlineStr">
        <is>
          <t>        </t>
        </is>
      </c>
      <c r="G3960" s="27" t="n">
        <v>1747</v>
      </c>
      <c r="H3960" s="23" t="n">
        <v>10</v>
      </c>
      <c r="I3960" s="23" t="n">
        <v>6</v>
      </c>
      <c r="J3960" s="23" t="inlineStr">
        <is>
          <t>978-5-227-10496-0</t>
        </is>
      </c>
      <c r="K3960" s="23" t="inlineStr">
        <is>
          <t>60x90 1/16</t>
        </is>
      </c>
      <c r="L3960" s="23" t="inlineStr">
        <is>
          <t>тв</t>
        </is>
      </c>
      <c r="M3960" s="23" t="n">
        <v>655</v>
      </c>
      <c r="N3960" s="23" t="n">
        <v>2024</v>
      </c>
      <c r="O3960" s="23" t="n">
        <v>737</v>
      </c>
      <c r="P3960" s="23" t="n"/>
      <c r="Q3960" s="23" t="n"/>
      <c r="R3960" s="25" t="inlineStr">
        <is>
          <t>Этим томом выдающийся русский историк, публицист, педагог и общественный деятель Д.И. Иловайский заканчивает исследование эпохи первой русской династии — династии Игоревичей. Затем в русской политической жизни наступает перелом, известный под наименованием Смутного времени. Автор представляет яркую картину становления и усиления русского государства при неуклонном, часто жестком,  объединении удельных княжеств вокруг Московского царства. _x000D__x000D_
Обширные примечания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is>
      </c>
      <c r="S3960" s="26">
        <f>HYPERLINK("http://www.cnpol.ru/covers/20967.jpg","фото на сайте")</f>
        <v/>
      </c>
    </row>
    <row r="3961" ht="50.1" customHeight="1" s="3">
      <c r="A3961" s="23" t="inlineStr">
        <is>
          <t>Н</t>
        </is>
      </c>
      <c r="B3961" s="24" t="inlineStr">
        <is>
          <t>21025</t>
        </is>
      </c>
      <c r="C3961" s="23" t="inlineStr">
        <is>
          <t>ОИ РОСС</t>
        </is>
      </c>
      <c r="D3961" s="23" t="inlineStr">
        <is>
          <t>Иловайский Д.И.</t>
        </is>
      </c>
      <c r="E3961" s="23" t="inlineStr">
        <is>
          <t>История России. Смутное время Московского государства. Окончание истории России при первой династии.</t>
        </is>
      </c>
      <c r="F3961" s="23" t="inlineStr">
        <is>
          <t>        </t>
        </is>
      </c>
      <c r="G3961" s="27" t="n">
        <v>1117</v>
      </c>
      <c r="H3961" s="23" t="n">
        <v>10</v>
      </c>
      <c r="I3961" s="23" t="n">
        <v>12</v>
      </c>
      <c r="J3961" s="23" t="inlineStr">
        <is>
          <t>978-5-227-10583-7</t>
        </is>
      </c>
      <c r="K3961" s="23" t="inlineStr">
        <is>
          <t>60x90 1/16</t>
        </is>
      </c>
      <c r="L3961" s="23" t="inlineStr">
        <is>
          <t>тв</t>
        </is>
      </c>
      <c r="M3961" s="23" t="n">
        <v>351</v>
      </c>
      <c r="N3961" s="23" t="n">
        <v>2024</v>
      </c>
      <c r="O3961" s="23" t="n">
        <v>454</v>
      </c>
      <c r="P3961" s="23" t="n"/>
      <c r="Q3961" s="23" t="n"/>
      <c r="R3961" s="25" t="inlineStr">
        <is>
          <t>Выдающийся русский историк, яркий публицист и общественный деятель Д.И. Иловайский исследует Смутное время – эпоху интервентов, самозванства, предательств, чудовищных разрушений и мощного патриотического движения, организованного лучшими представителями русских людей.  Историк анализирует причины и следствие «адского замысла» против Московского государства, замысла, возникшего и осуществленного в среде враждебной польской и ополяченной западнорусской аристократии, плодом которого явилось самозванство. И хотя от тяжелых последствий Смутного времени Россия излечивалась почти всю первую половину XVII века, автор заключает, что «Москва воздвигала государственное здание прочно и логично и никакие бури и потрясения не могли поколебать его основы». В результате победы русского оружия на историческую сцену выдвигается новая правящая династия – династия Романовых._x000D_
Книгу сопровождают обширные примечания, которые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is>
      </c>
      <c r="S3961" s="26">
        <f>HYPERLINK("http://www.cnpol.ru/covers/21025.jpg","фото на сайте")</f>
        <v/>
      </c>
    </row>
    <row r="3962" ht="50.1" customHeight="1" s="3">
      <c r="A3962" s="23" t="inlineStr">
        <is>
          <t>Н</t>
        </is>
      </c>
      <c r="B3962" s="24" t="inlineStr">
        <is>
          <t>21632</t>
        </is>
      </c>
      <c r="C3962" s="23" t="inlineStr">
        <is>
          <t>ОИ РОСС</t>
        </is>
      </c>
      <c r="D3962" s="23" t="inlineStr">
        <is>
          <t>Шмурло Е.Ф.</t>
        </is>
      </c>
      <c r="E3962" s="23" t="inlineStr">
        <is>
          <t>История России. Судьбоносные события, военные конфликты, великие правители от образования Древнерусского государства до Октябрьской революции. 862—1917 годы</t>
        </is>
      </c>
      <c r="F3962" s="23" t="inlineStr">
        <is>
          <t>        </t>
        </is>
      </c>
      <c r="G3962" s="27" t="n">
        <v>1546</v>
      </c>
      <c r="H3962" s="23" t="n">
        <v>10</v>
      </c>
      <c r="I3962" s="23" t="n">
        <v>4</v>
      </c>
      <c r="J3962" s="23" t="inlineStr">
        <is>
          <t>978-5-227-11032-9</t>
        </is>
      </c>
      <c r="K3962" s="23" t="inlineStr">
        <is>
          <t>84x108 1/32</t>
        </is>
      </c>
      <c r="L3962" s="23" t="inlineStr">
        <is>
          <t>тв</t>
        </is>
      </c>
      <c r="M3962" s="23" t="n">
        <v>671</v>
      </c>
      <c r="N3962" s="23" t="n">
        <v>2025</v>
      </c>
      <c r="O3962" s="23" t="n">
        <v>739</v>
      </c>
      <c r="P3962" s="23" t="n"/>
      <c r="Q3962" s="23" t="n"/>
      <c r="R3962" s="25" t="inlineStr">
        <is>
          <t>Выдающийся ученый, крупнейший историк русского зарубежья Е.Ф. Шмурло (1853—1934) воссоздает историю России с древнейших времен до начала ХХ века в неотрывной связи с историей других народов и стран, как Запада, так и Востока. Рассматривая этапы становления государственности у восточных славян, историк демонстрирует, как складывалось национальное единство и самобытность России, и отмечает особый путь ее социокультурного развития. Повествование сопровождается историографическими экскурсами, портретами правителей и видных государственных деятелей эпохи, перечнями важнейших литературных произведений, научных открытий, а также памятников материальной и духовной культуры каждого из рассмотренных временных пластов.</t>
        </is>
      </c>
      <c r="S3962" s="26">
        <f>HYPERLINK("http://www.cnpol.ru/covers/21632.jpg","фото на сайте")</f>
        <v/>
      </c>
    </row>
    <row r="3963" ht="50.1" customHeight="1" s="3">
      <c r="A3963" s="23" t="inlineStr">
        <is>
          <t>Н</t>
        </is>
      </c>
      <c r="B3963" s="24" t="inlineStr">
        <is>
          <t>21066</t>
        </is>
      </c>
      <c r="C3963" s="23" t="inlineStr">
        <is>
          <t>ОИ РОСС</t>
        </is>
      </c>
      <c r="D3963" s="23" t="inlineStr">
        <is>
          <t>Иловайский Д.И.</t>
        </is>
      </c>
      <c r="E3963" s="23" t="inlineStr">
        <is>
          <t>История России. Эпоха Михаила Федоровича Романова. Конец XVI — первая половина XVII века</t>
        </is>
      </c>
      <c r="F3963" s="23" t="inlineStr">
        <is>
          <t>        </t>
        </is>
      </c>
      <c r="G3963" s="27" t="n">
        <v>1117</v>
      </c>
      <c r="H3963" s="23" t="n">
        <v>10</v>
      </c>
      <c r="I3963" s="23" t="n">
        <v>10</v>
      </c>
      <c r="J3963" s="23" t="inlineStr">
        <is>
          <t>978-5-227-10652-0</t>
        </is>
      </c>
      <c r="K3963" s="23" t="inlineStr">
        <is>
          <t>60x90 1/16</t>
        </is>
      </c>
      <c r="L3963" s="23" t="inlineStr">
        <is>
          <t>тв</t>
        </is>
      </c>
      <c r="M3963" s="23" t="n">
        <v>367</v>
      </c>
      <c r="N3963" s="23" t="n">
        <v>2024</v>
      </c>
      <c r="O3963" s="23" t="n">
        <v>460</v>
      </c>
      <c r="P3963" s="23" t="n"/>
      <c r="Q3963" s="23" t="n"/>
      <c r="R3963" s="25" t="inlineStr">
        <is>
          <t>Выдающийся русский историк, яркий публицист, педагог и общественный деятель Дмитрий Иванович Иловайский в этом томе исследует эпоху первого царя из дома Романовых. После разрушительных бурь Смутного времени наступило сравнительное затишье, когда Русское государство постепенно восстанавливало и укрепляло государственный и общественный порядок вместе с дальнейшим развитием московской централизации. Автор отмечает — лишь смоленская эпопея нарушает относительное спокойствие этой эпохи._x000D_
Обширные примечания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is>
      </c>
      <c r="S3963" s="26">
        <f>HYPERLINK("http://www.cnpol.ru/covers/21066.jpg","фото на сайте")</f>
        <v/>
      </c>
    </row>
    <row r="3964" ht="50.1" customHeight="1" s="3">
      <c r="A3964" s="23" t="n"/>
      <c r="B3964" s="24" t="inlineStr">
        <is>
          <t>20171</t>
        </is>
      </c>
      <c r="C3964" s="23" t="inlineStr">
        <is>
          <t>ОИ РОСС</t>
        </is>
      </c>
      <c r="D3964" s="23" t="inlineStr">
        <is>
          <t>Андоленко С.</t>
        </is>
      </c>
      <c r="E3964" s="23" t="inlineStr">
        <is>
          <t>История русской армии. Cлавные военные традиции российских и советских полководцев</t>
        </is>
      </c>
      <c r="F3964" s="23" t="inlineStr">
        <is>
          <t>        </t>
        </is>
      </c>
      <c r="G3964" s="23" t="n">
        <v>888</v>
      </c>
      <c r="H3964" s="23" t="n">
        <v>10</v>
      </c>
      <c r="I3964" s="23" t="n">
        <v>10</v>
      </c>
      <c r="J3964" s="23" t="inlineStr">
        <is>
          <t>978-5-9524-5689-1</t>
        </is>
      </c>
      <c r="K3964" s="23" t="inlineStr">
        <is>
          <t>84x108 1/32</t>
        </is>
      </c>
      <c r="L3964" s="23" t="inlineStr">
        <is>
          <t>тв</t>
        </is>
      </c>
      <c r="M3964" s="23" t="n">
        <v>479</v>
      </c>
      <c r="N3964" s="23" t="n">
        <v>2022</v>
      </c>
      <c r="O3964" s="23" t="n">
        <v>484</v>
      </c>
      <c r="P3964" s="23" t="n"/>
      <c r="Q3964" s="23" t="n"/>
      <c r="R3964" s="25" t="inlineStr">
        <is>
          <t>Книга историка С.П. Андоленко, обладавшего исключительным военным опытом, приобретенным за годы службы в Иностранном легионе, имеет неоспоримую ценность не только как детальное исследование истории вооруженных сил России, начиная с эпохи реформ Петра I до завершения Второй мировой войны, но и как первое историческое исследование о русской армии, адресованное европейскому читателю. Будучи потомственным военным, сыном русского драгунского офицера, французский бригадный генерал Андоленко рассматривает историю армии далекой родины, не скрывая восхищения доблестью славного русского воинства и патриотизмом русского народа. Книга выстроена в хронологическом порядке и снабжена картами-схемами. На русском языке публикуется впервые.</t>
        </is>
      </c>
      <c r="S3964" s="26">
        <f>HYPERLINK("http://www.cnpol.ru/covers/20171.jpg","фото на сайте")</f>
        <v/>
      </c>
    </row>
    <row r="3965" ht="50.1" customHeight="1" s="3">
      <c r="A3965" s="23" t="inlineStr">
        <is>
          <t>Д</t>
        </is>
      </c>
      <c r="B3965" s="24" t="inlineStr">
        <is>
          <t>21626</t>
        </is>
      </c>
      <c r="C3965" s="23" t="inlineStr">
        <is>
          <t>ОИ РОСС</t>
        </is>
      </c>
      <c r="D3965" s="23" t="inlineStr">
        <is>
          <t>Керсновский А.А.</t>
        </is>
      </c>
      <c r="E3965" s="23" t="inlineStr">
        <is>
          <t>История русской армии. От реформ Александра III до Первой мировой войны. 1881–1917</t>
        </is>
      </c>
      <c r="F3965" s="23" t="n">
        <v>2</v>
      </c>
      <c r="G3965" s="27" t="n">
        <v>1587</v>
      </c>
      <c r="H3965" s="23" t="n">
        <v>10</v>
      </c>
      <c r="I3965" s="23" t="n">
        <v>5</v>
      </c>
      <c r="J3965" s="23" t="inlineStr">
        <is>
          <t>978-5-227-11042-8</t>
        </is>
      </c>
      <c r="K3965" s="23" t="inlineStr">
        <is>
          <t>84x108 1/32</t>
        </is>
      </c>
      <c r="L3965" s="23" t="inlineStr">
        <is>
          <t>тв</t>
        </is>
      </c>
      <c r="M3965" s="23" t="n">
        <v>639</v>
      </c>
      <c r="N3965" s="23" t="n">
        <v>2025</v>
      </c>
      <c r="O3965" s="23" t="n">
        <v>501</v>
      </c>
      <c r="P3965" s="23" t="n"/>
      <c r="Q3965" s="23" t="n"/>
      <c r="R3965" s="25" t="inlineStr">
        <is>
          <t>В данном издании книги военного историка А. Керсновского рассказывается о русской армии конца XIX века, о Русско-японской войне, Портсмуте и Сараево, Первой мировой войне, о борьбе на Кавказе, а также о переосмыслении событий февраля и октября 1917 года.</t>
        </is>
      </c>
      <c r="S3965" s="26">
        <f>HYPERLINK("http://www.cnpol.ru/covers/21626.jpg","фото на сайте")</f>
        <v/>
      </c>
    </row>
    <row r="3966" ht="50.1" customHeight="1" s="3">
      <c r="A3966" s="23" t="inlineStr">
        <is>
          <t>Д</t>
        </is>
      </c>
      <c r="B3966" s="24" t="inlineStr">
        <is>
          <t>21597</t>
        </is>
      </c>
      <c r="C3966" s="23" t="inlineStr">
        <is>
          <t>ОИ РОСС</t>
        </is>
      </c>
      <c r="D3966" s="23" t="inlineStr">
        <is>
          <t>Керсновский А.А.</t>
        </is>
      </c>
      <c r="E3966" s="23" t="inlineStr">
        <is>
          <t>История русской армии. От Северной войны со Швецией до Туркестанских походов. 1700—1881</t>
        </is>
      </c>
      <c r="F3966" s="23" t="n">
        <v>1</v>
      </c>
      <c r="G3966" s="27" t="n">
        <v>1600</v>
      </c>
      <c r="H3966" s="23" t="n">
        <v>10</v>
      </c>
      <c r="I3966" s="23" t="n">
        <v>4</v>
      </c>
      <c r="J3966" s="23" t="inlineStr">
        <is>
          <t>978-5-227-11035-0</t>
        </is>
      </c>
      <c r="K3966" s="23" t="inlineStr">
        <is>
          <t>84x100 1/32</t>
        </is>
      </c>
      <c r="L3966" s="23" t="inlineStr">
        <is>
          <t>тв</t>
        </is>
      </c>
      <c r="M3966" s="23" t="n">
        <v>575</v>
      </c>
      <c r="N3966" s="23" t="n">
        <v>2025</v>
      </c>
      <c r="O3966" s="23" t="n">
        <v>358</v>
      </c>
      <c r="P3966" s="23" t="n"/>
      <c r="Q3966" s="23" t="n"/>
      <c r="R3966" s="25" t="inlineStr">
        <is>
          <t>В настоящую книгу военного историка А. Керсновского вошли материалы о кардинальной реорганизации армии в ходе реформ Петра I 1698 года, после чего были и суровые войны со Швецией, и с Францией, и Семилетняя и Крымская баталии, Туркестанские походы… Основная идея автора – показать самобытность русского военного искусства, мощь русского военного гения.</t>
        </is>
      </c>
      <c r="S3966" s="26">
        <f>HYPERLINK("http://www.cnpol.ru/covers/21597.jpg","фото на сайте")</f>
        <v/>
      </c>
    </row>
    <row r="3967" ht="50.1" customHeight="1" s="3">
      <c r="A3967" s="23" t="n"/>
      <c r="B3967" s="24" t="inlineStr">
        <is>
          <t>20104</t>
        </is>
      </c>
      <c r="C3967" s="23" t="inlineStr">
        <is>
          <t>ОИ РОСС</t>
        </is>
      </c>
      <c r="D3967" s="23" t="inlineStr">
        <is>
          <t>Голубовский П.В.</t>
        </is>
      </c>
      <c r="E3967" s="23" t="inlineStr">
        <is>
          <t>История Смоленской земли до начала XV века</t>
        </is>
      </c>
      <c r="F3967" s="23" t="inlineStr">
        <is>
          <t>        </t>
        </is>
      </c>
      <c r="G3967" s="27" t="n">
        <v>1117</v>
      </c>
      <c r="H3967" s="23" t="n">
        <v>10</v>
      </c>
      <c r="I3967" s="23" t="n">
        <v>12</v>
      </c>
      <c r="J3967" s="23" t="inlineStr">
        <is>
          <t>978-5-227-09800-9</t>
        </is>
      </c>
      <c r="K3967" s="23" t="inlineStr">
        <is>
          <t>84x108 1/32</t>
        </is>
      </c>
      <c r="L3967" s="23" t="inlineStr">
        <is>
          <t>тв</t>
        </is>
      </c>
      <c r="M3967" s="23" t="n">
        <v>383</v>
      </c>
      <c r="N3967" s="23" t="n">
        <v>2022</v>
      </c>
      <c r="O3967" s="23" t="n">
        <v>382</v>
      </c>
      <c r="P3967" s="23" t="n"/>
      <c r="Q3967" s="23" t="n"/>
      <c r="R3967" s="25" t="inlineStr">
        <is>
          <t>Петр Васильевич Голубовский внес значительный вклад в развитие российской науки и истории в частности своими трудами, подробно и всесторонне освещающими затронутые темы. «История Смоленской земли до начала XV века» — одно из таких исследований. В нем профессор Голубовский описывает собирание земель вокруг Смоленска и отношения раздробленной Руси с соседями, такими как Литовское княжество. Особенность работ П.В. Голубовского в том, что он одним из первых в отечественном научном сообществе опирался одновременно на летописные, архивные и археологические источники, тщательно анализируя собранную им обширную фактологическую базу._x000D_
Книга будет интересна как историкам и источниковедам, так и увлекающимся этими науками.</t>
        </is>
      </c>
      <c r="S3967" s="26">
        <f>HYPERLINK("http://www.cnpol.ru/covers/20104.jpg","фото на сайте")</f>
        <v/>
      </c>
    </row>
    <row r="3968" ht="50.1" customHeight="1" s="3">
      <c r="A3968" s="23" t="inlineStr">
        <is>
          <t>Д</t>
        </is>
      </c>
      <c r="B3968" s="24" t="inlineStr">
        <is>
          <t>22116</t>
        </is>
      </c>
      <c r="C3968" s="23" t="inlineStr">
        <is>
          <t>ОИ РОСС</t>
        </is>
      </c>
      <c r="D3968" s="23" t="inlineStr">
        <is>
          <t>Абаза К.К.</t>
        </is>
      </c>
      <c r="E3968" s="23" t="inlineStr">
        <is>
          <t>Казаки. Донцы, уральцы, кубанцы, терцы. Очерки из истории стародавнего казацкого быта в общедоступном изложении</t>
        </is>
      </c>
      <c r="F3968" s="23" t="inlineStr">
        <is>
          <t>        </t>
        </is>
      </c>
      <c r="G3968" s="27" t="n">
        <v>1184</v>
      </c>
      <c r="H3968" s="23" t="n">
        <v>10</v>
      </c>
      <c r="I3968" s="23" t="n">
        <v>10</v>
      </c>
      <c r="J3968" s="23" t="inlineStr">
        <is>
          <t>978-5-227-11291-0</t>
        </is>
      </c>
      <c r="K3968" s="23" t="inlineStr">
        <is>
          <t>84x108 1/32</t>
        </is>
      </c>
      <c r="L3968" s="23" t="inlineStr">
        <is>
          <t>тв</t>
        </is>
      </c>
      <c r="M3968" s="23" t="n">
        <v>414</v>
      </c>
      <c r="N3968" s="23" t="n">
        <v>2026</v>
      </c>
      <c r="O3968" s="23" t="n">
        <v>456</v>
      </c>
      <c r="P3968" s="23" t="n"/>
      <c r="Q3968" s="23" t="n"/>
      <c r="R3968" s="25" t="inlineStr">
        <is>
          <t>Одна из наиболее известных в России до революции книг о казаках была написана автором многих наставлений по подготовке рядового и унтер-офицерского состава военным писателем и педагогом Константином Абазой. Книга дважды была напечатана в конце XIX века и не переиздавалась в СССР. Сегодня мы представляем ее современному читателю. Вас ждут рассказы о возникновении казачества на Дону, о славных страницах военных казачьих походов, описание быта казаков, биографии наиболее ярких представителей казацких атаманов, вождей восстаний, героев, прославивших казаков Дона, Урала, Кубани и Терской области. История России во многом определена казаками. Без этой особой силы на окраинах Московского царства ни Сибирь, ни Дальний Восток, ни Кавказ, ни Причерноморье, ни прикаспийские земли не вошли бы в состав России. В книге использованы иллюстрации 2-го издания 1899 г. и рисунки Н.С. Самокиша.</t>
        </is>
      </c>
      <c r="S3968" s="26">
        <f>HYPERLINK("http://www.cnpol.ru/covers/22116.jpg","фото на сайте")</f>
        <v/>
      </c>
    </row>
    <row r="3969" ht="50.1" customHeight="1" s="3">
      <c r="A3969" s="23" t="inlineStr">
        <is>
          <t>Н</t>
        </is>
      </c>
      <c r="B3969" s="24" t="inlineStr">
        <is>
          <t>21165</t>
        </is>
      </c>
      <c r="C3969" s="23" t="inlineStr">
        <is>
          <t>ОИ РОСС</t>
        </is>
      </c>
      <c r="D3969" s="23" t="inlineStr">
        <is>
          <t>Саван Ж.</t>
        </is>
      </c>
      <c r="E3969" s="23" t="inlineStr">
        <is>
          <t>Казаки. Происхождение. Воинские традиции. Государева служба</t>
        </is>
      </c>
      <c r="F3969" s="23" t="inlineStr">
        <is>
          <t>        </t>
        </is>
      </c>
      <c r="G3969" s="23" t="n">
        <v>593</v>
      </c>
      <c r="H3969" s="23" t="n">
        <v>10</v>
      </c>
      <c r="I3969" s="23" t="n">
        <v>16</v>
      </c>
      <c r="J3969" s="23" t="inlineStr">
        <is>
          <t>978-5-9524-6144-4</t>
        </is>
      </c>
      <c r="K3969" s="23" t="inlineStr">
        <is>
          <t>84x108 1/32</t>
        </is>
      </c>
      <c r="L3969" s="23" t="inlineStr">
        <is>
          <t>тв</t>
        </is>
      </c>
      <c r="M3969" s="23" t="n">
        <v>255</v>
      </c>
      <c r="N3969" s="23" t="n">
        <v>2024</v>
      </c>
      <c r="O3969" s="23" t="n">
        <v>236</v>
      </c>
      <c r="P3969" s="23" t="n"/>
      <c r="Q3969" s="23" t="n"/>
      <c r="R3969" s="25" t="inlineStr">
        <is>
          <t>Книга французского историка Жана Савана посвящена истории военно-служилого сословия, стоявшего на страже границ Российской империи и у истоков ее государственности. Автор прослеживает многовековой путь казачества от вольных общин до службы в гвардейских полках Русской императорской армии, описывает историю возникновения одиннадцати казачьих войск, принимавших участие в военных кампаниях, покорении Сибири и освоении земель Дальнего Востока. Профессор Саван, опираясь на этнографические исследования, рассказывает об уникальных внешних чертах, характерных для казаков и казачек Области войска Донского, Кавказа, Урала, Забайкалья и других мест расселения, о традициях и обычаях вольных людей, сохранявших не только память о военной славе, но и самобытное творческое наследие.</t>
        </is>
      </c>
      <c r="S3969" s="26">
        <f>HYPERLINK("http://www.cnpol.ru/covers/21165.jpg","фото на сайте")</f>
        <v/>
      </c>
    </row>
    <row r="3970" ht="50.1" customHeight="1" s="3">
      <c r="A3970" s="23" t="inlineStr">
        <is>
          <t>Н</t>
        </is>
      </c>
      <c r="B3970" s="24" t="inlineStr">
        <is>
          <t>21521</t>
        </is>
      </c>
      <c r="C3970" s="23" t="inlineStr">
        <is>
          <t>ОИ РОСС</t>
        </is>
      </c>
      <c r="D3970" s="23" t="inlineStr">
        <is>
          <t>Захарова О.Ю.</t>
        </is>
      </c>
      <c r="E3970" s="23" t="inlineStr">
        <is>
          <t>Картины светской жизни Москвы, Петербурга, Парижа, Брюсселя, Вильно, Вены. Первая половина XIX века. Балы, приемы, гулянья, маскарады</t>
        </is>
      </c>
      <c r="F3970" s="23" t="inlineStr">
        <is>
          <t>        </t>
        </is>
      </c>
      <c r="G3970" s="27" t="n">
        <v>1405</v>
      </c>
      <c r="H3970" s="23" t="n">
        <v>10</v>
      </c>
      <c r="I3970" s="23" t="n">
        <v>7</v>
      </c>
      <c r="J3970" s="23" t="inlineStr">
        <is>
          <t>978-5-9524-6185-7</t>
        </is>
      </c>
      <c r="K3970" s="23" t="inlineStr">
        <is>
          <t>84x108 1/32</t>
        </is>
      </c>
      <c r="L3970" s="23" t="inlineStr">
        <is>
          <t>тв</t>
        </is>
      </c>
      <c r="M3970" s="23" t="n">
        <v>271</v>
      </c>
      <c r="N3970" s="23" t="n">
        <v>2025</v>
      </c>
      <c r="O3970" s="23" t="n">
        <v>455</v>
      </c>
      <c r="P3970" s="23" t="n"/>
      <c r="Q3970" s="23" t="n"/>
      <c r="R3970" s="25" t="inlineStr">
        <is>
          <t>В последнее время в России необычайно возрос интерес к истории русских балов. Книга доктора исторических наук, профессора О.Ю. Захаровой продолжает знакомить читателей с историей бальной культуры России. На сей раз автор подробно рассматривает культуру первой половины XIX столетия._x000D_
Танцевальный вечер — это не простое развлечение, а регламентированный ритуал, где важна каждая деталь, начиная от манер поведения и заканчивая костюмом. На балах вершились судьбы народа, создавалось общественное мнение. Автор показывает специфику русского бала, его сложную, противоречивую природу. _x000D_
В книге представлены программы балов первой половины XIX века, правила хорошего тона, а уникальные ноты и ценные фотографии, многие из которых публикуются впервые, дополняют и украшают издание.</t>
        </is>
      </c>
      <c r="S3970" s="26">
        <f>HYPERLINK("http://www.cnpol.ru/covers/21521.jpg","фото на сайте")</f>
        <v/>
      </c>
    </row>
    <row r="3971" ht="50.1" customHeight="1" s="3">
      <c r="A3971" s="23" t="inlineStr">
        <is>
          <t>Д</t>
        </is>
      </c>
      <c r="B3971" s="24" t="inlineStr">
        <is>
          <t>22030</t>
        </is>
      </c>
      <c r="C3971" s="23" t="inlineStr">
        <is>
          <t>ОИ РОСС</t>
        </is>
      </c>
      <c r="D3971" s="23" t="inlineStr">
        <is>
          <t>Филимонов Б.Б.</t>
        </is>
      </c>
      <c r="E3971" s="23" t="inlineStr">
        <is>
          <t>Конец белого Приморья. Последний поход белоповстанческой армии</t>
        </is>
      </c>
      <c r="F3971" s="23" t="inlineStr">
        <is>
          <t>        </t>
        </is>
      </c>
      <c r="G3971" s="27" t="n">
        <v>1009</v>
      </c>
      <c r="H3971" s="23" t="n">
        <v>10</v>
      </c>
      <c r="I3971" s="23" t="n">
        <v>10</v>
      </c>
      <c r="J3971" s="23" t="inlineStr">
        <is>
          <t>978-5-9524-6630-2</t>
        </is>
      </c>
      <c r="K3971" s="23" t="inlineStr">
        <is>
          <t>84x108 1/16</t>
        </is>
      </c>
      <c r="L3971" s="23" t="inlineStr">
        <is>
          <t>тв</t>
        </is>
      </c>
      <c r="M3971" s="23" t="n">
        <v>319</v>
      </c>
      <c r="N3971" s="23" t="n">
        <v>2026</v>
      </c>
      <c r="O3971" s="23" t="n">
        <v>372</v>
      </c>
      <c r="P3971" s="23" t="n"/>
      <c r="Q3971" s="23" t="n"/>
      <c r="R3971" s="25" t="inlineStr">
        <is>
          <t>Настоящая книга офицера-артиллериста Б. Филимонова является продолжением двух его книг «Белоповстанцы» и охватывает события лета и осени 1922 года, происходившие в Приморском крае, повествует о так называемом Дальневосточном исходе белогвардейцев и интервентов из России в Китай. По выражению автора, он хотел сохранить для поколений «дела и труды своих друзей и соратников».</t>
        </is>
      </c>
      <c r="S3971" s="26">
        <f>HYPERLINK("http://www.cnpol.ru/covers/22030.jpg","фото на сайте")</f>
        <v/>
      </c>
    </row>
    <row r="3972" ht="50.1" customHeight="1" s="3">
      <c r="A3972" s="23" t="inlineStr">
        <is>
          <t>Д</t>
        </is>
      </c>
      <c r="B3972" s="24" t="inlineStr">
        <is>
          <t>21861</t>
        </is>
      </c>
      <c r="C3972" s="23" t="inlineStr">
        <is>
          <t>ОИ РОСС</t>
        </is>
      </c>
      <c r="D3972" s="23" t="inlineStr">
        <is>
          <t>Фалин В.М.</t>
        </is>
      </c>
      <c r="E3972" s="23" t="inlineStr">
        <is>
          <t>Конфликты в Кремле. Сумерки богов по-русски</t>
        </is>
      </c>
      <c r="F3972" s="23" t="inlineStr">
        <is>
          <t>        </t>
        </is>
      </c>
      <c r="G3972" s="23" t="n">
        <v>988</v>
      </c>
      <c r="H3972" s="23" t="n">
        <v>10</v>
      </c>
      <c r="I3972" s="23" t="n">
        <v>4</v>
      </c>
      <c r="J3972" s="23" t="inlineStr">
        <is>
          <t>978-5-227-11174-6</t>
        </is>
      </c>
      <c r="K3972" s="23" t="inlineStr">
        <is>
          <t>84x108 1/32</t>
        </is>
      </c>
      <c r="L3972" s="23" t="inlineStr">
        <is>
          <t>тв</t>
        </is>
      </c>
      <c r="M3972" s="23" t="n">
        <v>334</v>
      </c>
      <c r="N3972" s="23" t="n">
        <v>2025</v>
      </c>
      <c r="O3972" s="23" t="n">
        <v>472</v>
      </c>
      <c r="P3972" s="23" t="n"/>
      <c r="Q3972" s="23" t="n"/>
      <c r="R3972" s="25" t="inlineStr">
        <is>
          <t>Эта книга — не сведение счетов. Автору важнее было показать, что крушение Советского Союза обусловливалось не только и, судя по фактам, не столько императивами, парализовавшими рефлексы самосохранения нации, сколько спецификой властных структур и личными качествами, присущими последним руководителям СССР. _x000D_
На каждой ступени перестройки давались варианты, имелся выбор. Право решающего вердикта принадлежало, однако, единолично М.С. Горбачеву. Он не делился этим правом ни с кем — ни с парламентом, ни с правительством, ни с коллегами в Политбюро ЦК партии, ни с партией как институтом. Приняв сан президента, М.С. Горбачев и вовсе вознесся над Конституцией и народной волей, выраженной в ходе общесоюзного референдума. Если не застревать на форме — она могла быть и бархатной, — но последний советский правитель ни на йоту не отступил от авторитаризма. Напротив, при нем авторитаризм расцвел «самым махровым» цветом.</t>
        </is>
      </c>
      <c r="S3972" s="26">
        <f>HYPERLINK("http://www.cnpol.ru/covers/21861.jpg","фото на сайте")</f>
        <v/>
      </c>
    </row>
    <row r="3973" ht="50.1" customHeight="1" s="3">
      <c r="A3973" s="23" t="n"/>
      <c r="B3973" s="24" t="inlineStr">
        <is>
          <t>20686</t>
        </is>
      </c>
      <c r="C3973" s="23" t="inlineStr">
        <is>
          <t>ОИ РОСС</t>
        </is>
      </c>
      <c r="D3973" s="23" t="inlineStr">
        <is>
          <t>Бьюкенен М.</t>
        </is>
      </c>
      <c r="E3973" s="23" t="inlineStr">
        <is>
          <t>Крушение великой империи. Дочь посла Великобритании о революционной России</t>
        </is>
      </c>
      <c r="F3973" s="23" t="inlineStr">
        <is>
          <t>        </t>
        </is>
      </c>
      <c r="G3973" s="23" t="n">
        <v>508</v>
      </c>
      <c r="H3973" s="23" t="n">
        <v>10</v>
      </c>
      <c r="I3973" s="23" t="n">
        <v>16</v>
      </c>
      <c r="J3973" s="23" t="inlineStr">
        <is>
          <t>978-5-9524-5720-1</t>
        </is>
      </c>
      <c r="K3973" s="23" t="inlineStr">
        <is>
          <t>84x108 1/32</t>
        </is>
      </c>
      <c r="L3973" s="23" t="inlineStr">
        <is>
          <t>тв</t>
        </is>
      </c>
      <c r="M3973" s="23" t="n">
        <v>255</v>
      </c>
      <c r="N3973" s="23" t="n">
        <v>2023</v>
      </c>
      <c r="O3973" s="23" t="n">
        <v>236</v>
      </c>
      <c r="P3973" s="23" t="n"/>
      <c r="Q3973" s="23" t="n"/>
      <c r="R3973" s="25" t="inlineStr">
        <is>
          <t>Воспоминания Мириэл Бьюкенен (1886–1959) — дочери последнего британского посла в Российской империи Джорджа Бьюкенена, известного русским читателям своими мемуарами, — посвящены событиям восьми лет, предшествовавшим революции. В первой части книги автор описывает прибытие в Петербург осенью 1910 года, знакомство с императорской семьей, представителями высшего света и членами дипломатического корпуса. Мириэл, выполнявшая по поручению отца «светские обязанности» дипломатической службы, рассказывает не только о жизни при дворе, балах и приемах, но и об особенностях «русской жизни»: праздниках, традициях, быте простого народа, положении женщин, а также о политической ситуации в стране накануне Первой мировой войны. Во второй части книги говорится о драматических событиях, ускоривших падение великой державы: убийстве Распутина, череде восстаний и переворотов, расстреле царской семьи, после которых семья посла была вынуждена навсегда покинуть страну. Воспоминания Мириэл Бьюкенен в России публикуются впервые.</t>
        </is>
      </c>
      <c r="S3973" s="26">
        <f>HYPERLINK("http://www.cnpol.ru/covers/20686.jpg","фото на сайте")</f>
        <v/>
      </c>
    </row>
    <row r="3974" ht="50.1" customHeight="1" s="3">
      <c r="A3974" s="23" t="inlineStr">
        <is>
          <t>Н</t>
        </is>
      </c>
      <c r="B3974" s="24" t="inlineStr">
        <is>
          <t>21269</t>
        </is>
      </c>
      <c r="C3974" s="23" t="inlineStr">
        <is>
          <t>ОИ РОСС</t>
        </is>
      </c>
      <c r="D3974" s="23" t="inlineStr">
        <is>
          <t>Назанский В.И.</t>
        </is>
      </c>
      <c r="E3974" s="23" t="inlineStr">
        <is>
          <t>Крушение великой России и Дома Романовых. Воспоминания помощника московского градоначальника</t>
        </is>
      </c>
      <c r="F3974" s="23" t="inlineStr">
        <is>
          <t>        </t>
        </is>
      </c>
      <c r="G3974" s="27" t="n">
        <v>1265</v>
      </c>
      <c r="H3974" s="23" t="n">
        <v>10</v>
      </c>
      <c r="I3974" s="23" t="n">
        <v>8</v>
      </c>
      <c r="J3974" s="23" t="inlineStr">
        <is>
          <t>978-5-227-10433-5</t>
        </is>
      </c>
      <c r="K3974" s="23" t="inlineStr">
        <is>
          <t>84x108 1/32</t>
        </is>
      </c>
      <c r="L3974" s="23" t="inlineStr">
        <is>
          <t>тв</t>
        </is>
      </c>
      <c r="M3974" s="23" t="n">
        <v>447</v>
      </c>
      <c r="N3974" s="23" t="n">
        <v>2024</v>
      </c>
      <c r="O3974" s="23" t="n">
        <v>301</v>
      </c>
      <c r="P3974" s="23" t="n"/>
      <c r="Q3974" s="23" t="n"/>
      <c r="R3974" s="25" t="inlineStr">
        <is>
          <t>Автор этой книги Владимир Иванович Назанский (1877—1939) говорил о себе: «Многое мои глаза видели на скромном моем посту в третьих рядах носителей исполнительной власти, многого привелось мне быть очевидцем до и после крушения России в 1917 году — многих малых и больших событий свидетелем Господь меня поставил». «До и после» 1917 года упомянуто им не случайно. Это — роковой перелом, разделивший его жизнь на две части. В одной Назанский — помощник московского градоначальника, полковник конной артиллерии Императорской русской армии, родовитый дворянин, монархист, по собственным словам: «один из бесчисленных верноподданных русского царя и служилых людей Российского государства»… В другой — все потерявший белый эмигрант, которого ждали лишь горькие годы долгого изгнания. Неудивительно, что он не смог полностью разорвать связь с Россией, постоянно возвращаясь к ней и мыслями, и душой. Раздумывая в изгнании о том, что привело императорскую Россию к краху, Назанский составил «летопись» исторических событий, кропотливо отбирая факты и опираясь на данные архивов, личные собрания документов представителей эмиграции, рассказы очевидцев, статьи из дореволюционной, советской, белоэмигрантской и западной прессы, труды ученых, письма, политические памфлеты и пр. И на собственные воспоминания и впечатления, так как и сам он всегда был в гуще описанных событий. Именовал свой труд В.И. Назанский «Книгой русской скорби»…</t>
        </is>
      </c>
      <c r="S3974" s="26">
        <f>HYPERLINK("http://www.cnpol.ru/covers/21269.jpg","фото на сайте")</f>
        <v/>
      </c>
    </row>
    <row r="3975" ht="50.1" customHeight="1" s="3">
      <c r="A3975" s="23" t="inlineStr">
        <is>
          <t>Н</t>
        </is>
      </c>
      <c r="B3975" s="24" t="inlineStr">
        <is>
          <t>21139</t>
        </is>
      </c>
      <c r="C3975" s="23" t="inlineStr">
        <is>
          <t>ОИ РОСС</t>
        </is>
      </c>
      <c r="D3975" s="23" t="inlineStr">
        <is>
          <t>Родзянко М.В.</t>
        </is>
      </c>
      <c r="E3975" s="23" t="inlineStr">
        <is>
          <t>Крушение империи. Записки председателя Государственной думы</t>
        </is>
      </c>
      <c r="F3975" s="23" t="inlineStr">
        <is>
          <t>        </t>
        </is>
      </c>
      <c r="G3975" s="23" t="n">
        <v>976</v>
      </c>
      <c r="H3975" s="23" t="n">
        <v>10</v>
      </c>
      <c r="I3975" s="23" t="n">
        <v>12</v>
      </c>
      <c r="J3975" s="23" t="inlineStr">
        <is>
          <t>978-5-227-10431-1</t>
        </is>
      </c>
      <c r="K3975" s="23" t="inlineStr">
        <is>
          <t>84x108 1/32</t>
        </is>
      </c>
      <c r="L3975" s="23" t="inlineStr">
        <is>
          <t>тв</t>
        </is>
      </c>
      <c r="M3975" s="23" t="n">
        <v>287</v>
      </c>
      <c r="N3975" s="23" t="n">
        <v>2024</v>
      </c>
      <c r="O3975" s="23" t="n">
        <v>354</v>
      </c>
      <c r="P3975" s="23" t="n"/>
      <c r="Q3975" s="23" t="n"/>
      <c r="R3975" s="25" t="inlineStr">
        <is>
          <t>Михаил Владимирович Родзянко относился к государственной и политической элите Российской империи. Действительный статский советник, камергер, член Государственного совета, депутат Третьей и Четвертой Государственных дум, в 1911—1917 гг. — председатель Государственной думы. Основатель Союза 17 октября… По роду деятельности он оказался причастен к ключевым событиям российской истории, лично знал многих ее персонажей, оставивших след на страницах учебников и… нажил немало врагов. Прежде всего, председателю Думы не могли простить его роль в событиях Февральской революции 1917 года; в среде белой эмиграции Родзянко даже ставили в вину, что ход истории принял именно такой оборот — отречение императора, крушение империи и всю последующую цепь событий лично Родзянко и другие облеченные властью лица должны были предотвратить. Возможно ли это было в 1917 году?_x000D_
Бывший председатель Государственной думы излагает свой взгляд на политическую жизнь Российской империи в предреволюционные годы.</t>
        </is>
      </c>
      <c r="S3975" s="26">
        <f>HYPERLINK("http://www.cnpol.ru/covers/21139.jpg","фото на сайте")</f>
        <v/>
      </c>
    </row>
    <row r="3976" ht="50.1" customHeight="1" s="3">
      <c r="A3976" s="23" t="inlineStr">
        <is>
          <t>Н</t>
        </is>
      </c>
      <c r="B3976" s="24" t="inlineStr">
        <is>
          <t>22190</t>
        </is>
      </c>
      <c r="C3976" s="23" t="inlineStr">
        <is>
          <t>ОИ РОСС</t>
        </is>
      </c>
      <c r="D3976" s="23" t="inlineStr">
        <is>
          <t>Бергер И.</t>
        </is>
      </c>
      <c r="E3976" s="23" t="inlineStr">
        <is>
          <t>Крушение поколения. Двадцать лет в сталинских лагерях. 1935—1956</t>
        </is>
      </c>
      <c r="F3976" s="23" t="inlineStr">
        <is>
          <t>        </t>
        </is>
      </c>
      <c r="G3976" s="23" t="n">
        <v>936</v>
      </c>
      <c r="H3976" s="23" t="n">
        <v>10</v>
      </c>
      <c r="I3976" s="23" t="n">
        <v>10</v>
      </c>
      <c r="J3976" s="23" t="inlineStr">
        <is>
          <t>978-5-227-11256-9</t>
        </is>
      </c>
      <c r="K3976" s="23" t="inlineStr">
        <is>
          <t>84x108 1/32</t>
        </is>
      </c>
      <c r="L3976" s="23" t="inlineStr">
        <is>
          <t>тв</t>
        </is>
      </c>
      <c r="M3976" s="23" t="n">
        <v>287</v>
      </c>
      <c r="N3976" s="23" t="n">
        <v>2026</v>
      </c>
      <c r="O3976" s="23" t="n">
        <v>398</v>
      </c>
      <c r="P3976" s="23" t="n"/>
      <c r="Q3976" s="23" t="n"/>
      <c r="R3976" s="25" t="inlineStr">
        <is>
          <t>Воспоминания Иосифа Бергера (1904—1978) — одного из основателей компартии Палестины, руководителя Ближневосточного отдела Коминтерна, попавшего в жернова репрессий, — это достоверное свидетельство о трагической судьбе поколения революционеров в эпоху Большого террора. Автор, отбывавший срок на Соловках и в лагерях Сибири, детально описывает быт и устройство жизни за колючей проволокой, рассказывает о товарищах по заключению — старых большевиках, соратниках Ленина, простых рабочих и представителях интеллигенции, приводит малоизвестные данные о Юрии Есенине, сыне поэта, осужденном за участие в «заговоре террористов». Иосиф Бергер-Барзилай — один из немногих видных партийцев, выживших в сталинских лагерях, — на страницах своей книги размышляет о природе власти, цене человеческой жизни и рассматривает ключевые процессы эпохи глазами политзаключенного-иностранца.</t>
        </is>
      </c>
      <c r="S3976" s="26">
        <f>HYPERLINK("http://www.cnpol.ru/covers/22190.jpg","фото на сайте")</f>
        <v/>
      </c>
    </row>
    <row r="3977" ht="50.1" customHeight="1" s="3">
      <c r="A3977" s="23" t="inlineStr">
        <is>
          <t>Н</t>
        </is>
      </c>
      <c r="B3977" s="24" t="inlineStr">
        <is>
          <t>21355</t>
        </is>
      </c>
      <c r="C3977" s="23" t="inlineStr">
        <is>
          <t>ОИ РОСС</t>
        </is>
      </c>
      <c r="D3977" s="23" t="inlineStr">
        <is>
          <t>Елисеев Ф.И.</t>
        </is>
      </c>
      <c r="E3977" s="23" t="inlineStr">
        <is>
          <t>Лабинцы. Побег из красной России. Последний этап Белой борьбы Кубанского Казачьего Войска</t>
        </is>
      </c>
      <c r="F3977" s="23" t="inlineStr">
        <is>
          <t>        </t>
        </is>
      </c>
      <c r="G3977" s="27" t="n">
        <v>1344</v>
      </c>
      <c r="H3977" s="23" t="n">
        <v>10</v>
      </c>
      <c r="I3977" s="23" t="n">
        <v>6</v>
      </c>
      <c r="J3977" s="23" t="inlineStr">
        <is>
          <t>978-5-9524-6242-7</t>
        </is>
      </c>
      <c r="K3977" s="23" t="inlineStr">
        <is>
          <t>60x90 1/16</t>
        </is>
      </c>
      <c r="L3977" s="23" t="inlineStr">
        <is>
          <t>тв</t>
        </is>
      </c>
      <c r="M3977" s="23" t="n">
        <v>459</v>
      </c>
      <c r="N3977" s="23" t="n">
        <v>2024</v>
      </c>
      <c r="O3977" s="23" t="n">
        <v>593</v>
      </c>
      <c r="P3977" s="23" t="n"/>
      <c r="Q3977" s="23" t="n"/>
      <c r="R3977" s="25" t="inlineStr">
        <is>
          <t>Книга посвящена истории последнего этапа Белой борьбы Кубанского Казачьего Войска в начале 1920 г. и раскрывает трагизм положения тысяч кубанских казаков, отступивших с боями на Черноморское побережье и вынужденных сдаться в красный плен. Автор подробно описывает заключение казаков в лагеря, этапы в Москву, на Урал, в Архангельскую губернию и захватывающую историю своего побега из красной России через Финляндию на Запад.</t>
        </is>
      </c>
      <c r="S3977" s="26">
        <f>HYPERLINK("http://www.cnpol.ru/covers/21355.jpg","фото на сайте")</f>
        <v/>
      </c>
    </row>
    <row r="3978" ht="50.1" customHeight="1" s="3">
      <c r="A3978" s="23" t="inlineStr">
        <is>
          <t>Н</t>
        </is>
      </c>
      <c r="B3978" s="24" t="inlineStr">
        <is>
          <t>22070</t>
        </is>
      </c>
      <c r="C3978" s="23" t="inlineStr">
        <is>
          <t>ОИ РОСС</t>
        </is>
      </c>
      <c r="D3978" s="23" t="inlineStr">
        <is>
          <t>Фишер Л.</t>
        </is>
      </c>
      <c r="E3978" s="23" t="inlineStr">
        <is>
          <t>Ленин. Вождь мирового пролетариата и его соратники</t>
        </is>
      </c>
      <c r="F3978" s="23" t="inlineStr">
        <is>
          <t>        </t>
        </is>
      </c>
      <c r="G3978" s="27" t="n">
        <v>1943</v>
      </c>
      <c r="H3978" s="23" t="n">
        <v>10</v>
      </c>
      <c r="I3978" s="23" t="n">
        <v>4</v>
      </c>
      <c r="J3978" s="23" t="inlineStr">
        <is>
          <t>978-5-9524-6646-3</t>
        </is>
      </c>
      <c r="K3978" s="23" t="inlineStr">
        <is>
          <t>84x108 1/32</t>
        </is>
      </c>
      <c r="L3978" s="23" t="inlineStr">
        <is>
          <t>тв</t>
        </is>
      </c>
      <c r="M3978" s="23" t="n">
        <v>895</v>
      </c>
      <c r="N3978" s="23" t="n">
        <v>2026</v>
      </c>
      <c r="O3978" s="23" t="n">
        <v>870</v>
      </c>
      <c r="P3978" s="23" t="n"/>
      <c r="Q3978" s="23" t="n"/>
      <c r="R3978" s="25" t="inlineStr">
        <is>
          <t>В чем заключался гений, позволивший Ленину изменить ход мировой истории, организовав и осуществив революцию, постоянно балансировавшую на грани полного хаоса? Это невероятная сила воли и яркость личности, фантастические организаторские способности и полная преданность делу революции, которые позволили Ленину преодолеть внутренние разногласия и беспорядки, политическое соперничество и экономический крах в стране. Именно его исключительная способность адаптироваться, меняться, использовать любые средства для достижения намеченных целей позволила революции выжить. Об этом книга Луиса Фишера, основанная на тщательном изучении советских источников. Автор впервые встретился с Лениным в 1922 году и оставался преданным исследователем советской политики до конца своей жизни.</t>
        </is>
      </c>
      <c r="S3978" s="26">
        <f>HYPERLINK("http://www.cnpol.ru/covers/22070.jpg","фото на сайте")</f>
        <v/>
      </c>
    </row>
    <row r="3979" ht="50.1" customHeight="1" s="3">
      <c r="A3979" s="23" t="n"/>
      <c r="B3979" s="24" t="inlineStr">
        <is>
          <t>20106</t>
        </is>
      </c>
      <c r="C3979" s="23" t="inlineStr">
        <is>
          <t>ОИ РОСС</t>
        </is>
      </c>
      <c r="D3979" s="23" t="inlineStr">
        <is>
          <t>Первушина Е.В.</t>
        </is>
      </c>
      <c r="E3979" s="23" t="inlineStr">
        <is>
          <t>Любовь в Золотом веке. Удивительные истории любви русских поэтов. Радости и переживания, испытания и трагедии</t>
        </is>
      </c>
      <c r="F3979" s="23" t="inlineStr">
        <is>
          <t>        </t>
        </is>
      </c>
      <c r="G3979" s="23" t="n">
        <v>882</v>
      </c>
      <c r="H3979" s="23" t="n">
        <v>10</v>
      </c>
      <c r="I3979" s="23" t="n">
        <v>10</v>
      </c>
      <c r="J3979" s="23" t="inlineStr">
        <is>
          <t>978-5-227-09716-3</t>
        </is>
      </c>
      <c r="K3979" s="23" t="inlineStr">
        <is>
          <t>84x108 1/32</t>
        </is>
      </c>
      <c r="L3979" s="23" t="inlineStr">
        <is>
          <t>тв</t>
        </is>
      </c>
      <c r="M3979" s="23" t="n">
        <v>446</v>
      </c>
      <c r="N3979" s="23" t="n">
        <v>2022</v>
      </c>
      <c r="O3979" s="23" t="n">
        <v>464</v>
      </c>
      <c r="P3979" s="23" t="n"/>
      <c r="Q3979" s="23" t="n"/>
      <c r="R3979" s="25" t="inlineStr">
        <is>
          <t>Авторы подвергают своих героев «испытаниям любовью», ставят на пути любящих сердец препятствия, которые надо преодолеть. Но самые трудные препятствия, как правило, скрываются в глубинах душ самих любящих, и именно их победить тяжелее всего. Золотой век русской литературы не имеет четких временных границ. Он «растянулся» на весь XIX век, от первых произведений сентиментализма и романтизма до триумфа реализма. В этот период были написаны гениальные стихи и поэмы, великие романы и повести. Это и «Бедная Лиза», и «Евгений Онегин», и «Анна Каренина»… Герои их по-разному проходят испытание любовью, но каждый раз результаты это­го испытания становятся приговором целому поколению. А в то время, когда писались эти произведения, те же испытания проходили и живые люди. И те из них, кто были писателями или поэтами, оставили нам свои записи, благодаря которым мы узнаем, что они переживали. Возможно, познакомившись с историями любви поэтов Золотого века, кто-то решит, что не все из них заслуживают имени настоящих героев своего времени. Может быть даже, они покажутся слабыми и эгоистичными, а их поэзия — просто красивой ложью. Но литература, а особенно поэзия, очень редко создается ради «положительного примера». Ее задача совсем иная — давать утешение тем, кто страдает, напоминать нам всем, что мы — люди, и поэтому мы можем быть добрее друг к другу и становиться лучше. О пробуждении добрых чувств, и прежде всего чувства любви, и о том, с какими испытаниями сталкивалась любовь в благодатном Золотом веке, и пойдет речь в этой книге.</t>
        </is>
      </c>
      <c r="S3979" s="26">
        <f>HYPERLINK("http://www.cnpol.ru/covers/20106.jpg","фото на сайте")</f>
        <v/>
      </c>
    </row>
    <row r="3980" ht="50.1" customHeight="1" s="3">
      <c r="A3980" s="23" t="n"/>
      <c r="B3980" s="24" t="inlineStr">
        <is>
          <t>20036</t>
        </is>
      </c>
      <c r="C3980" s="23" t="inlineStr">
        <is>
          <t>ОИ РОСС</t>
        </is>
      </c>
      <c r="D3980" s="23" t="inlineStr">
        <is>
          <t>Первушина Е.В.</t>
        </is>
      </c>
      <c r="E3980" s="23" t="inlineStr">
        <is>
          <t>Любовь в Серебряном веке. Истории о музах и женах русских поэтов и писателей. Радости и переживания</t>
        </is>
      </c>
      <c r="F3980" s="23" t="inlineStr">
        <is>
          <t>        </t>
        </is>
      </c>
      <c r="G3980" s="23" t="n">
        <v>882</v>
      </c>
      <c r="H3980" s="23" t="n">
        <v>10</v>
      </c>
      <c r="I3980" s="23" t="n">
        <v>8</v>
      </c>
      <c r="J3980" s="23" t="inlineStr">
        <is>
          <t>978-5-227-09726-2</t>
        </is>
      </c>
      <c r="K3980" s="23" t="inlineStr">
        <is>
          <t>84x108 1/32</t>
        </is>
      </c>
      <c r="L3980" s="23" t="inlineStr">
        <is>
          <t>тв</t>
        </is>
      </c>
      <c r="M3980" s="23" t="n">
        <v>446</v>
      </c>
      <c r="N3980" s="23" t="n">
        <v>2021</v>
      </c>
      <c r="O3980" s="23" t="n">
        <v>464</v>
      </c>
      <c r="P3980" s="23" t="n"/>
      <c r="Q3980" s="23" t="n"/>
      <c r="R3980" s="25" t="inlineStr">
        <is>
          <t>К моменту зарождения культуры Серебряного века стране только предстояло пережить Кровавое воскресенье и ужасы Первой мировой. Но предчувствие беды уже зрело. Было ясно, что прежняя жизнь продолжаться не может. И поэзия, музыка, живопись, как натянутые струны, резонировали с этой дрожью… Географические рамки Серебряного века узки — в основном это Москва и Петербург. Большинство поэтов и поэтесс были знакомы и стремились увидеться. И, разумеется, они писали друг другу стихи, и эти стихи лучше всего представляют эпоху. Поэтому они оказались так важны на переломе времен. Проза очерчивает проблемы, поэзия помогает их пережить. Потому что только она может позволить себе обращаться к «голым» эмоциям. Предыдущая эпоха — время «больших» романов Тургенева, Толстого. Теперь романисты уже не успевали за временем. Веку была необходима скорая помощь — стихи! Любовь и смерть — вечные темы для поэзии. Писать и читать о смерти тяжело, но, не помня об этой теме, нависшей над каждым домом, мы не поймем экзальтации людей Серебряного века и их стремления к иной жизни, в царство идей, где людей не преследуют искушения плоти. И не поймем их иступленной любви друг к другу, к близким по духу, к ближним — в самом буквальном и обыденном смысле этого слова. В мифах Музы не только вдохновляют поэтов, они и сами поют гимны, прославляя героев. В Серебряном веке Музы часто сами творцы. Теперь поэт мог получить от дамы сердца не только цветок, но и сонет, а нерадивый любовник мог быть осмеян и прилюдно припечатан едкими ямбами. И это делало любовные отношения по-настоящему сложными и захватывающими.</t>
        </is>
      </c>
      <c r="S3980" s="26">
        <f>HYPERLINK("http://www.cnpol.ru/covers/20036.jpg","фото на сайте")</f>
        <v/>
      </c>
    </row>
    <row r="3981" ht="50.1" customHeight="1" s="3">
      <c r="A3981" s="23" t="n"/>
      <c r="B3981" s="24" t="inlineStr">
        <is>
          <t>20877</t>
        </is>
      </c>
      <c r="C3981" s="23" t="inlineStr">
        <is>
          <t>ОИ РОСС</t>
        </is>
      </c>
      <c r="D3981" s="23" t="inlineStr">
        <is>
          <t>Гусаров А.Ю.</t>
        </is>
      </c>
      <c r="E3981" s="23" t="inlineStr">
        <is>
          <t>Маршал Берия. Штрихи к биографии</t>
        </is>
      </c>
      <c r="F3981" s="23" t="inlineStr">
        <is>
          <t>        </t>
        </is>
      </c>
      <c r="G3981" s="27" t="n">
        <v>1238</v>
      </c>
      <c r="H3981" s="23" t="n">
        <v>10</v>
      </c>
      <c r="I3981" s="23" t="n">
        <v>10</v>
      </c>
      <c r="J3981" s="23" t="inlineStr">
        <is>
          <t>978-5-227-10494-6</t>
        </is>
      </c>
      <c r="K3981" s="23" t="inlineStr">
        <is>
          <t>84x108 1/32</t>
        </is>
      </c>
      <c r="L3981" s="23" t="inlineStr">
        <is>
          <t>тв</t>
        </is>
      </c>
      <c r="M3981" s="23" t="n">
        <v>447</v>
      </c>
      <c r="N3981" s="23" t="n">
        <v>2023</v>
      </c>
      <c r="O3981" s="23" t="n">
        <v>497</v>
      </c>
      <c r="P3981" s="23" t="n"/>
      <c r="Q3981" s="23" t="n"/>
      <c r="R3981" s="25" t="inlineStr">
        <is>
          <t>Лаврентий Павлович Берия — глава НКВД в 1938—1943 гг. и глава объединенного Министерства внутренних дел и государственной безопасности. В 1945—1953 гг. зампредседателя Совета министров СССР, в годы войны член ГКО, представитель Ставки во время обороны Кавказа, маршал СССР. После войны куратор создания атомного и ракетного оружия. Через четыре месяца после смерти И.В. Сталина смещен со всех пос­тов, объявлен английским шпионом, мусаватистом, заговорщиком и расстрелян… В то же время есть и другие версии: убит во время ареста, скрывается за рубежом и т. п. Л.П. Берия — один из немногих деятелей КПСС, кто до сих пор не реабилитирован, хотя его заслуги и вклад в оборону страны мало у кого сегодня вызывают сомнение. Несмотря на то что за последние шестьдесят лет вышли десятки фильмов и книг о Берии, его личность и его история продолжают вызывать интерес. _x000D__x000D_
В предлагаемой читателю книге сделана попытка (со ссылками на всю имеющуюся к настоящему времени в открытом доступе информацию) дать объективную характеристику этому незаурядному деятелю Советского Союза. Издание снабжено архивными документами и фотографиями.</t>
        </is>
      </c>
      <c r="S3981" s="26">
        <f>HYPERLINK("http://www.cnpol.ru/covers/20877.jpg","фото на сайте")</f>
        <v/>
      </c>
    </row>
    <row r="3982" ht="50.1" customHeight="1" s="3">
      <c r="A3982" s="23" t="inlineStr">
        <is>
          <t>Н</t>
        </is>
      </c>
      <c r="B3982" s="24" t="inlineStr">
        <is>
          <t>21929</t>
        </is>
      </c>
      <c r="C3982" s="23" t="inlineStr">
        <is>
          <t>ОИ РОСС</t>
        </is>
      </c>
      <c r="D3982" s="23" t="inlineStr">
        <is>
          <t>Каменев Л.Б.</t>
        </is>
      </c>
      <c r="E3982" s="23" t="inlineStr">
        <is>
          <t>Между двумя революциями</t>
        </is>
      </c>
      <c r="F3982" s="23" t="inlineStr">
        <is>
          <t>        </t>
        </is>
      </c>
      <c r="G3982" s="27" t="n">
        <v>1588</v>
      </c>
      <c r="H3982" s="23" t="n">
        <v>10</v>
      </c>
      <c r="I3982" s="23" t="n">
        <v>8</v>
      </c>
      <c r="J3982" s="23" t="inlineStr">
        <is>
          <t>978-5-9524-6580-0</t>
        </is>
      </c>
      <c r="K3982" s="23" t="inlineStr">
        <is>
          <t>84x108 1/32</t>
        </is>
      </c>
      <c r="L3982" s="23" t="inlineStr">
        <is>
          <t>тв</t>
        </is>
      </c>
      <c r="M3982" s="23" t="n">
        <v>683</v>
      </c>
      <c r="N3982" s="23" t="n">
        <v>2026</v>
      </c>
      <c r="O3982" s="23" t="n">
        <v>680</v>
      </c>
      <c r="P3982" s="23" t="n"/>
      <c r="Q3982" s="23" t="n"/>
      <c r="R3982" s="25" t="inlineStr">
        <is>
          <t>Книга Л.Б. Каменева, политического деятеля, большевика-революционера, одного из членов Политбюро ЦК в 1917 и в 1919—1925 гг., председателя Моссовета в 1918—1926 гг., написана в период между двумя революциями. Обращенная к друзьям, к врагам и молодым членам большевистской партии, она освещает взгляды большевиков на классовый состав русского общества, на ход и тип русской революции, на основные формы революционной борьбы. Автор прослеживает весь ход борьбы большевиков за свои идейно-политические позиции, анализирует ошибки, формулирует задачи и тактику пролетариата в общем демократическом движении.</t>
        </is>
      </c>
      <c r="S3982" s="26">
        <f>HYPERLINK("http://www.cnpol.ru/covers/21929.jpg","фото на сайте")</f>
        <v/>
      </c>
    </row>
    <row r="3983" ht="50.1" customHeight="1" s="3">
      <c r="A3983" s="23" t="inlineStr">
        <is>
          <t>Д</t>
        </is>
      </c>
      <c r="B3983" s="24" t="inlineStr">
        <is>
          <t>22089</t>
        </is>
      </c>
      <c r="C3983" s="23" t="inlineStr">
        <is>
          <t>ОИ РОСС</t>
        </is>
      </c>
      <c r="D3983" s="23" t="inlineStr">
        <is>
          <t>Клейнмихель М.Э.</t>
        </is>
      </c>
      <c r="E3983" s="23" t="inlineStr">
        <is>
          <t>Мемуары знатной дамы: путь от фрейлины до эмигрантки. Из потонувшего мира</t>
        </is>
      </c>
      <c r="F3983" s="23" t="inlineStr">
        <is>
          <t>        </t>
        </is>
      </c>
      <c r="G3983" s="23" t="n">
        <v>888</v>
      </c>
      <c r="H3983" s="23" t="n">
        <v>10</v>
      </c>
      <c r="I3983" s="23" t="n">
        <v>10</v>
      </c>
      <c r="J3983" s="23" t="inlineStr">
        <is>
          <t>978-5-227-10928-6</t>
        </is>
      </c>
      <c r="K3983" s="23" t="inlineStr">
        <is>
          <t>84x108 1/32</t>
        </is>
      </c>
      <c r="L3983" s="23" t="inlineStr">
        <is>
          <t>тв</t>
        </is>
      </c>
      <c r="M3983" s="23" t="n">
        <v>255</v>
      </c>
      <c r="N3983" s="23" t="n">
        <v>2026</v>
      </c>
      <c r="O3983" s="23" t="n">
        <v>316</v>
      </c>
      <c r="P3983" s="23" t="n"/>
      <c r="Q3983" s="23" t="n"/>
      <c r="R3983" s="25" t="inlineStr">
        <is>
          <t>Графиня Мария Эдуардовна Клейнмихель — светская дама из высшего общества Российской империи, пережившая за свою долгую жизнь трех императоров и лично знавшая многих людей, оставивших след в истории. Пройдя путь от юной фрейлины до пожилой хозяйки петербургского салона, по-дружески принимавшей у себя аристократов, министров, генералов и дипломатов, она оказалась причастна ко многим тайнам политической жизни. Ей было уже за 70 лет, когда 1917 год навсегда изменил жизнь в России. Оказавшись в эмиграции, графиня Клейнмихель сочла своим долгом написать воспоминания о «потонувшем мире» Российской империи, ведь ей было что вспомнить.</t>
        </is>
      </c>
      <c r="S3983" s="26">
        <f>HYPERLINK("http://www.cnpol.ru/covers/22089.jpg","фото на сайте")</f>
        <v/>
      </c>
    </row>
    <row r="3984" ht="50.1" customHeight="1" s="3">
      <c r="A3984" s="23" t="inlineStr">
        <is>
          <t>Н</t>
        </is>
      </c>
      <c r="B3984" s="24" t="inlineStr">
        <is>
          <t>22209</t>
        </is>
      </c>
      <c r="C3984" s="23" t="inlineStr">
        <is>
          <t>ОИ РОСС</t>
        </is>
      </c>
      <c r="D3984" s="23" t="inlineStr">
        <is>
          <t>Трубецкой С.Е.</t>
        </is>
      </c>
      <c r="E3984" s="23" t="inlineStr">
        <is>
          <t>Минувшее. Глубоко личные воспоминания, с беспристрастностью документа свидетельствующие о безвозвратно ушедшей царской эпохе и революционном лихолетье</t>
        </is>
      </c>
      <c r="F3984" s="23" t="inlineStr">
        <is>
          <t>        </t>
        </is>
      </c>
      <c r="G3984" s="27" t="n">
        <v>1057</v>
      </c>
      <c r="H3984" s="23" t="n">
        <v>10</v>
      </c>
      <c r="I3984" s="23" t="n">
        <v>10</v>
      </c>
      <c r="J3984" s="23" t="inlineStr">
        <is>
          <t>978-5-9524-6709-5</t>
        </is>
      </c>
      <c r="K3984" s="23" t="inlineStr">
        <is>
          <t>84x108 1/32</t>
        </is>
      </c>
      <c r="L3984" s="23" t="inlineStr">
        <is>
          <t>тв</t>
        </is>
      </c>
      <c r="M3984" s="23" t="n">
        <v>351</v>
      </c>
      <c r="N3984" s="23" t="n">
        <v>2026</v>
      </c>
      <c r="O3984" s="23" t="n">
        <v>406</v>
      </c>
      <c r="P3984" s="23" t="n"/>
      <c r="Q3984" s="23" t="n"/>
      <c r="R3984" s="25" t="inlineStr">
        <is>
          <t>Мемуары князя С.Е. Трубецкого (1890—1949) — это ценный исторический документ, в котором наряду с личными воспоминаниями о детстве, жизни в княжеской усадьбе на одной из тихих улиц старой Москвы запечатлены ключевые события первой трети XX века: череда войн и революций, отречение государя и гибель империи. Особый интерес представляют главы, посвященные службе Трубецкого на санитарном поезде в годы Первой мировой войны, а также рассказ об участии в политическом заговоре и высылке из Советской России на «философском пароходе» после двух лет тюремного заключения.</t>
        </is>
      </c>
      <c r="S3984" s="26">
        <f>HYPERLINK("http://www.cnpol.ru/covers/22209.jpg","фото на сайте")</f>
        <v/>
      </c>
    </row>
    <row r="3985" ht="50.1" customHeight="1" s="3">
      <c r="A3985" s="23" t="inlineStr">
        <is>
          <t>Н</t>
        </is>
      </c>
      <c r="B3985" s="24" t="inlineStr">
        <is>
          <t>21326</t>
        </is>
      </c>
      <c r="C3985" s="23" t="inlineStr">
        <is>
          <t>ОИ РОСС</t>
        </is>
      </c>
      <c r="D3985" s="23" t="inlineStr">
        <is>
          <t>Брусилов А.А.</t>
        </is>
      </c>
      <c r="E3985" s="23" t="inlineStr">
        <is>
          <t>Мои воспоминания. Верховный главнокомандующий Русской армией о службе в Петербурге, сражениях Русско-турецкой и Первой мировой войн</t>
        </is>
      </c>
      <c r="F3985" s="23" t="inlineStr">
        <is>
          <t>        </t>
        </is>
      </c>
      <c r="G3985" s="27" t="n">
        <v>1004</v>
      </c>
      <c r="H3985" s="23" t="n">
        <v>10</v>
      </c>
      <c r="I3985" s="23" t="n">
        <v>14</v>
      </c>
      <c r="J3985" s="23" t="inlineStr">
        <is>
          <t>978-5-227-10806-7</t>
        </is>
      </c>
      <c r="K3985" s="23" t="inlineStr">
        <is>
          <t>84x108 1/32</t>
        </is>
      </c>
      <c r="L3985" s="23" t="inlineStr">
        <is>
          <t>тв</t>
        </is>
      </c>
      <c r="M3985" s="23" t="n">
        <v>287</v>
      </c>
      <c r="N3985" s="23" t="n">
        <v>2024</v>
      </c>
      <c r="O3985" s="23" t="n">
        <v>410</v>
      </c>
      <c r="P3985" s="23" t="n"/>
      <c r="Q3985" s="23" t="n"/>
      <c r="R3985" s="25" t="inlineStr">
        <is>
          <t>В книге выдающегося военачальника Русской императорской армии А.А. Брусилова (1853—1926) изложены воспоминания о детстве, прошедшем на Кавказе, учебе в Пажеском корпусе, службе в Офицерской кавалерийской школе в Петербурге и участии в Русско-турецкой войне 1877—1878 гг., в ходе которой автор отличился при взятии Карса и Ардагана. В мемуарах точно и беспристрастно описаны знаковые моменты Первой мировой войны, одним из которых стало успешное наступление 1916 г., вошедшее в историю как Брусиловский прорыв, и грянувшая в 1917 г. Февральская революция, которую прославленный полководец принял и остался в Советской России, продолжив служить русскому народу.</t>
        </is>
      </c>
      <c r="S3985" s="26">
        <f>HYPERLINK("http://www.cnpol.ru/covers/21326.jpg","фото на сайте")</f>
        <v/>
      </c>
    </row>
    <row r="3986" ht="50.1" customHeight="1" s="3">
      <c r="A3986" s="23" t="inlineStr">
        <is>
          <t>Д</t>
        </is>
      </c>
      <c r="B3986" s="24" t="inlineStr">
        <is>
          <t>22256</t>
        </is>
      </c>
      <c r="C3986" s="23" t="inlineStr">
        <is>
          <t>ОИ РОСС</t>
        </is>
      </c>
      <c r="D3986" s="23" t="inlineStr">
        <is>
          <t>Брусилов А.А.</t>
        </is>
      </c>
      <c r="E3986" s="23" t="inlineStr">
        <is>
          <t>Мои воспоминания. Верховный главнокомандующий Русской армией о службе в Петербурге, сражениях Русско-турецкой и Первой мировой войн</t>
        </is>
      </c>
      <c r="F3986" s="23" t="inlineStr">
        <is>
          <t>        </t>
        </is>
      </c>
      <c r="G3986" s="27" t="n">
        <v>1004</v>
      </c>
      <c r="H3986" s="23" t="n">
        <v>10</v>
      </c>
      <c r="I3986" s="23" t="n">
        <v>10</v>
      </c>
      <c r="J3986" s="23" t="inlineStr">
        <is>
          <t>978-5-227-11366-5</t>
        </is>
      </c>
      <c r="K3986" s="23" t="inlineStr">
        <is>
          <t>84x108 1/32</t>
        </is>
      </c>
      <c r="L3986" s="23" t="inlineStr">
        <is>
          <t>тв</t>
        </is>
      </c>
      <c r="M3986" s="23" t="n">
        <v>287</v>
      </c>
      <c r="N3986" s="23" t="n">
        <v>2026</v>
      </c>
      <c r="O3986" s="23" t="n">
        <v>360</v>
      </c>
      <c r="P3986" s="23" t="n"/>
      <c r="Q3986" s="23" t="n"/>
      <c r="R3986" s="25" t="inlineStr">
        <is>
          <t>В книге выдающегося военачальника Русской императорской армии А.А. Брусилова (1853—1926) изложены воспоминания о детстве, прошедшем на Кавказе, учебе в Пажеском корпусе, службе в Офицерской кавалерийской школе в Петербурге и участии в Русско-турецкой войне 1877—1878 гг., в ходе которой автор отличился при взятии Карса и Ардагана. В мемуарах точно и беспристрастно описаны знаковые моменты Первой мировой войны, одним из которых стало успешное наступление 1916 г., вошедшее в историю как Брусиловский прорыв, и грянувшая в 1917 г. Февральская революция, которую прославленный полководец принял и остался в Советской России, продолжив служить русскому народу.</t>
        </is>
      </c>
      <c r="S3986" s="26">
        <f>HYPERLINK("http://www.cnpol.ru/covers/22256.jpg","фото на сайте")</f>
        <v/>
      </c>
    </row>
    <row r="3987" ht="50.1" customHeight="1" s="3">
      <c r="A3987" s="23" t="inlineStr">
        <is>
          <t>Д</t>
        </is>
      </c>
      <c r="B3987" s="24" t="inlineStr">
        <is>
          <t>22155</t>
        </is>
      </c>
      <c r="C3987" s="23" t="inlineStr">
        <is>
          <t>ОИ РОСС</t>
        </is>
      </c>
      <c r="D3987" s="23" t="inlineStr">
        <is>
          <t>Захарова О.Ю.</t>
        </is>
      </c>
      <c r="E3987" s="23" t="inlineStr">
        <is>
          <t>Москва дипломатическая. Танцы, теннис, политика, бридж, интимные приемы, «пиджаки» против «фраков»,</t>
        </is>
      </c>
      <c r="F3987" s="23" t="inlineStr">
        <is>
          <t>        </t>
        </is>
      </c>
      <c r="G3987" s="23" t="n">
        <v>887</v>
      </c>
      <c r="H3987" s="23" t="n">
        <v>10</v>
      </c>
      <c r="I3987" s="23" t="n">
        <v>10</v>
      </c>
      <c r="J3987" s="23" t="inlineStr">
        <is>
          <t>978-5-227-11315-3</t>
        </is>
      </c>
      <c r="K3987" s="23" t="inlineStr">
        <is>
          <t>84x108 1/32</t>
        </is>
      </c>
      <c r="L3987" s="23" t="inlineStr">
        <is>
          <t>тв</t>
        </is>
      </c>
      <c r="M3987" s="23" t="n">
        <v>255</v>
      </c>
      <c r="N3987" s="23" t="n">
        <v>2026</v>
      </c>
      <c r="O3987" s="23" t="n">
        <v>329</v>
      </c>
      <c r="P3987" s="23" t="n"/>
      <c r="Q3987" s="23" t="n"/>
      <c r="R3987" s="25" t="inlineStr">
        <is>
          <t>Новая книга доктора исторических наук, профессора Оксаны Юрьевны Захаровой откроет нам очередные страницы из жизни дипломатического корпуса Москвы. Несмотря на серьезность заданной темы, книга написана очень легко. Страница за страницей мы наблюдаем, как светские беседы на дипломатических приемах плавно перетекают в обсуждение политических проблем. Причем происходит это не за столом переговоров, а, к примеру, за столом для игры в бридж… В главе «Танцующая Москва» читаем о том, что каждый танец в разные периоды истории имел свое смысловое значение, являясь не только организационным звеном, но и своеобразным выразителем идей бального церемониала. Затаив дыхание наблюдаем за жизнью светских львиц советской столицы. Осознаем, насколько трагична порой их судьба… Видим, что советский дипломат, как и каждый гражданин СССР, — это борец за победу коммунистических идей, а «передать» с помощью костюма коллегам из других стран основные догмы марксистского учения — проблема трудная и практически невыполнимая…Узнаем, что в жизни дипкорпуса спорт занимал особое место, будучи не только формой досуга, но и важным средством коммуникации, а Большой театр являлся фактором не только культурной, но и классической дипломатии Советского Союза. Посетим вместе с героями книги официальные и интимные приемы…_x000D_
Читайте, и, как всегда, вместе с этим автором вас ждет увлекательное историческое путешествие, погружение в удивительное переплетение судеб, политики и культуры.</t>
        </is>
      </c>
      <c r="S3987" s="26">
        <f>HYPERLINK("http://www.cnpol.ru/covers/22155.jpg","фото на сайте")</f>
        <v/>
      </c>
    </row>
    <row r="3988" ht="50.1" customHeight="1" s="3">
      <c r="A3988" s="23" t="inlineStr">
        <is>
          <t>Д</t>
        </is>
      </c>
      <c r="B3988" s="24" t="inlineStr">
        <is>
          <t>21856</t>
        </is>
      </c>
      <c r="C3988" s="23" t="inlineStr">
        <is>
          <t>ОИ РОСС</t>
        </is>
      </c>
      <c r="D3988" s="23" t="inlineStr">
        <is>
          <t>Штаден Г.</t>
        </is>
      </c>
      <c r="E3988" s="23" t="inlineStr">
        <is>
          <t>Московия при Иване Грозном. Свидетельства немца - царского опричника</t>
        </is>
      </c>
      <c r="F3988" s="23" t="inlineStr">
        <is>
          <t>        </t>
        </is>
      </c>
      <c r="G3988" s="23" t="n">
        <v>745</v>
      </c>
      <c r="H3988" s="23" t="n">
        <v>10</v>
      </c>
      <c r="I3988" s="23" t="n">
        <v>10</v>
      </c>
      <c r="J3988" s="23" t="inlineStr">
        <is>
          <t>978-5-227-11127-2</t>
        </is>
      </c>
      <c r="K3988" s="23" t="inlineStr">
        <is>
          <t>84x108 1/32</t>
        </is>
      </c>
      <c r="L3988" s="23" t="inlineStr">
        <is>
          <t>тв</t>
        </is>
      </c>
      <c r="M3988" s="23" t="n">
        <v>191</v>
      </c>
      <c r="N3988" s="23" t="n">
        <v>2025</v>
      </c>
      <c r="O3988" s="23" t="n">
        <v>210</v>
      </c>
      <c r="P3988" s="23" t="n"/>
      <c r="Q3988" s="23" t="n"/>
      <c r="R3988" s="25" t="inlineStr">
        <is>
          <t>Немецкий искатель приключений, живший в Московской Руси в XVI столетии, оставил редкие исторические свидетельства. Его записки, найденные в архивах только в ХХ веке, в значительной степени изменили прежние представления об эпохе Ивана Грозного. Особо они ценны тем, что автор был непосредственным участником событий, служил царским опричником, находился в гуще происходящего и даже, по его утверждению, лично встречался с государем. Фон Штаден дает описание административного устройства Московии тех времен, ее судебной системы и войска. Приводит перечень наиболее важных «канцелярий» — приказов, ярко и образно воспроизводит принципы их функционирования, называет имена самых влиятельных в то время князей и бояр. Достаточно подробно характеризует Москву и Кремль, а его описание опричного двора, просуществовавшего менее пяти лет до того, как в 1571 году был полностью сожжен крымским ханом, поистине уникально.</t>
        </is>
      </c>
      <c r="S3988" s="26">
        <f>HYPERLINK("http://www.cnpol.ru/covers/21856.jpg","фото на сайте")</f>
        <v/>
      </c>
    </row>
    <row r="3989" ht="50.1" customHeight="1" s="3">
      <c r="A3989" s="23" t="inlineStr">
        <is>
          <t>Н</t>
        </is>
      </c>
      <c r="B3989" s="24" t="inlineStr">
        <is>
          <t>22241</t>
        </is>
      </c>
      <c r="C3989" s="23" t="inlineStr">
        <is>
          <t>ОИ РОСС</t>
        </is>
      </c>
      <c r="D3989" s="23" t="inlineStr">
        <is>
          <t>Муханова М.</t>
        </is>
      </c>
      <c r="E3989" s="23" t="inlineStr">
        <is>
          <t>Моя императрица. Воспоминания гофмейстерины о двадцати трех годах, проведенных в ближайшем кругу Александры Федоровны от ее свадьбы до дня ссылки</t>
        </is>
      </c>
      <c r="F3989" s="23" t="inlineStr">
        <is>
          <t>        </t>
        </is>
      </c>
      <c r="G3989" s="23" t="n">
        <v>630</v>
      </c>
      <c r="H3989" s="23" t="n">
        <v>10</v>
      </c>
      <c r="I3989" s="23" t="n">
        <v>14</v>
      </c>
      <c r="J3989" s="23" t="inlineStr">
        <is>
          <t>978-5-227-11346-7</t>
        </is>
      </c>
      <c r="K3989" s="23" t="inlineStr">
        <is>
          <t>84x108 1/32</t>
        </is>
      </c>
      <c r="L3989" s="23" t="inlineStr">
        <is>
          <t>тв</t>
        </is>
      </c>
      <c r="M3989" s="23" t="n">
        <v>191</v>
      </c>
      <c r="N3989" s="23" t="n">
        <v>2026</v>
      </c>
      <c r="O3989" s="23" t="n">
        <v>256</v>
      </c>
      <c r="P3989" s="23" t="n"/>
      <c r="Q3989" s="23" t="n"/>
      <c r="R3989" s="25" t="inlineStr">
        <is>
          <t>"Рассказ гофмейстерины российской царицы о жизни монаршего двора охватывает более двух десятилетий. Она служила Александре Федоровне от ее замужества до дня ссылки. Обязанности выполняла далеко не чисто почетные. На ее плечи ложилась ответственность за организацию быта, под ее присмотром находились не только личные драгоценности венценосной госпожи, но и украшения, принадлежащие короне, когда они надевались по торжественным случаям. Она осуществляла контроль за всем, что было связано с парадной и повседневной одеждой царственной персоны, на службе которой состояла,  проверяла оплату ее личных счетов и решала много других хозяйственных вопросов. Об этом ее воспоминания, полные интересных деталей, неизвестных фактов и ярких событий, которыми ей было не дозволено делиться во время службы при дворе даже с близкими и родными.
Впервые издается на русском языке."</t>
        </is>
      </c>
      <c r="S3989" s="26">
        <f>HYPERLINK("http://www.cnpol.ru/covers/22241.jpg","фото на сайте")</f>
        <v/>
      </c>
    </row>
    <row r="3990" ht="50.1" customHeight="1" s="3">
      <c r="A3990" s="23" t="inlineStr">
        <is>
          <t>Д</t>
        </is>
      </c>
      <c r="B3990" s="24" t="inlineStr">
        <is>
          <t>21888</t>
        </is>
      </c>
      <c r="C3990" s="23" t="inlineStr">
        <is>
          <t>ОИ РОСС</t>
        </is>
      </c>
      <c r="D3990" s="23" t="inlineStr">
        <is>
          <t>Барятинская М. С.</t>
        </is>
      </c>
      <c r="E3990" s="23" t="inlineStr">
        <is>
          <t>Моя русская жизнь Воспоминания великосветской дамы 1870-1918</t>
        </is>
      </c>
      <c r="F3990" s="23" t="inlineStr">
        <is>
          <t>        </t>
        </is>
      </c>
      <c r="G3990" s="27" t="n">
        <v>1110</v>
      </c>
      <c r="H3990" s="23" t="n">
        <v>10</v>
      </c>
      <c r="I3990" s="23" t="n">
        <v>10</v>
      </c>
      <c r="J3990" s="23" t="inlineStr">
        <is>
          <t>978-5-9524-6555-8</t>
        </is>
      </c>
      <c r="K3990" s="23" t="inlineStr">
        <is>
          <t>84x108 1/32</t>
        </is>
      </c>
      <c r="L3990" s="23" t="inlineStr">
        <is>
          <t>тв</t>
        </is>
      </c>
      <c r="M3990" s="23" t="n">
        <v>367</v>
      </c>
      <c r="N3990" s="23" t="n">
        <v>2026</v>
      </c>
      <c r="O3990" s="23" t="n">
        <v>430</v>
      </c>
      <c r="P3990" s="23" t="n"/>
      <c r="Q3990" s="23" t="n"/>
      <c r="R3990" s="25" t="inlineStr">
        <is>
          <t>Мемуары великосветской дамы Марии Сергеевны Барятинской, праправнучки фельдмаршала Суворова, жены флигель-адъютанта Николая II, Анатолия Барятинского, в мельчайших деталях восстанавливают тонкости придворного этикета и церемониала. Она вспоминает торжественность коронации и празднования 300-летия Дома Романовых, Европу начала века. Барятинская начинает повествование с описания смерти Александра III и восшествия на престол Николая II, рассказывает о Распутине и убийстве Столыпина, начале войны и о том, как организовывала работу военного госпиталя в Киеве. Мария Сергеевна бережно сохраняла записи о важных и мимолетных происшествиях, ценнейшие свидетельства, полные неповторимого очарования утерянного рая.</t>
        </is>
      </c>
      <c r="S3990" s="26">
        <f>HYPERLINK("http://www.cnpol.ru/covers/21888.jpg","фото на сайте")</f>
        <v/>
      </c>
    </row>
    <row r="3991" ht="50.1" customHeight="1" s="3">
      <c r="A3991" s="23" t="inlineStr">
        <is>
          <t>Д</t>
        </is>
      </c>
      <c r="B3991" s="24" t="inlineStr">
        <is>
          <t>21851</t>
        </is>
      </c>
      <c r="C3991" s="23" t="inlineStr">
        <is>
          <t>ОИ РОСС</t>
        </is>
      </c>
      <c r="D3991" s="23" t="inlineStr">
        <is>
          <t>Макаров Ю.В.</t>
        </is>
      </c>
      <c r="E3991" s="23" t="inlineStr">
        <is>
          <t>Моя служба в старой гвардии. Война и мир офицера Семеновского полка. 1905—1917</t>
        </is>
      </c>
      <c r="F3991" s="23" t="inlineStr">
        <is>
          <t>        </t>
        </is>
      </c>
      <c r="G3991" s="27" t="n">
        <v>1291</v>
      </c>
      <c r="H3991" s="23" t="n">
        <v>10</v>
      </c>
      <c r="I3991" s="23" t="n">
        <v>3</v>
      </c>
      <c r="J3991" s="23" t="inlineStr">
        <is>
          <t>978-5-227-10876-0</t>
        </is>
      </c>
      <c r="K3991" s="23" t="inlineStr">
        <is>
          <t>84x108 1/32</t>
        </is>
      </c>
      <c r="L3991" s="23" t="inlineStr">
        <is>
          <t>тв</t>
        </is>
      </c>
      <c r="M3991" s="23" t="n">
        <v>479</v>
      </c>
      <c r="N3991" s="23" t="n">
        <v>2025</v>
      </c>
      <c r="O3991" s="23" t="n">
        <v>503</v>
      </c>
      <c r="P3991" s="23" t="n"/>
      <c r="Q3991" s="23" t="n"/>
      <c r="R3991" s="25" t="inlineStr">
        <is>
          <t>Юрий Владимирович Макаров — русский дворянин, кадровый офицер гвардии, вся военная служба которого в старой России была связана со знаменитым Семеновским полком, основанным Петром I. Сразу после юнкерского училища Юрий Макаров поступил в лейб-гвардии Семеновский полк и оставался верен ему всю жизнь, даже в те тяжелые времена, когда полк перестал существовать, а его офицеров, уцелевших в боях Первой мировой войны, разметало не только по России, но и по всему миру. Но память о своем полку бывшие семеновцы хранили свято._x000D_
Перед Первой мировой войной Юрий Макаров закончил офицерские курсы восточных языков и был направлен в аппарат Министерства иностранных дел, но сразу после начала войны подал рапорт с просьбой вернуть его в родной полк. Со своим полком Макаров прошел самые трудные периоды войны, когда его подразделения несли гигантские потери, и сам не раз был тяжело ранен, но после лечения возвращался в строй…_x000D_
Но эта книга не только о войне и нелегкой военной службе — «балы, красавицы, лакеи, юнкера» тоже пройдут перед глазами читателя, как и множество офицеров и общественных деятелей, оставивших след в истории, — от полковника Преображенского полка А.П. Кутепова, будущего генерала Белой армии и лидера монархистов, до юного семеновца, подпоручика М.Н. Тухачевского, будущего советского маршала… Юрий Макаров дает широкую картину военной жизни начала ХХ века, рассказывая обо всем с тонким юмором, ярко и образно.</t>
        </is>
      </c>
      <c r="S3991" s="26">
        <f>HYPERLINK("http://www.cnpol.ru/covers/21851.jpg","фото на сайте")</f>
        <v/>
      </c>
    </row>
    <row r="3992" ht="50.1" customHeight="1" s="3">
      <c r="A3992" s="23" t="n"/>
      <c r="B3992" s="24" t="inlineStr">
        <is>
          <t>20959</t>
        </is>
      </c>
      <c r="C3992" s="23" t="inlineStr">
        <is>
          <t>ОИ РОСС</t>
        </is>
      </c>
      <c r="D3992" s="23" t="inlineStr">
        <is>
          <t>Дрейер В.Н.,ф</t>
        </is>
      </c>
      <c r="E3992" s="23" t="inlineStr">
        <is>
          <t>На закате империи. О пережитом в начале ХХ века: дни войн, революций и мира</t>
        </is>
      </c>
      <c r="F3992" s="23" t="inlineStr">
        <is>
          <t>        </t>
        </is>
      </c>
      <c r="G3992" s="23" t="n">
        <v>849</v>
      </c>
      <c r="H3992" s="23" t="n">
        <v>10</v>
      </c>
      <c r="I3992" s="23" t="n">
        <v>14</v>
      </c>
      <c r="J3992" s="23" t="inlineStr">
        <is>
          <t>978-5-227-10427-4</t>
        </is>
      </c>
      <c r="K3992" s="23" t="inlineStr">
        <is>
          <t>84x108 1/32</t>
        </is>
      </c>
      <c r="L3992" s="23" t="inlineStr">
        <is>
          <t>тв</t>
        </is>
      </c>
      <c r="M3992" s="23" t="n">
        <v>255</v>
      </c>
      <c r="N3992" s="23" t="n">
        <v>2024</v>
      </c>
      <c r="O3992" s="23" t="n">
        <v>329</v>
      </c>
      <c r="P3992" s="23" t="n"/>
      <c r="Q3992" s="23" t="n"/>
      <c r="R3992" s="25" t="inlineStr">
        <is>
          <t>Мемуары генерала В.Н. фон Дрейера «На закате империи» были написаны после Второй мировой войны и опубликованы в 1965 году, когда генерал приближался к своему девяностолетию. Но повествование он довел только до начала Гражданской войны в России – роковой черты, разделившей судьбы многих русских людей на «до» и «после». А Владимир фон Дрейер был человеком русским, хотя и с немецкими корнями, православным, из семьи потомственных военных. И для себя он не мыслил другой судьбы, кроме военной службы. Служить ему довелось в Туркестане, в гарнизонах на западной границе, учиться в Академии Генерального штаба в Санкт-Петербурге, воевать на Первой мировой войне… Воевал фон Дрейер героически, оказываясь на самых горячих участках фронта, например, он был одним из немногих офицеров, вырвавшихся с боями из страшного окружения в печально известных Августовских лесах._x000D__x000D_
Жизнь его была полна не только разнообразных приключений, но и необычных встреч. Многие знаменитые исторические персонажи — для него просто друзья, знакомые и сослуживцы… Он служил с Брусиловым, Корниловым, Врангелем и хорошо знал большинство знаменитых генералов первой четверти ХХ века. Будущий советский маршал Шапошников в качестве молодого офицера по прозвищу «мальчик Боря» оказался под началом фон Дрейера… Он вспомнил и рассказал много интересного, причем рассказал неравнодушно, замечательным, богатым русским языком, с юмором, с необычными деталями, как говорится, «с душой»…</t>
        </is>
      </c>
      <c r="S3992" s="26">
        <f>HYPERLINK("http://www.cnpol.ru/covers/20959.jpg","фото на сайте")</f>
        <v/>
      </c>
    </row>
    <row r="3993" ht="50.1" customHeight="1" s="3">
      <c r="A3993" s="23" t="n"/>
      <c r="B3993" s="24" t="inlineStr">
        <is>
          <t>20826</t>
        </is>
      </c>
      <c r="C3993" s="23" t="inlineStr">
        <is>
          <t>ОИ РОСС</t>
        </is>
      </c>
      <c r="D3993" s="23" t="inlineStr">
        <is>
          <t>Аронсон Г.Я.</t>
        </is>
      </c>
      <c r="E3993" s="23" t="inlineStr">
        <is>
          <t>На заре красного террора. ВЧК — Бутырки — Орловский централ</t>
        </is>
      </c>
      <c r="F3993" s="23" t="inlineStr">
        <is>
          <t>        </t>
        </is>
      </c>
      <c r="G3993" s="23" t="n">
        <v>888</v>
      </c>
      <c r="H3993" s="23" t="n">
        <v>10</v>
      </c>
      <c r="I3993" s="23" t="n">
        <v>14</v>
      </c>
      <c r="J3993" s="23" t="inlineStr">
        <is>
          <t>978-5-227-10484-7</t>
        </is>
      </c>
      <c r="K3993" s="23" t="inlineStr">
        <is>
          <t>84x108 1/32</t>
        </is>
      </c>
      <c r="L3993" s="23" t="inlineStr">
        <is>
          <t>тв</t>
        </is>
      </c>
      <c r="M3993" s="23" t="n">
        <v>254</v>
      </c>
      <c r="N3993" s="23" t="n">
        <v>2023</v>
      </c>
      <c r="O3993" s="23" t="n">
        <v>312</v>
      </c>
      <c r="P3993" s="23" t="n"/>
      <c r="Q3993" s="23" t="n"/>
      <c r="R3993" s="25" t="inlineStr">
        <is>
          <t>Автор — бунтарь-революционер, деятель меньшевистской партии. Боролся против монархии и, как следствие, преследовался ею. После Октябрьского переворота также оказался нежелательным элементом. Пройдя с 1918 по 1922 год горнила советских тюрем, одиночную камеру и голодовки, он не только выжил, но и сумел сохранить человеческое достоинство. Опыт пребывания в застенках оказался труден, но не смертелен. После освобождения из заключения и прихода НЭПа, автор, как неугодный новой власти, был выслан за границу, где в 1929 году, в Берлине, впервые вышла эта книга. Его очерки по содержанию своему посвящены не только описанию тюремного быта, но также изображению жизни России на заре красного террора. Если в странах политического бесправия тюрьма всегда — зеркало жизни, то еще резче выступает это явление в революционную эпоху.</t>
        </is>
      </c>
      <c r="S3993" s="26">
        <f>HYPERLINK("http://www.cnpol.ru/covers/20826.jpg","фото на сайте")</f>
        <v/>
      </c>
    </row>
    <row r="3994" ht="50.1" customHeight="1" s="3">
      <c r="A3994" s="23" t="inlineStr">
        <is>
          <t>Н</t>
        </is>
      </c>
      <c r="B3994" s="24" t="inlineStr">
        <is>
          <t>21665</t>
        </is>
      </c>
      <c r="C3994" s="23" t="inlineStr">
        <is>
          <t>ОИ РОСС</t>
        </is>
      </c>
      <c r="D3994" s="23" t="inlineStr">
        <is>
          <t>Хартлинг К.Н.</t>
        </is>
      </c>
      <c r="E3994" s="23" t="inlineStr">
        <is>
          <t>На страже Родины. События во Владивостоке: конец 1919 — начало 1920 г.</t>
        </is>
      </c>
      <c r="F3994" s="23" t="inlineStr">
        <is>
          <t>        </t>
        </is>
      </c>
      <c r="G3994" s="23" t="n">
        <v>835</v>
      </c>
      <c r="H3994" s="23" t="n">
        <v>10</v>
      </c>
      <c r="I3994" s="23" t="n">
        <v>16</v>
      </c>
      <c r="J3994" s="23" t="inlineStr">
        <is>
          <t>978-5-227-10869-2</t>
        </is>
      </c>
      <c r="K3994" s="23" t="inlineStr">
        <is>
          <t>84x108 1/32</t>
        </is>
      </c>
      <c r="L3994" s="23" t="inlineStr">
        <is>
          <t>тв</t>
        </is>
      </c>
      <c r="M3994" s="23" t="n">
        <v>222</v>
      </c>
      <c r="N3994" s="23" t="n">
        <v>2025</v>
      </c>
      <c r="O3994" s="23" t="n">
        <v>265</v>
      </c>
      <c r="P3994" s="23" t="n"/>
      <c r="Q3994" s="23" t="n"/>
      <c r="R3994" s="25" t="inlineStr">
        <is>
          <t>Подполковник Белой армии Карл Николаевич Хартлинг после Гражданской войны покинул Россию, отправился в эмиграцию и обосновался на острове Ява, где в 1935 году, за два года до смерти, написал книгу о событиях Гражданской войны на Дальнем Востоке — прежде всего о мятеже Чехословацкого легиона в конце 1919 года и эсеровском восстании 1920 года во Владивостоке, малоизвестных страницах послереволюционного противостояния людей, оказавшихся по разные стороны фронта… Тема была Хартлингу хорошо знакома — он являлся не просто свидетелем, а участником боев во Владивостоке, когда власть переходила из одних рук в другие...</t>
        </is>
      </c>
      <c r="S3994" s="26">
        <f>HYPERLINK("http://www.cnpol.ru/covers/21665.jpg","фото на сайте")</f>
        <v/>
      </c>
    </row>
    <row r="3995" ht="50.1" customHeight="1" s="3">
      <c r="A3995" s="23" t="inlineStr">
        <is>
          <t>Д</t>
        </is>
      </c>
      <c r="B3995" s="24" t="inlineStr">
        <is>
          <t>22119</t>
        </is>
      </c>
      <c r="C3995" s="23" t="inlineStr">
        <is>
          <t>ОИ РОСС</t>
        </is>
      </c>
      <c r="D3995" s="23" t="inlineStr">
        <is>
          <t>Коринфский А.А.</t>
        </is>
      </c>
      <c r="E3995" s="23" t="inlineStr">
        <is>
          <t>Народная Русь. Круглый год сказаний, поверий, обычаев и пословиц русского народа</t>
        </is>
      </c>
      <c r="F3995" s="23" t="inlineStr">
        <is>
          <t>        </t>
        </is>
      </c>
      <c r="G3995" s="27" t="n">
        <v>1600</v>
      </c>
      <c r="H3995" s="23" t="n">
        <v>10</v>
      </c>
      <c r="I3995" s="23" t="n">
        <v>5</v>
      </c>
      <c r="J3995" s="23" t="inlineStr">
        <is>
          <t>978-5-227-11296-5</t>
        </is>
      </c>
      <c r="K3995" s="23" t="inlineStr">
        <is>
          <t>60x90 1/16</t>
        </is>
      </c>
      <c r="L3995" s="23" t="inlineStr">
        <is>
          <t>тв</t>
        </is>
      </c>
      <c r="M3995" s="23" t="n">
        <v>623</v>
      </c>
      <c r="N3995" s="23" t="n">
        <v>2026</v>
      </c>
      <c r="O3995" s="23" t="n">
        <v>730</v>
      </c>
      <c r="P3995" s="23" t="n"/>
      <c r="Q3995" s="23" t="n"/>
      <c r="R3995" s="25" t="inlineStr">
        <is>
          <t>Певучий, как язык народа, стилизованный под сказания двадцатилетний труд Аполлона Аполлоновича Коринфского, известного фольклориста и поэта, вновь увидел свет. Это плод наблюдений за бытом живущих на земле Русской людей и изучения работ других именитых собирателей фольклора и авторов работ по русской словесности, таких как А.Н. Афанасьев, П.В. Киреевский, И.П. Сахаров и прочие. «Народная Русь» охватывает весь год жизни русского крестьянина: все праздники, ритуалы, пословицы, поговорки и приметы, связанные с тем или иным событием. Также этот труд описывает не только природные жизненные циклы и связанные с ними в народном сознании жития святых, но и жизнь самого человека: от рождения до вхождения в мир иной, от первых колыбельных, которые пела ему матушка, до траурных причитаний и молитв. Познакомится читатель и с богатейшей кладовой мифов и легенд земли Русской: былинными богатырями и чудищами невиданными, а также узнает, как именно, по мнению наших далеких предков, возник мир.</t>
        </is>
      </c>
      <c r="S3995" s="26">
        <f>HYPERLINK("http://www.cnpol.ru/covers/22119.jpg","фото на сайте")</f>
        <v/>
      </c>
    </row>
    <row r="3996" ht="50.1" customHeight="1" s="3">
      <c r="A3996" s="23" t="n"/>
      <c r="B3996" s="24" t="inlineStr">
        <is>
          <t>19936</t>
        </is>
      </c>
      <c r="C3996" s="23" t="inlineStr">
        <is>
          <t>ОИ РОСС</t>
        </is>
      </c>
      <c r="D3996" s="23" t="inlineStr">
        <is>
          <t>Безугольный А.Ю.</t>
        </is>
      </c>
      <c r="E3996" s="23" t="inlineStr">
        <is>
          <t>Национальный состав Красной армии. 1918–1945. Историко-статистическое исследование</t>
        </is>
      </c>
      <c r="F3996" s="23" t="inlineStr">
        <is>
          <t>        </t>
        </is>
      </c>
      <c r="G3996" s="27" t="n">
        <v>1291</v>
      </c>
      <c r="H3996" s="23" t="n">
        <v>10</v>
      </c>
      <c r="I3996" s="23" t="n">
        <v>8</v>
      </c>
      <c r="J3996" s="23" t="inlineStr">
        <is>
          <t>978-5-227-09500-8</t>
        </is>
      </c>
      <c r="K3996" s="23" t="inlineStr">
        <is>
          <t>60x90 1/16</t>
        </is>
      </c>
      <c r="L3996" s="23" t="inlineStr">
        <is>
          <t>тв</t>
        </is>
      </c>
      <c r="M3996" s="23" t="n">
        <v>511</v>
      </c>
      <c r="N3996" s="23" t="n">
        <v>2021</v>
      </c>
      <c r="O3996" s="23" t="n">
        <v>622</v>
      </c>
      <c r="P3996" s="23" t="n"/>
      <c r="Q3996" s="23" t="n"/>
      <c r="R3996" s="25" t="n"/>
      <c r="S3996" s="26">
        <f>HYPERLINK("http://www.cnpol.ru/covers/19936.jpg","фото на сайте")</f>
        <v/>
      </c>
    </row>
    <row r="3997" ht="50.1" customHeight="1" s="3">
      <c r="A3997" s="23" t="n"/>
      <c r="B3997" s="24" t="inlineStr">
        <is>
          <t>20532</t>
        </is>
      </c>
      <c r="C3997" s="23" t="inlineStr">
        <is>
          <t>ОИ РОСС</t>
        </is>
      </c>
      <c r="D3997" s="23" t="inlineStr">
        <is>
          <t>Вернадский Г.В.</t>
        </is>
      </c>
      <c r="E3997" s="23" t="inlineStr">
        <is>
          <t>Начертание русской истории. Создание русским народом евразийского государства</t>
        </is>
      </c>
      <c r="F3997" s="23" t="inlineStr">
        <is>
          <t>        </t>
        </is>
      </c>
      <c r="G3997" s="27" t="n">
        <v>1009</v>
      </c>
      <c r="H3997" s="23" t="n">
        <v>10</v>
      </c>
      <c r="I3997" s="23" t="n">
        <v>12</v>
      </c>
      <c r="J3997" s="23" t="inlineStr">
        <is>
          <t>978-5-9524-5906-9</t>
        </is>
      </c>
      <c r="K3997" s="23" t="inlineStr">
        <is>
          <t>84x108 1/32</t>
        </is>
      </c>
      <c r="L3997" s="23" t="inlineStr">
        <is>
          <t>тв</t>
        </is>
      </c>
      <c r="M3997" s="23" t="n">
        <v>319</v>
      </c>
      <c r="N3997" s="23" t="n">
        <v>2023</v>
      </c>
      <c r="O3997" s="23" t="n">
        <v>353</v>
      </c>
      <c r="P3997" s="23" t="n"/>
      <c r="Q3997" s="23" t="n"/>
      <c r="R3997" s="25" t="inlineStr">
        <is>
          <t>Выдающийся русский и американский историк, профессор Йельского университета, Георгий Вернадский (1887—1973) прослеживает процесс становления России как евразийского государства, начиная с V века до н. э. до создания СССР. Историк рассматривает не только внутреннее развитие русской народности, но и формировавшую ее внешнюю среду и доказывает, что Россия, как территория русского племени, выходила за пределы Восточно-Европейской равнины не только в географическом, но и в культурно-политическом смыслах: «Евразия представляет собою ту наделенную естественными границами географическую область, которую в стихийном историческом процессе суждено было усвоить русскому народу».</t>
        </is>
      </c>
      <c r="S3997" s="26">
        <f>HYPERLINK("http://www.cnpol.ru/covers/20532.jpg","фото на сайте")</f>
        <v/>
      </c>
    </row>
    <row r="3998" ht="50.1" customHeight="1" s="3">
      <c r="A3998" s="23" t="inlineStr">
        <is>
          <t>Д</t>
        </is>
      </c>
      <c r="B3998" s="24" t="inlineStr">
        <is>
          <t>21473</t>
        </is>
      </c>
      <c r="C3998" s="23" t="inlineStr">
        <is>
          <t>ОИ РОСС</t>
        </is>
      </c>
      <c r="D3998" s="23" t="inlineStr">
        <is>
          <t>Соколов А.Р</t>
        </is>
      </c>
      <c r="E3998" s="23" t="inlineStr">
        <is>
          <t>Нерусские русские. История служения России. Иноземные представители семьи Романовых</t>
        </is>
      </c>
      <c r="F3998" s="23" t="inlineStr">
        <is>
          <t>        </t>
        </is>
      </c>
      <c r="G3998" s="27" t="n">
        <v>1286</v>
      </c>
      <c r="H3998" s="23" t="n">
        <v>10</v>
      </c>
      <c r="I3998" s="23" t="n">
        <v>5</v>
      </c>
      <c r="J3998" s="23" t="inlineStr">
        <is>
          <t>978-5-227-09893-1</t>
        </is>
      </c>
      <c r="K3998" s="23" t="inlineStr">
        <is>
          <t>84x108 1/32</t>
        </is>
      </c>
      <c r="L3998" s="23" t="inlineStr">
        <is>
          <t>тв</t>
        </is>
      </c>
      <c r="M3998" s="23" t="n">
        <v>479</v>
      </c>
      <c r="N3998" s="23" t="n">
        <v>2025</v>
      </c>
      <c r="O3998" s="23" t="n">
        <v>378</v>
      </c>
      <c r="P3998" s="23" t="n"/>
      <c r="Q3998" s="23" t="n"/>
      <c r="R3998" s="25" t="inlineStr">
        <is>
          <t>Быть представителем царской семьи — огромная ответственность. И без всякой натяжки можно сказать, что Романовы были великими тружениками. Острое чувство долга являлось общим практически для всех Романовых. Каждый из них знал, что высокое происхождение не только гарантирует ему материальное благосостояние, но и накладывает серьезные обязанности._x000D_
Среди биографий членов этой семьи преобладают не жизнеописания легкомысленных жуиров, а истории служения стране — на государственном поприще, на полях сражений, на ниве благотворительности... Именно о служении Романовых России, служении вопреки собственным страстям и рассказывается в книге._x000D_
Начинается она не с основателя династии Михаила Федоровича, а с его внука Петра I. Такой подход объясняется спецификой задачи, поставленной автором. Речь идет не о том, чтобы поведать о политических и частных тайнах семейства. Тайны Романовых будут рассматриваться постольку, поскольку будут работать на главный замысел книги, заключающийся в том, чтобы разрушить расхожий миф о чуждости Царского дома стране, которой он правил. В основе этого мифа лежат рассуждения о преобладании в крови представителей правящей династии иноземной крови над русской.</t>
        </is>
      </c>
      <c r="S3998" s="26">
        <f>HYPERLINK("http://www.cnpol.ru/covers/21473.jpg","фото на сайте")</f>
        <v/>
      </c>
    </row>
    <row r="3999" ht="50.1" customHeight="1" s="3">
      <c r="A3999" s="23" t="n"/>
      <c r="B3999" s="24" t="inlineStr">
        <is>
          <t>20641</t>
        </is>
      </c>
      <c r="C3999" s="23" t="inlineStr">
        <is>
          <t>ОИ РОСС</t>
        </is>
      </c>
      <c r="D3999" s="23" t="inlineStr">
        <is>
          <t>Пресняков А.Е.</t>
        </is>
      </c>
      <c r="E3999" s="23" t="inlineStr">
        <is>
          <t>Образование Великорусского государства. Очерки по истории XIII—XV столетий</t>
        </is>
      </c>
      <c r="F3999" s="23" t="inlineStr">
        <is>
          <t>        </t>
        </is>
      </c>
      <c r="G3999" s="27" t="n">
        <v>1533</v>
      </c>
      <c r="H3999" s="23" t="n">
        <v>10</v>
      </c>
      <c r="I3999" s="23" t="n">
        <v>5</v>
      </c>
      <c r="J3999" s="23" t="inlineStr">
        <is>
          <t>978-5-227-10355-0</t>
        </is>
      </c>
      <c r="K3999" s="23" t="inlineStr">
        <is>
          <t>84x108 1/32</t>
        </is>
      </c>
      <c r="L3999" s="23" t="inlineStr">
        <is>
          <t>тв</t>
        </is>
      </c>
      <c r="M3999" s="23" t="n">
        <v>607</v>
      </c>
      <c r="N3999" s="23" t="n">
        <v>2023</v>
      </c>
      <c r="O3999" s="23" t="n">
        <v>550</v>
      </c>
      <c r="P3999" s="23" t="n"/>
      <c r="Q3999" s="23" t="n"/>
      <c r="R3999" s="25" t="inlineStr">
        <is>
          <t>Выдающийся российский и советский историк А.Е. Пресняков (1870–1929) на страницах своей книги исследует внутренний строй Владимирского великого княжества и отношения между удельными князьями, потомками Всеволода Большое Гнездо, описывает борьбу Твери и Москвы за великое княжение «всея Руси». Профессор Пресняков прослеживает развитие великокняжеской политики Ивана Даниловича Калиты, направленной на сосредоточение власти в руках московского государя, освещает процесс объединения земель Северо-Восточной Руси и становления Великорусского государства.</t>
        </is>
      </c>
      <c r="S3999" s="26">
        <f>HYPERLINK("http://www.cnpol.ru/covers/20641.jpg","фото на сайте")</f>
        <v/>
      </c>
    </row>
    <row r="4000" ht="50.1" customHeight="1" s="3">
      <c r="A4000" s="23" t="inlineStr">
        <is>
          <t>Д</t>
        </is>
      </c>
      <c r="B4000" s="24" t="inlineStr">
        <is>
          <t>22289</t>
        </is>
      </c>
      <c r="C4000" s="23" t="inlineStr">
        <is>
          <t>ОИ РОСС</t>
        </is>
      </c>
      <c r="D4000" s="23" t="inlineStr">
        <is>
          <t>Акулинин И.Г.</t>
        </is>
      </c>
      <c r="E4000" s="23" t="inlineStr">
        <is>
          <t>Оренбургское казачье войско в борьбе с большевиками. 1917—1920</t>
        </is>
      </c>
      <c r="F4000" s="23" t="inlineStr">
        <is>
          <t>        </t>
        </is>
      </c>
      <c r="G4000" s="23" t="n">
        <v>762</v>
      </c>
      <c r="H4000" s="23" t="n">
        <v>10</v>
      </c>
      <c r="I4000" s="23" t="n">
        <v>10</v>
      </c>
      <c r="J4000" s="23" t="inlineStr">
        <is>
          <t>978-5-227-11380-1</t>
        </is>
      </c>
      <c r="K4000" s="23" t="inlineStr">
        <is>
          <t>84x108 1/32</t>
        </is>
      </c>
      <c r="L4000" s="23" t="inlineStr">
        <is>
          <t>тв</t>
        </is>
      </c>
      <c r="M4000" s="23" t="n">
        <v>191</v>
      </c>
      <c r="N4000" s="23" t="n">
        <v>2026</v>
      </c>
      <c r="O4000" s="23" t="n">
        <v>260</v>
      </c>
      <c r="P4000" s="23" t="n"/>
      <c r="Q4000" s="23" t="n"/>
      <c r="R4000" s="25" t="inlineStr">
        <is>
          <t>Генерал-майор Иван Григорьевич Акулинин — оренбургский казак, участник войн, Русско--японской и Первой мировой, а также повстанческой борьбы оренбургского казачества, помощник войскового атамана, командир I и II казачьих корпусов в 1918—1919 гг. В конце 1919 г. с I корпусом присоединился к повстанческим войскам уральского казачества, когда остальные оренбуржцы отступили с белыми армиями. С остатками уральцев Акулинин покинул Россию. В эмиграции он опубликовал свои воспоминания о борьбе Оренбургского казачьего войска с большевиками с конца 1917 г. до ухода остатков оренбургской армии за границу в начале 1920 г. Автор описывает и анализирует важнейшие события, свидетелем и участником которых он явился, и рассказывает, какие жертвы принесли оренбургские казаки, сражаясь с советской властью. Повествование дополняет история борьбы с большевиками Уральского казачьего войска.</t>
        </is>
      </c>
      <c r="S4000" s="26">
        <f>HYPERLINK("http://www.cnpol.ru/covers/22289.jpg","фото на сайте")</f>
        <v/>
      </c>
    </row>
    <row r="4001" ht="50.1" customHeight="1" s="3">
      <c r="A4001" s="23" t="inlineStr">
        <is>
          <t>Н</t>
        </is>
      </c>
      <c r="B4001" s="24" t="inlineStr">
        <is>
          <t>22098</t>
        </is>
      </c>
      <c r="C4001" s="23" t="inlineStr">
        <is>
          <t>ОИ РОСС</t>
        </is>
      </c>
      <c r="D4001" s="23" t="inlineStr">
        <is>
          <t>Романова А.Ф.</t>
        </is>
      </c>
      <c r="E4001" s="23" t="inlineStr">
        <is>
          <t>Оф.1 Письма императору Николаю II. Июль 1914 — декабрь 1916 (профиль)</t>
        </is>
      </c>
      <c r="F4001" s="23" t="inlineStr">
        <is>
          <t>        </t>
        </is>
      </c>
      <c r="G4001" s="27" t="n">
        <v>1795</v>
      </c>
      <c r="H4001" s="23" t="n">
        <v>10</v>
      </c>
      <c r="I4001" s="23" t="n">
        <v>8</v>
      </c>
      <c r="J4001" s="23" t="inlineStr">
        <is>
          <t>978-5-227-10924-8</t>
        </is>
      </c>
      <c r="K4001" s="23" t="inlineStr">
        <is>
          <t>60x90 1/16</t>
        </is>
      </c>
      <c r="L4001" s="23" t="inlineStr">
        <is>
          <t>тв</t>
        </is>
      </c>
      <c r="M4001" s="23" t="n">
        <v>639</v>
      </c>
      <c r="N4001" s="23" t="n">
        <v>2026</v>
      </c>
      <c r="O4001" s="23" t="n">
        <v>746</v>
      </c>
      <c r="P4001" s="23" t="n"/>
      <c r="Q4001" s="23" t="n"/>
      <c r="R4001" s="25" t="inlineStr">
        <is>
          <t>Письма императрицы Александры Федоровны, написанные ей любимому мужу Николаю II в годы Первой мировой войны, когда супругам приходилось часто расставаться, особенно после того, как государь принял пост Верховного главнокомандующего и находился в Ставке, были очень дороги Николаю Александровичу. Настолько дороги, что, отправляясь из Петрограда в ссылку, ларец с тщательно пронумерованными письмами жены он взял с собой. После расстрела царской семьи и вступления в Екатеринбург белых письма были найдены спрятанными в Ипатьевском доме, в месте последнего заточения и гибели царственных арестантов. Белая армия, отступая, вывезла эту реликвию из Екатеринбурга за границу. Письма императрицы, написанные преимущественно на английском, были переведены известным деятелем кадетской партии В.Д. Набоковым на русский и опубликованы в Берлине в 1922 году в 2-х томах._x000D_
В данное издание вошли все письма императрицы, найденные в царском ларце на месте гибели семьи Романовых. В письмах можно найти не только то, о чем может написать любящая жена своему супругу: рассказы о детях, о друзьях и родственниках, о работе в госпитале для раненых, о болезнях (своих и детей), но и обсуждение политических и военных проблем, советы и рекомендации по государственному управлению, характеристики исторических деятелей. Картина того, как императрица представляла жизнь в России в последний период перед крахом империи, рисуется довольно полной.</t>
        </is>
      </c>
      <c r="S4001" s="26">
        <f>HYPERLINK("http://www.cnpol.ru/covers/22098.jpg","фото на сайте")</f>
        <v/>
      </c>
    </row>
    <row r="4002" ht="50.1" customHeight="1" s="3">
      <c r="A4002" s="23" t="inlineStr">
        <is>
          <t>Н</t>
        </is>
      </c>
      <c r="B4002" s="24" t="inlineStr">
        <is>
          <t>22099</t>
        </is>
      </c>
      <c r="C4002" s="23" t="inlineStr">
        <is>
          <t>ОИ РОСС</t>
        </is>
      </c>
      <c r="D4002" s="23" t="inlineStr">
        <is>
          <t>Романова А.Ф.</t>
        </is>
      </c>
      <c r="E4002" s="23" t="inlineStr">
        <is>
          <t>Оф.2 Письма императору Николаю II. Июль 1914 — декабрь 1916.(пара)</t>
        </is>
      </c>
      <c r="F4002" s="23" t="inlineStr">
        <is>
          <t>        </t>
        </is>
      </c>
      <c r="G4002" s="27" t="n">
        <v>1795</v>
      </c>
      <c r="H4002" s="23" t="n">
        <v>10</v>
      </c>
      <c r="I4002" s="23" t="n">
        <v>8</v>
      </c>
      <c r="J4002" s="23" t="inlineStr">
        <is>
          <t>978-5-227-10925-5</t>
        </is>
      </c>
      <c r="K4002" s="23" t="inlineStr">
        <is>
          <t>60x90 1/16</t>
        </is>
      </c>
      <c r="L4002" s="23" t="inlineStr">
        <is>
          <t>тв</t>
        </is>
      </c>
      <c r="M4002" s="23" t="n">
        <v>639</v>
      </c>
      <c r="N4002" s="23" t="n">
        <v>2026</v>
      </c>
      <c r="O4002" s="23" t="n">
        <v>760</v>
      </c>
      <c r="P4002" s="23" t="n"/>
      <c r="Q4002" s="23" t="n"/>
      <c r="R4002" s="25" t="inlineStr">
        <is>
          <t>Письма императрицы Александры Федоровны, написанные ей любимому мужу Николаю II в годы Первой мировой войны, когда супругам приходилось часто расставаться, особенно после того, как государь принял пост Верховного главнокомандующего и находился в Ставке, были очень дороги Николаю Александровичу. Настолько дороги, что, отправляясь из Петрограда в ссылку, ларец с тщательно пронумерованными письмами жены он взял с собой. После расстрела царской семьи и вступления в Екатеринбург белых письма были найдены спрятанными в Ипатьевском доме, в месте последнего заточения и гибели царственных арестантов. Белая армия, отступая, вывезла эту реликвию из Екатеринбурга за границу. Письма императрицы, написанные преимущественно на английском, были переведены известным деятелем кадетской партии В.Д. Набоковым на русский и опубликованы в Берлине в 1922 году в 2-х томах._x000D_
В данное издание вошли все письма императрицы, найденные в царском ларце на месте гибели семьи Романовых. В письмах можно найти не только то, о чем может написать любящая жена своему супругу: рассказы о детях, о друзьях и родственниках, о работе в госпитале для раненых, о болезнях (своих и детей), но и обсуждение политических и военных проблем, советы и рекомендации по государственному управлению, характеристики исторических деятелей. Картина того, как императрица представляла жизнь в России в последний период перед крахом империи, рисуется довольно полной.</t>
        </is>
      </c>
      <c r="S4002" s="26">
        <f>HYPERLINK("http://www.cnpol.ru/covers/22099.jpg","фото на сайте")</f>
        <v/>
      </c>
    </row>
    <row r="4003" ht="50.1" customHeight="1" s="3">
      <c r="A4003" s="23" t="inlineStr">
        <is>
          <t>Н</t>
        </is>
      </c>
      <c r="B4003" s="24" t="inlineStr">
        <is>
          <t>22100</t>
        </is>
      </c>
      <c r="C4003" s="23" t="inlineStr">
        <is>
          <t>ОИ РОСС</t>
        </is>
      </c>
      <c r="D4003" s="23" t="inlineStr">
        <is>
          <t>Романова А.Ф.</t>
        </is>
      </c>
      <c r="E4003" s="23" t="inlineStr">
        <is>
          <t>Оф.3 Письма императору Николаю II. Июль 1914 — декабрь 1916.(анфас)</t>
        </is>
      </c>
      <c r="F4003" s="23" t="inlineStr">
        <is>
          <t>        </t>
        </is>
      </c>
      <c r="G4003" s="27" t="n">
        <v>1795</v>
      </c>
      <c r="H4003" s="23" t="n">
        <v>10</v>
      </c>
      <c r="I4003" s="23" t="n">
        <v>8</v>
      </c>
      <c r="J4003" s="23" t="inlineStr">
        <is>
          <t>978-5-227-10926-2</t>
        </is>
      </c>
      <c r="K4003" s="23" t="inlineStr">
        <is>
          <t>60x90 1/16</t>
        </is>
      </c>
      <c r="L4003" s="23" t="inlineStr">
        <is>
          <t>тв</t>
        </is>
      </c>
      <c r="M4003" s="23" t="n">
        <v>639</v>
      </c>
      <c r="N4003" s="23" t="n">
        <v>2026</v>
      </c>
      <c r="O4003" s="23" t="n">
        <v>756</v>
      </c>
      <c r="P4003" s="23" t="n"/>
      <c r="Q4003" s="23" t="n"/>
      <c r="R4003" s="25" t="inlineStr">
        <is>
          <t>Письма императрицы Александры Федоровны, написанные ей любимому мужу Николаю II в годы Первой мировой войны, когда супругам приходилось часто расставаться, особенно после того, как государь принял пост Верховного главнокомандующего и находился в Ставке, были очень дороги Николаю Александровичу. Настолько дороги, что, отправляясь из Петрограда в ссылку, ларец с тщательно пронумерованными письмами жены он взял с собой. После расстрела царской семьи и вступления в Екатеринбург белых письма были найдены спрятанными в Ипатьевском доме, в месте последнего заточения и гибели царственных арестантов. Белая армия, отступая, вывезла эту реликвию из Екатеринбурга за границу. Письма императрицы, написанные преимущественно на английском, были переведены известным деятелем кадетской партии В.Д. Набоковым на русский и опубликованы в Берлине в 1922 году в 2-х томах._x000D_
В данное издание вошли все письма императрицы, найденные в царском ларце на месте гибели семьи Романовых. В письмах можно найти не только то, о чем может написать любящая жена своему супругу: рассказы о детях, о друзьях и родственниках, о работе в госпитале для раненых, о болезнях (своих и детей), но и обсуждение политических и военных проблем, советы и рекомендации по государственному управлению, характеристики исторических деятелей. Картина того, как императрица представляла жизнь в России в последний период перед крахом империи, рисуется довольно полной.</t>
        </is>
      </c>
      <c r="S4003" s="26">
        <f>HYPERLINK("http://www.cnpol.ru/covers/22100.jpg","фото на сайте")</f>
        <v/>
      </c>
    </row>
    <row r="4004" ht="50.1" customHeight="1" s="3">
      <c r="A4004" s="23" t="n"/>
      <c r="B4004" s="24" t="inlineStr">
        <is>
          <t>20034</t>
        </is>
      </c>
      <c r="C4004" s="23" t="inlineStr">
        <is>
          <t>ОИ РОСС</t>
        </is>
      </c>
      <c r="D4004" s="23" t="inlineStr">
        <is>
          <t>Лукомский А.С.</t>
        </is>
      </c>
      <c r="E4004" s="23" t="inlineStr">
        <is>
          <t>Очерки из моей жизни. Воспоминания генерал-лейтенанта Генштаба, одного из лидеров Белого движения на юге России</t>
        </is>
      </c>
      <c r="F4004" s="23" t="inlineStr">
        <is>
          <t>        </t>
        </is>
      </c>
      <c r="G4004" s="27" t="n">
        <v>2279</v>
      </c>
      <c r="H4004" s="23" t="n">
        <v>10</v>
      </c>
      <c r="I4004" s="23" t="n">
        <v>6</v>
      </c>
      <c r="J4004" s="23" t="inlineStr">
        <is>
          <t>978-5-227-09817-7</t>
        </is>
      </c>
      <c r="K4004" s="23" t="inlineStr">
        <is>
          <t>60x90 1/16</t>
        </is>
      </c>
      <c r="L4004" s="23" t="inlineStr">
        <is>
          <t>тв</t>
        </is>
      </c>
      <c r="M4004" s="23" t="n">
        <v>863</v>
      </c>
      <c r="N4004" s="23" t="n">
        <v>2022</v>
      </c>
      <c r="O4004" s="23" t="n">
        <v>1410</v>
      </c>
      <c r="P4004" s="23" t="n"/>
      <c r="Q4004" s="23" t="n"/>
      <c r="R4004" s="25" t="n"/>
      <c r="S4004" s="26">
        <f>HYPERLINK("http://www.cnpol.ru/covers/20034.jpg","фото на сайте")</f>
        <v/>
      </c>
    </row>
    <row r="4005" ht="50.1" customHeight="1" s="3">
      <c r="A4005" s="23" t="inlineStr">
        <is>
          <t>Д</t>
        </is>
      </c>
      <c r="B4005" s="24" t="inlineStr">
        <is>
          <t>21512</t>
        </is>
      </c>
      <c r="C4005" s="23" t="inlineStr">
        <is>
          <t>ОИ РОСС</t>
        </is>
      </c>
      <c r="D4005" s="23" t="inlineStr">
        <is>
          <t>Худяков М.Г.</t>
        </is>
      </c>
      <c r="E4005" s="23" t="inlineStr">
        <is>
          <t>Очерки по истории Казанского ханства. Становление, развитие и падение феодального государства в Среднем Поволжье. 1438–1552 гг.</t>
        </is>
      </c>
      <c r="F4005" s="23" t="inlineStr">
        <is>
          <t>        </t>
        </is>
      </c>
      <c r="G4005" s="27" t="n">
        <v>1063</v>
      </c>
      <c r="H4005" s="23" t="n">
        <v>10</v>
      </c>
      <c r="I4005" s="23" t="n">
        <v>12</v>
      </c>
      <c r="J4005" s="23" t="inlineStr">
        <is>
          <t>978-5-9524-6335-6</t>
        </is>
      </c>
      <c r="K4005" s="23" t="inlineStr">
        <is>
          <t>84x108 1/32</t>
        </is>
      </c>
      <c r="L4005" s="23" t="inlineStr">
        <is>
          <t>тв</t>
        </is>
      </c>
      <c r="M4005" s="23" t="n">
        <v>351</v>
      </c>
      <c r="N4005" s="23" t="n">
        <v>2025</v>
      </c>
      <c r="O4005" s="23" t="n">
        <v>288</v>
      </c>
      <c r="P4005" s="23" t="n"/>
      <c r="Q4005" s="23" t="n"/>
      <c r="R4005" s="25" t="inlineStr">
        <is>
          <t>Книга посвящена истории Казанского ханства со времен наивысшего могущества до завоевания территорий Иваном IV и утраты независимости в середине ХVI в. Автор описывает политическое и экономическое устройство региона, быт и повседневную жизнь поволжских татар, освещает сложные вопросы соседства двух обширных государств, одно из которых в конце концов поглотило другое, а также взаимопроникновение культур и усиление связей между двумя народами.</t>
        </is>
      </c>
      <c r="S4005" s="26">
        <f>HYPERLINK("http://www.cnpol.ru/covers/21512.jpg","фото на сайте")</f>
        <v/>
      </c>
    </row>
    <row r="4006" ht="50.1" customHeight="1" s="3">
      <c r="A4006" s="23" t="n"/>
      <c r="B4006" s="24" t="inlineStr">
        <is>
          <t>20573</t>
        </is>
      </c>
      <c r="C4006" s="23" t="inlineStr">
        <is>
          <t>ОИ РОСС</t>
        </is>
      </c>
      <c r="D4006" s="23" t="inlineStr">
        <is>
          <t>Платонов С.Ф.</t>
        </is>
      </c>
      <c r="E4006" s="23" t="inlineStr">
        <is>
          <t>Очерки по истории Смуты в Московском государстве XVI—XVII вв. Опыт изучения общественного строя и сословных отношений в Смутное время</t>
        </is>
      </c>
      <c r="F4006" s="23" t="inlineStr">
        <is>
          <t>        </t>
        </is>
      </c>
      <c r="G4006" s="27" t="n">
        <v>1420</v>
      </c>
      <c r="H4006" s="23" t="n">
        <v>10</v>
      </c>
      <c r="I4006" s="23" t="n">
        <v>5</v>
      </c>
      <c r="J4006" s="23" t="inlineStr">
        <is>
          <t>978-5-227-10282-9</t>
        </is>
      </c>
      <c r="K4006" s="23" t="inlineStr">
        <is>
          <t>60x90 1/16</t>
        </is>
      </c>
      <c r="L4006" s="23" t="inlineStr">
        <is>
          <t>тв</t>
        </is>
      </c>
      <c r="M4006" s="23" t="n">
        <v>511</v>
      </c>
      <c r="N4006" s="23" t="n">
        <v>2023</v>
      </c>
      <c r="O4006" s="23" t="n">
        <v>510</v>
      </c>
      <c r="P4006" s="23" t="n"/>
      <c r="Q4006" s="23" t="n"/>
      <c r="R4006" s="25" t="inlineStr">
        <is>
          <t>Настоящий труд русского и советского историка С.Ф. Платонова является наиболее полным исследованием событий в период со второй половины XVI века и до начала XVII, позже получивший название Смутного времени. Используя документы, автор подробно освещает ход внутренней и внешней политической борьбы тех лет. Положенный в основу работы богатый фактический материал дает конкретное представление о том, как, проходя через опричнину, крестьянские войны, напряженное противостояние нападкам соседних государств (Польши, Литвы, Швеции), складывалось многонациональное централизованное Московское государство.</t>
        </is>
      </c>
      <c r="S4006" s="26">
        <f>HYPERLINK("http://www.cnpol.ru/covers/20573.jpg","фото на сайте")</f>
        <v/>
      </c>
    </row>
    <row r="4007" ht="50.1" customHeight="1" s="3">
      <c r="A4007" s="23" t="inlineStr">
        <is>
          <t>Н</t>
        </is>
      </c>
      <c r="B4007" s="24" t="inlineStr">
        <is>
          <t>22172</t>
        </is>
      </c>
      <c r="C4007" s="23" t="inlineStr">
        <is>
          <t>ОИ РОСС</t>
        </is>
      </c>
      <c r="D4007" s="23" t="inlineStr">
        <is>
          <t>Воронович Н.В.</t>
        </is>
      </c>
      <c r="E4007" s="23" t="inlineStr">
        <is>
          <t>Очерки прошлого. Воспоминания выпускника пажеского корпуса, участника Японской, Первой мировой войн, активного деятеля партии эсеров</t>
        </is>
      </c>
      <c r="F4007" s="23" t="inlineStr">
        <is>
          <t>        </t>
        </is>
      </c>
      <c r="G4007" s="23" t="n">
        <v>888</v>
      </c>
      <c r="H4007" s="23" t="n">
        <v>10</v>
      </c>
      <c r="I4007" s="23" t="n">
        <v>10</v>
      </c>
      <c r="J4007" s="23" t="inlineStr">
        <is>
          <t>978-5-227-11299-6</t>
        </is>
      </c>
      <c r="K4007" s="23" t="inlineStr">
        <is>
          <t>84x108 1/32</t>
        </is>
      </c>
      <c r="L4007" s="23" t="inlineStr">
        <is>
          <t>тв</t>
        </is>
      </c>
      <c r="M4007" s="23" t="n">
        <v>255</v>
      </c>
      <c r="N4007" s="23" t="n">
        <v>2026</v>
      </c>
      <c r="O4007" s="23" t="n">
        <v>318</v>
      </c>
      <c r="P4007" s="23" t="n"/>
      <c r="Q4007" s="23" t="n"/>
      <c r="R4007" s="25" t="inlineStr">
        <is>
          <t>Эта книга повествует о службе в царской армии и дореволюционном русском быте, который многие называют «потонувшим миром». И все красивое и плохое, что пережили свидетели той эпохи, никогда больше не повторится. Описываемые автором эпизоды многим мало или совершенно неизвестны. И нам будет приятно, если текст обратит на себя внимание читателей. Николай Воронович посчитал своим долгом рассказать правду о времени, в котором были светлые и темные стороны. Ему пришлось наблюдать русскую действительность с разных ракурсов. Камер-паж императрицы и гвардейский офицер видел ее с одной стороны. Кочегар паровоза и солдат Маньчжурской армии — с другой. В своих воспоминаниях автор постарался изобразить эту действительность именно такой, какой он ее видел и воспринял.</t>
        </is>
      </c>
      <c r="S4007" s="26">
        <f>HYPERLINK("http://www.cnpol.ru/covers/22172.jpg","фото на сайте")</f>
        <v/>
      </c>
    </row>
    <row r="4008" ht="50.1" customHeight="1" s="3">
      <c r="A4008" s="23" t="inlineStr">
        <is>
          <t>Д</t>
        </is>
      </c>
      <c r="B4008" s="24" t="inlineStr">
        <is>
          <t>21776</t>
        </is>
      </c>
      <c r="C4008" s="23" t="inlineStr">
        <is>
          <t>ОИ РОСС</t>
        </is>
      </c>
      <c r="D4008" s="23" t="inlineStr">
        <is>
          <t>Бок М.П.</t>
        </is>
      </c>
      <c r="E4008" s="23" t="inlineStr">
        <is>
          <t>П.А. Столыпин. Воспоминания о моем отце. 1884—1911</t>
        </is>
      </c>
      <c r="F4008" s="23" t="inlineStr">
        <is>
          <t>        </t>
        </is>
      </c>
      <c r="G4008" s="23" t="n">
        <v>915</v>
      </c>
      <c r="H4008" s="23" t="n">
        <v>10</v>
      </c>
      <c r="I4008" s="23" t="n">
        <v>10</v>
      </c>
      <c r="J4008" s="23" t="inlineStr">
        <is>
          <t>978-5-9524-6518-3</t>
        </is>
      </c>
      <c r="K4008" s="23" t="inlineStr">
        <is>
          <t>84x108 1/32</t>
        </is>
      </c>
      <c r="L4008" s="23" t="inlineStr">
        <is>
          <t>тв</t>
        </is>
      </c>
      <c r="M4008" s="23" t="n">
        <v>255</v>
      </c>
      <c r="N4008" s="23" t="n">
        <v>2025</v>
      </c>
      <c r="O4008" s="23" t="n">
        <v>234</v>
      </c>
      <c r="P4008" s="23" t="n"/>
      <c r="Q4008" s="23" t="n"/>
      <c r="R4008" s="25" t="inlineStr">
        <is>
          <t>В этой книге старшая дочь П.А. Столыпина рассказывает о своем отце, о предках, среди которых были Лермонтов и Суворов. О важнейших вехах на пути Столыпина от прогрессивного помещика до государственного деятеля. Любящий муж и отец, трудолюбивый и удачливый человек, он первым принял на себя страшный удар ненависти, предательства и неверия.</t>
        </is>
      </c>
      <c r="S4008" s="26">
        <f>HYPERLINK("http://www.cnpol.ru/covers/21776.jpg","фото на сайте")</f>
        <v/>
      </c>
    </row>
    <row r="4009" ht="50.1" customHeight="1" s="3">
      <c r="A4009" s="23" t="n"/>
      <c r="B4009" s="24" t="inlineStr">
        <is>
          <t>20741</t>
        </is>
      </c>
      <c r="C4009" s="23" t="inlineStr">
        <is>
          <t>ОИ РОСС</t>
        </is>
      </c>
      <c r="D4009" s="23" t="inlineStr">
        <is>
          <t>Спиридович А.И.</t>
        </is>
      </c>
      <c r="E4009" s="23" t="inlineStr">
        <is>
          <t>Партия эсеров и ее предшественники. История движения социалистов-революционеров. Борьба с террором в России в начале ХХ века</t>
        </is>
      </c>
      <c r="F4009" s="23" t="inlineStr">
        <is>
          <t>        </t>
        </is>
      </c>
      <c r="G4009" s="27" t="n">
        <v>1170</v>
      </c>
      <c r="H4009" s="23" t="n">
        <v>10</v>
      </c>
      <c r="I4009" s="23" t="n">
        <v>8</v>
      </c>
      <c r="J4009" s="23" t="inlineStr">
        <is>
          <t>978-5-227-09870-2</t>
        </is>
      </c>
      <c r="K4009" s="23" t="inlineStr">
        <is>
          <t>84x108 1/32</t>
        </is>
      </c>
      <c r="L4009" s="23" t="inlineStr">
        <is>
          <t>тв</t>
        </is>
      </c>
      <c r="M4009" s="23" t="n">
        <v>179</v>
      </c>
      <c r="N4009" s="23" t="n">
        <v>2023</v>
      </c>
      <c r="O4009" s="23" t="n">
        <v>508</v>
      </c>
      <c r="P4009" s="23" t="n"/>
      <c r="Q4009" s="23" t="n"/>
      <c r="R4009" s="25" t="inlineStr">
        <is>
          <t>Генерал-майор Отдельного корпуса жандармов Александр Иванович Спиридович был убежденным монархистом, отдал много сил борьбе с революционными радикалами и свой опыт изложил в двух книгах, объединенных темой «Революционное движение в России»: «Российская социал-демократическая рабочая партия» и «Партия социалистов-революционеров и ее предшественники». В 1905 году он был тяжело ранен террористом. Восстановившись после ранения, Спиридович получил назначение на пост начальника дворцовой охраны. Он отвечал за личную безопасность государя и членов его семьи. Но интерес к политическому сыску не оставлял генерала. Особое беспокойство вызывала деятельность партии социалистов-революционеров, сделавших главным средством своей борьбы террор. Данные о деятельности революционных организаций, изложенные в трудах Спиридовича, были переданы им в охранное ведомство и опубликованы для служебного использования сотрудниками. Однако это не инструкция и не аналитическая справка. Это достоверное, эмоционально окрашенное повествование о революции, написанное человеком «с другой стороны баррикад».</t>
        </is>
      </c>
      <c r="S4009" s="26">
        <f>HYPERLINK("http://www.cnpol.ru/covers/20741.jpg","фото на сайте")</f>
        <v/>
      </c>
    </row>
    <row r="4010" ht="50.1" customHeight="1" s="3">
      <c r="A4010" s="23" t="inlineStr">
        <is>
          <t>Д</t>
        </is>
      </c>
      <c r="B4010" s="24" t="inlineStr">
        <is>
          <t>21371</t>
        </is>
      </c>
      <c r="C4010" s="23" t="inlineStr">
        <is>
          <t>ОИ РОСС</t>
        </is>
      </c>
      <c r="D4010" s="23" t="inlineStr">
        <is>
          <t>Спиридович А.И.</t>
        </is>
      </c>
      <c r="E4010" s="23" t="inlineStr">
        <is>
          <t>Партия эсеров и ее предшественники. История движения социалистов-революционеров. Борьба с террором в России в начале ХХ века</t>
        </is>
      </c>
      <c r="F4010" s="23" t="inlineStr">
        <is>
          <t>        </t>
        </is>
      </c>
      <c r="G4010" s="27" t="n">
        <v>1304</v>
      </c>
      <c r="H4010" s="23" t="n">
        <v>10</v>
      </c>
      <c r="I4010" s="23" t="n">
        <v>8</v>
      </c>
      <c r="J4010" s="23" t="inlineStr">
        <is>
          <t>978-5-227-10440-3</t>
        </is>
      </c>
      <c r="K4010" s="23" t="inlineStr">
        <is>
          <t>84x108 1/32</t>
        </is>
      </c>
      <c r="L4010" s="23" t="inlineStr">
        <is>
          <t>тв</t>
        </is>
      </c>
      <c r="M4010" s="23" t="n">
        <v>479</v>
      </c>
      <c r="N4010" s="23" t="n">
        <v>2024</v>
      </c>
      <c r="O4010" s="23" t="n">
        <v>515</v>
      </c>
      <c r="P4010" s="23" t="n"/>
      <c r="Q4010" s="23" t="n"/>
      <c r="R4010" s="25" t="inlineStr">
        <is>
          <t>Генерал-майор Отдельного корпуса жандармов Александр Иванович Сииридович был убежденным монархистом, отдал много сил борьбе с революционными радикалами и свой опыт изложил в двух книгах, объединенных темой «Революционное движение в России»: «Российская социал-демократическая рабочая партия» и «Партия социалистов-революционеров и ее предшественники». В 1905 году он был тяжело ранен террористом. Восстановившись после ранения, Сииридович получил назначение на пост начальника дворцовой охраны. Он отвечал за личную безопасность государя и членов его семьи. Но интерес к политическому сыску не оставлял генерала. Особое беспокойство вызывала деятельность партии социалистов-революционеров, сделавших главным средством своей борьбы террор. Данные о деятельности революционных организаций, изложенные в трудах Спиридовича, были переданы им в охранное ведомство и опубликованы для служебного использования сотрудниками. Однако это не инструкция и не аналитическая справка. Это достоверное, эмоционально окрашенное повествование о революции, написанное человеком «с другой стороны баррикад».</t>
        </is>
      </c>
      <c r="S4010" s="26">
        <f>HYPERLINK("http://www.cnpol.ru/covers/21371.jpg","фото на сайте")</f>
        <v/>
      </c>
    </row>
    <row r="4011" ht="50.1" customHeight="1" s="3">
      <c r="A4011" s="23" t="n"/>
      <c r="B4011" s="24" t="inlineStr">
        <is>
          <t>20024</t>
        </is>
      </c>
      <c r="C4011" s="23" t="inlineStr">
        <is>
          <t>ОИ РОСС</t>
        </is>
      </c>
      <c r="D4011" s="23" t="inlineStr">
        <is>
          <t>Маклаков В. А.</t>
        </is>
      </c>
      <c r="E4011" s="23" t="inlineStr">
        <is>
          <t>Первая Государственная дума. От самодержавия к парламентской монархии. 27 апреля — 8 июля 1906 г.</t>
        </is>
      </c>
      <c r="F4011" s="23" t="inlineStr">
        <is>
          <t>        </t>
        </is>
      </c>
      <c r="G4011" s="27" t="n">
        <v>1031</v>
      </c>
      <c r="H4011" s="23" t="n">
        <v>10</v>
      </c>
      <c r="I4011" s="23" t="n">
        <v>12</v>
      </c>
      <c r="J4011" s="23" t="inlineStr">
        <is>
          <t>978-5-9524-5662-4</t>
        </is>
      </c>
      <c r="K4011" s="23" t="inlineStr">
        <is>
          <t>84x108 1/32</t>
        </is>
      </c>
      <c r="L4011" s="23" t="inlineStr">
        <is>
          <t>тв</t>
        </is>
      </c>
      <c r="M4011" s="23" t="n">
        <v>335</v>
      </c>
      <c r="N4011" s="23" t="n">
        <v>2022</v>
      </c>
      <c r="O4011" s="23" t="n">
        <v>368</v>
      </c>
      <c r="P4011" s="23" t="n"/>
      <c r="Q4011" s="23" t="n"/>
      <c r="R4011" s="25" t="n"/>
      <c r="S4011" s="26">
        <f>HYPERLINK("http://www.cnpol.ru/covers/20024.jpg","фото на сайте")</f>
        <v/>
      </c>
    </row>
    <row r="4012" ht="50.1" customHeight="1" s="3">
      <c r="A4012" s="23" t="n"/>
      <c r="B4012" s="24" t="inlineStr">
        <is>
          <t>20245</t>
        </is>
      </c>
      <c r="C4012" s="23" t="inlineStr">
        <is>
          <t>ОИ РОСС</t>
        </is>
      </c>
      <c r="D4012" s="23" t="inlineStr">
        <is>
          <t>Зензинов В.М.</t>
        </is>
      </c>
      <c r="E4012" s="23" t="inlineStr">
        <is>
          <t>Пережитое. Воспоминания эсера-боевика, члена Петросовета и комиссара Временного правительства</t>
        </is>
      </c>
      <c r="F4012" s="23" t="inlineStr">
        <is>
          <t>        </t>
        </is>
      </c>
      <c r="G4012" s="27" t="n">
        <v>1205</v>
      </c>
      <c r="H4012" s="23" t="n">
        <v>10</v>
      </c>
      <c r="I4012" s="23" t="n">
        <v>10</v>
      </c>
      <c r="J4012" s="23" t="inlineStr">
        <is>
          <t>978-5-227-09866-5</t>
        </is>
      </c>
      <c r="K4012" s="23" t="inlineStr">
        <is>
          <t>84x108 1/32</t>
        </is>
      </c>
      <c r="L4012" s="23" t="inlineStr">
        <is>
          <t>тв</t>
        </is>
      </c>
      <c r="M4012" s="23" t="n">
        <v>445</v>
      </c>
      <c r="N4012" s="23" t="n">
        <v>2022</v>
      </c>
      <c r="O4012" s="23" t="n">
        <v>495</v>
      </c>
      <c r="P4012" s="23" t="n"/>
      <c r="Q4012" s="23" t="n"/>
      <c r="R4012" s="25" t="n"/>
      <c r="S4012" s="26">
        <f>HYPERLINK("http://www.cnpol.ru/covers/20245.jpg","фото на сайте")</f>
        <v/>
      </c>
    </row>
    <row r="4013" ht="50.1" customHeight="1" s="3">
      <c r="A4013" s="23" t="n"/>
      <c r="B4013" s="24" t="inlineStr">
        <is>
          <t>20275</t>
        </is>
      </c>
      <c r="C4013" s="23" t="inlineStr">
        <is>
          <t>ОИ РОСС</t>
        </is>
      </c>
      <c r="D4013" s="23" t="inlineStr">
        <is>
          <t>Богословский М.М.</t>
        </is>
      </c>
      <c r="E4013" s="23" t="inlineStr">
        <is>
          <t>Петр I. Материалы для биографии: в 3 т. Т. 1. Детство. Юность. Азовские походы. Первое заграничное путешествие: Курляндия, Бранденбург, Голландия</t>
        </is>
      </c>
      <c r="F4013" s="23" t="n">
        <v>1</v>
      </c>
      <c r="G4013" s="27" t="n">
        <v>2272</v>
      </c>
      <c r="H4013" s="23" t="n">
        <v>10</v>
      </c>
      <c r="I4013" s="23" t="n">
        <v>6</v>
      </c>
      <c r="J4013" s="23" t="inlineStr">
        <is>
          <t>978-5-227-09952-5</t>
        </is>
      </c>
      <c r="K4013" s="23" t="inlineStr">
        <is>
          <t>60x90 1/16</t>
        </is>
      </c>
      <c r="L4013" s="23" t="inlineStr">
        <is>
          <t>тв</t>
        </is>
      </c>
      <c r="M4013" s="23" t="n">
        <v>753</v>
      </c>
      <c r="N4013" s="23" t="n">
        <v>2022</v>
      </c>
      <c r="O4013" s="23" t="n">
        <v>758</v>
      </c>
      <c r="P4013" s="23" t="n"/>
      <c r="Q4013" s="23" t="n"/>
      <c r="R4013" s="25" t="n"/>
      <c r="S4013" s="26">
        <f>HYPERLINK("http://www.cnpol.ru/covers/20275.jpg","фото на сайте")</f>
        <v/>
      </c>
    </row>
    <row r="4014" ht="50.1" customHeight="1" s="3">
      <c r="A4014" s="23" t="n"/>
      <c r="B4014" s="24" t="inlineStr">
        <is>
          <t>20276</t>
        </is>
      </c>
      <c r="C4014" s="23" t="inlineStr">
        <is>
          <t>ОИ РОСС</t>
        </is>
      </c>
      <c r="D4014" s="23" t="inlineStr">
        <is>
          <t>Богословский М.М.</t>
        </is>
      </c>
      <c r="E4014" s="23" t="inlineStr">
        <is>
          <t>Петр I. Материалы для биографии: в 3 т. Т. 2. Первое заграничное путешествие: Англия. Саксония. Вена</t>
        </is>
      </c>
      <c r="F4014" s="23" t="n">
        <v>2</v>
      </c>
      <c r="G4014" s="27" t="n">
        <v>2272</v>
      </c>
      <c r="H4014" s="23" t="n">
        <v>10</v>
      </c>
      <c r="I4014" s="23" t="n">
        <v>6</v>
      </c>
      <c r="J4014" s="23" t="inlineStr">
        <is>
          <t>978-5-227-09953-2</t>
        </is>
      </c>
      <c r="K4014" s="23" t="inlineStr">
        <is>
          <t>60x90 1/16</t>
        </is>
      </c>
      <c r="L4014" s="23" t="inlineStr">
        <is>
          <t>тв</t>
        </is>
      </c>
      <c r="M4014" s="23" t="n">
        <v>847</v>
      </c>
      <c r="N4014" s="23" t="n">
        <v>2022</v>
      </c>
      <c r="O4014" s="23" t="n">
        <v>728</v>
      </c>
      <c r="P4014" s="23" t="n"/>
      <c r="Q4014" s="23" t="n"/>
      <c r="R4014" s="25" t="n"/>
      <c r="S4014" s="26">
        <f>HYPERLINK("http://www.cnpol.ru/covers/20276.jpg","фото на сайте")</f>
        <v/>
      </c>
    </row>
    <row r="4015" ht="50.1" customHeight="1" s="3">
      <c r="A4015" s="23" t="n"/>
      <c r="B4015" s="24" t="inlineStr">
        <is>
          <t>20277</t>
        </is>
      </c>
      <c r="C4015" s="23" t="inlineStr">
        <is>
          <t>ОИ РОСС</t>
        </is>
      </c>
      <c r="D4015" s="23" t="inlineStr">
        <is>
          <t>Богословский М.М.</t>
        </is>
      </c>
      <c r="E4015" s="23" t="inlineStr">
        <is>
          <t>Петр I. Материалы для биографии: в 3 т. Т. 3. Русско-датский союз. Керченский поход. Дипломатическая подготовка Северной войны</t>
        </is>
      </c>
      <c r="F4015" s="23" t="n">
        <v>3</v>
      </c>
      <c r="G4015" s="27" t="n">
        <v>2272</v>
      </c>
      <c r="H4015" s="23" t="n">
        <v>10</v>
      </c>
      <c r="I4015" s="23" t="n">
        <v>6</v>
      </c>
      <c r="J4015" s="23" t="inlineStr">
        <is>
          <t>978-5-227-09954-9</t>
        </is>
      </c>
      <c r="K4015" s="23" t="inlineStr">
        <is>
          <t>60x90 1/16</t>
        </is>
      </c>
      <c r="L4015" s="23" t="inlineStr">
        <is>
          <t>тв</t>
        </is>
      </c>
      <c r="M4015" s="23" t="n">
        <v>845</v>
      </c>
      <c r="N4015" s="23" t="n">
        <v>2022</v>
      </c>
      <c r="O4015" s="23" t="n">
        <v>728</v>
      </c>
      <c r="P4015" s="23" t="n"/>
      <c r="Q4015" s="23" t="n"/>
      <c r="R4015" s="25" t="n"/>
      <c r="S4015" s="26">
        <f>HYPERLINK("http://www.cnpol.ru/covers/20277.jpg","фото на сайте")</f>
        <v/>
      </c>
    </row>
    <row r="4016" ht="50.1" customHeight="1" s="3">
      <c r="A4016" s="23" t="n"/>
      <c r="B4016" s="24" t="inlineStr">
        <is>
          <t>19593</t>
        </is>
      </c>
      <c r="C4016" s="23" t="inlineStr">
        <is>
          <t>ОИ РОСС</t>
        </is>
      </c>
      <c r="D4016" s="23" t="inlineStr">
        <is>
          <t>Половцов А.А</t>
        </is>
      </c>
      <c r="E4016" s="23" t="inlineStr">
        <is>
          <t>Петр Великий — патриот и реформатор</t>
        </is>
      </c>
      <c r="F4016" s="23" t="inlineStr">
        <is>
          <t>        </t>
        </is>
      </c>
      <c r="G4016" s="23" t="n">
        <v>693</v>
      </c>
      <c r="H4016" s="23" t="n">
        <v>10</v>
      </c>
      <c r="I4016" s="23" t="n">
        <v>16</v>
      </c>
      <c r="J4016" s="23" t="inlineStr">
        <is>
          <t>978-5-227-09444-5</t>
        </is>
      </c>
      <c r="K4016" s="23" t="inlineStr">
        <is>
          <t>84x108 1/32</t>
        </is>
      </c>
      <c r="L4016" s="23" t="inlineStr">
        <is>
          <t>тв</t>
        </is>
      </c>
      <c r="M4016" s="23" t="n">
        <v>288</v>
      </c>
      <c r="N4016" s="23" t="n">
        <v>2021</v>
      </c>
      <c r="O4016" s="23" t="n">
        <v>332</v>
      </c>
      <c r="P4016" s="23" t="n"/>
      <c r="Q4016" s="23" t="n"/>
      <c r="R4016" s="25" t="n"/>
      <c r="S4016" s="26">
        <f>HYPERLINK("http://www.cnpol.ru/covers/19593.jpg","фото на сайте")</f>
        <v/>
      </c>
    </row>
    <row r="4017" ht="50.1" customHeight="1" s="3">
      <c r="A4017" s="23" t="inlineStr">
        <is>
          <t>Н</t>
        </is>
      </c>
      <c r="B4017" s="24" t="inlineStr">
        <is>
          <t>21958</t>
        </is>
      </c>
      <c r="C4017" s="23" t="inlineStr">
        <is>
          <t>ОИ РОСС</t>
        </is>
      </c>
      <c r="D4017" s="23" t="inlineStr">
        <is>
          <t>Первушина Е.В.</t>
        </is>
      </c>
      <c r="E4017" s="23" t="inlineStr">
        <is>
          <t>Писательские семьи в России. Как жили и творили в тени гениев их родные и близкие</t>
        </is>
      </c>
      <c r="F4017" s="23" t="inlineStr">
        <is>
          <t>        </t>
        </is>
      </c>
      <c r="G4017" s="23" t="n">
        <v>763</v>
      </c>
      <c r="H4017" s="23" t="n">
        <v>10</v>
      </c>
      <c r="I4017" s="23" t="n">
        <v>9</v>
      </c>
      <c r="J4017" s="23" t="inlineStr">
        <is>
          <t>978-5-227-11164-7</t>
        </is>
      </c>
      <c r="K4017" s="23" t="inlineStr">
        <is>
          <t>84x108 1/32</t>
        </is>
      </c>
      <c r="L4017" s="23" t="inlineStr">
        <is>
          <t>тв</t>
        </is>
      </c>
      <c r="M4017" s="23" t="n">
        <v>287</v>
      </c>
      <c r="N4017" s="23" t="n">
        <v>2026</v>
      </c>
      <c r="O4017" s="23" t="n">
        <v>302</v>
      </c>
      <c r="P4017" s="23" t="n"/>
      <c r="Q4017" s="23" t="n"/>
      <c r="R4017" s="25" t="inlineStr">
        <is>
          <t>Неизвестно, передается ли талант поэта или писателя по наследству, но как в Средние века существовали знаменитые семьи художников или композиторов, где сын наследовал ремесло отца, так и в России в XIX веке было несколько «писательских» семей. Первый стихотворец, с которым познакомился юный Александр Сергеевич Пушкин, — это его дядя, Василий Львович. Незаконнорожденный сын Федора Ивановича Тютчева и его возлюбленной, Елены Александровны Денисьевой, стал романистом. Дочь Достоевского Любовь писала повести. А в семьях Льва Толстого и Чеховых выросли сразу несколько писателей. С одной стороны, родство с великими помогало — они знали и видели, как создаются литературные произведения и то, что это требует немалого труда. С другой стороны, они не могли не сознавать, что живут в тени гениальных родственников, что навсегда останутся дядей, сыном, дочерью или братом «того самого», неповторимого… Тем не менее их судьбы и книги интересны и достойны того, чтобы о них рассказали. Произведения авторов, о которых идет речь в этой книге, — это живые документы эпохи, которых не тронул официальный глянец и которые не успели «забронзоветь». Они написаны простыми людьми, похожими на нас. И если эти истории вызвали у вас интерес, значит, русская литература не ограничивается теми именами, которые мы находим в школьном учебнике.</t>
        </is>
      </c>
      <c r="S4017" s="26">
        <f>HYPERLINK("http://www.cnpol.ru/covers/21958.jpg","фото на сайте")</f>
        <v/>
      </c>
    </row>
    <row r="4018" ht="50.1" customHeight="1" s="3">
      <c r="A4018" s="23" t="inlineStr">
        <is>
          <t>Д</t>
        </is>
      </c>
      <c r="B4018" s="24" t="inlineStr">
        <is>
          <t>21910</t>
        </is>
      </c>
      <c r="C4018" s="23" t="inlineStr">
        <is>
          <t>ОИ РОСС</t>
        </is>
      </c>
      <c r="D4018" s="23" t="inlineStr">
        <is>
          <t>Романовы</t>
        </is>
      </c>
      <c r="E4018" s="23" t="inlineStr">
        <is>
          <t>Письма царской семьи из заточения</t>
        </is>
      </c>
      <c r="F4018" s="23" t="inlineStr">
        <is>
          <t>        </t>
        </is>
      </c>
      <c r="G4018" s="27" t="n">
        <v>2011</v>
      </c>
      <c r="H4018" s="23" t="n">
        <v>10</v>
      </c>
      <c r="I4018" s="23" t="n">
        <v>5</v>
      </c>
      <c r="J4018" s="23" t="inlineStr">
        <is>
          <t>978-5-227-10880-7</t>
        </is>
      </c>
      <c r="K4018" s="23" t="inlineStr">
        <is>
          <t>70x100 1/16</t>
        </is>
      </c>
      <c r="L4018" s="23" t="inlineStr">
        <is>
          <t>тв</t>
        </is>
      </c>
      <c r="M4018" s="23" t="n">
        <v>479</v>
      </c>
      <c r="N4018" s="23" t="n">
        <v>2025</v>
      </c>
      <c r="O4018" s="23" t="n">
        <v>858</v>
      </c>
      <c r="P4018" s="23" t="n"/>
      <c r="Q4018" s="23" t="n"/>
      <c r="R4018" s="25" t="inlineStr">
        <is>
          <t>Сборник «Письма царской семьи из заточения» напоминает о трагическом событии — в ночь с 16 на 17 июля 1918 года находящаяся под арестом в Екатеринбурге царская семья и их слуги были расстреляны по постановлению Уральского областного совета рабочих, крестьянских и солдатских депутатов. То, что хотели сказать близким члены царской семьи в последние месяцы своей жизни, нашло отражение в их письмах, прорывавшихся на волю._x000D__x000D_
Многие представители Белого движения, дававшие в Российской империи присягу на верность императору, и в изгнании не отреклись от нее. Они бережно хранили письма, которые правдами и неправдами доходили от находящихся под арестом членов царской семьи к родным и друзьям. Эти письма были тщательно собраны и опубликованы._x000D__x000D_
«Письма царской семьи из заточения» — книга, вышедшая в 1974 году в православном Свято-Троицком монастыре в Джорданвилле (США). В нее включены личные письма и другие материалы последних семнадцати месяцев земного пути царской семьи. Автор-составитель «Писем царской семьи из заточения» Е.Е. Алферьев, профессор Свято-Троицкой духовной семинарии, вложил в это издание не только силы, но и душу.</t>
        </is>
      </c>
      <c r="S4018" s="26">
        <f>HYPERLINK("http://www.cnpol.ru/covers/21910.jpg","фото на сайте")</f>
        <v/>
      </c>
    </row>
    <row r="4019" ht="50.1" customHeight="1" s="3">
      <c r="A4019" s="23" t="inlineStr">
        <is>
          <t>Н</t>
        </is>
      </c>
      <c r="B4019" s="24" t="inlineStr">
        <is>
          <t>21872</t>
        </is>
      </c>
      <c r="C4019" s="23" t="inlineStr">
        <is>
          <t>ОИ РОСС</t>
        </is>
      </c>
      <c r="D4019" s="23" t="inlineStr">
        <is>
          <t>Ден Ю.А.</t>
        </is>
      </c>
      <c r="E4019" s="23" t="inlineStr">
        <is>
          <t>Подлинная царица. Воспоминания близкой подруги императрицы Александры Федоровны</t>
        </is>
      </c>
      <c r="F4019" s="23" t="inlineStr">
        <is>
          <t>        </t>
        </is>
      </c>
      <c r="G4019" s="23" t="n">
        <v>704</v>
      </c>
      <c r="H4019" s="23" t="n">
        <v>10</v>
      </c>
      <c r="I4019" s="23" t="n">
        <v>12</v>
      </c>
      <c r="J4019" s="23" t="inlineStr">
        <is>
          <t>978-5-9524-6524-4</t>
        </is>
      </c>
      <c r="K4019" s="23" t="inlineStr">
        <is>
          <t>84x108 1/32</t>
        </is>
      </c>
      <c r="L4019" s="23" t="inlineStr">
        <is>
          <t>тв</t>
        </is>
      </c>
      <c r="M4019" s="23" t="n">
        <v>223</v>
      </c>
      <c r="N4019" s="23" t="n">
        <v>2025</v>
      </c>
      <c r="O4019" s="23" t="n">
        <v>429</v>
      </c>
      <c r="P4019" s="23" t="n"/>
      <c r="Q4019" s="23" t="n"/>
      <c r="R4019" s="25" t="inlineStr">
        <is>
          <t>Юлия Александровна фон Ден, верная Лили, как звали ее в царской семье, была одной из самых близких подруг, доверенных лиц Александры Федоровны, ее фрейлиной и единственной, кто поддержал императрицу в тяжелые дни отречения Николая II от престола. Преданная государыне Юлия посчитала своим долгом облегчить участь свергнутой семьи. Она активно начала налаживать с ними связь во время их пребывания в Тобольске, в результате чего стала возможна переписка арестованных с оставшимися верными монархам людьми, передача посылок со всем необходимым... Уже будучи в эмиграции, Юлия Ден написала воспоминания о венценосной семье, главной целью которых было запечатлеть светлый образ почитаемой и любимой ею императрицы. Эта книга очевидца последнего акта русской монархической трагедии.</t>
        </is>
      </c>
      <c r="S4019" s="26">
        <f>HYPERLINK("http://www.cnpol.ru/covers/21872.jpg","фото на сайте")</f>
        <v/>
      </c>
    </row>
    <row r="4020" ht="50.1" customHeight="1" s="3">
      <c r="A4020" s="23" t="inlineStr">
        <is>
          <t>Д</t>
        </is>
      </c>
      <c r="B4020" s="24" t="inlineStr">
        <is>
          <t>21634</t>
        </is>
      </c>
      <c r="C4020" s="23" t="inlineStr">
        <is>
          <t>ОИ РОСС</t>
        </is>
      </c>
      <c r="D4020" s="23" t="inlineStr">
        <is>
          <t>Марков С.В.</t>
        </is>
      </c>
      <c r="E4020" s="23" t="inlineStr">
        <is>
          <t>Покинутая царская семья. Царское Село — Тобольск — Екатеринбург. 1917—1918</t>
        </is>
      </c>
      <c r="F4020" s="23" t="inlineStr">
        <is>
          <t>        </t>
        </is>
      </c>
      <c r="G4020" s="27" t="n">
        <v>1238</v>
      </c>
      <c r="H4020" s="23" t="n">
        <v>10</v>
      </c>
      <c r="I4020" s="23" t="n">
        <v>5</v>
      </c>
      <c r="J4020" s="23" t="inlineStr">
        <is>
          <t>978-5-227-10868-5</t>
        </is>
      </c>
      <c r="K4020" s="23" t="inlineStr">
        <is>
          <t>84x108 1/32</t>
        </is>
      </c>
      <c r="L4020" s="23" t="inlineStr">
        <is>
          <t>тв</t>
        </is>
      </c>
      <c r="M4020" s="23" t="n">
        <v>447</v>
      </c>
      <c r="N4020" s="23" t="n">
        <v>2025</v>
      </c>
      <c r="O4020" s="23" t="n">
        <v>490</v>
      </c>
      <c r="P4020" s="23" t="n"/>
      <c r="Q4020" s="23" t="n"/>
      <c r="R4020" s="25" t="inlineStr">
        <is>
          <t>Сергей Владимирович Марков – представитель белой эмиграции, монархист, бывший офицер. На Первую мировую войну он пошел добровольцем в 16 лет и роковой 1917 год встретил совсем юным восемнадцатилетним корнетом, но уже с тяжелыми фронтовыми ранениями и Георгиевскими крестами за храбрость._x000D_
Сергей Марков служил в Крымском конном полку, шефом которого была императрица Александра Федоровна, заботливо, поматерински относившаяся к своим офицерам, и в том числе – к «маленькому» Маркову, как она его называла. Бывший корнет сохранил преданность своему «державному шефу» на всю жизнь. Он был одним из немногих офицеров, пытавшихся сделать хоть что-то, чтобы спасти царскую семью, находившуюся после Февральской революции под арестом, даже отправился в Тобольск следом за сосланной императрицей и ее близкими. Увы, наблюдать издалека за арестованными, не имея возможности чем-то помочь, было невыносимо тяжело. А оказать действенную помощь в их освобождении, не подвергая жизнь членов царской семьи опасности, мальчишка-корнет даже с помощью нескольких друзей не сумел._x000D_
В 1928 году в Вене вышла книга воспоминаний Сергея Маркова «Покинутая царская семья», в которой он рассказывает обо всем пережитом во время русской революции, о людях из ближайшего окружения царской семьи и о том, как они раскрылись в страшные дни народного бунта, о начинавшейся в России Гражданской войне и о свергнутых венценосцах, которым некому было помочь в последние дни жизни…</t>
        </is>
      </c>
      <c r="S4020" s="26">
        <f>HYPERLINK("http://www.cnpol.ru/covers/21634.jpg","фото на сайте")</f>
        <v/>
      </c>
    </row>
    <row r="4021" ht="50.1" customHeight="1" s="3">
      <c r="A4021" s="23" t="inlineStr">
        <is>
          <t>Н</t>
        </is>
      </c>
      <c r="B4021" s="24" t="inlineStr">
        <is>
          <t>21469</t>
        </is>
      </c>
      <c r="C4021" s="23" t="inlineStr">
        <is>
          <t>ОИ РОСС</t>
        </is>
      </c>
      <c r="D4021" s="23" t="inlineStr">
        <is>
          <t>Каспари А.А</t>
        </is>
      </c>
      <c r="E4021" s="23" t="inlineStr">
        <is>
          <t>Покоренный Кавказ</t>
        </is>
      </c>
      <c r="F4021" s="23" t="inlineStr">
        <is>
          <t>        </t>
        </is>
      </c>
      <c r="G4021" s="27" t="n">
        <v>1546</v>
      </c>
      <c r="H4021" s="23" t="n">
        <v>10</v>
      </c>
      <c r="I4021" s="23" t="n">
        <v>5</v>
      </c>
      <c r="J4021" s="23" t="inlineStr">
        <is>
          <t>978-5-227-10897-5</t>
        </is>
      </c>
      <c r="K4021" s="23" t="inlineStr">
        <is>
          <t>60x90 1/16</t>
        </is>
      </c>
      <c r="L4021" s="23" t="inlineStr">
        <is>
          <t>тв</t>
        </is>
      </c>
      <c r="M4021" s="23" t="n">
        <v>576</v>
      </c>
      <c r="N4021" s="23" t="n">
        <v>2025</v>
      </c>
      <c r="O4021" s="23" t="n">
        <v>382</v>
      </c>
      <c r="P4021" s="23" t="n"/>
      <c r="Q4021" s="23" t="n"/>
      <c r="R4021" s="25" t="inlineStr">
        <is>
          <t>Книга «Покоренный Кавказ» впервые увидела свет в Санкт-Петербурге в 1904 г. Альвин Андреевич Каспари — выходец из Германии, русский издатель и книготорговец. Он издавал журналы «Родина», «Новь», «Всемирная новь», серии книг «Библиотека романов», «Дешевая библиотека русских классиков» и такие научно-популярные труды, как «Всемирная история Каспари». _x000D_
В книгу «Покоренный Кавказ» входит 14 очерков, рассказывающих о природе, народонаселении и истории Кавказа с древних времен до конца XIX века. Главное внимание уделено драматическим событиям Кавказской войны, завершившейся пленением предводителя горцев Шамиля. Авторы очерков — известные в свое время историки и публицисты. Несмотря на то что впервые книга вышла в свет более века назад, другого подобного труда, дающего столь полное и разностороннее представление о Кавказе, не издано в России до сих пор.</t>
        </is>
      </c>
      <c r="S4021" s="26">
        <f>HYPERLINK("http://www.cnpol.ru/covers/21469.jpg","фото на сайте")</f>
        <v/>
      </c>
    </row>
    <row r="4022" ht="50.1" customHeight="1" s="3">
      <c r="A4022" s="23" t="inlineStr">
        <is>
          <t>Д</t>
        </is>
      </c>
      <c r="B4022" s="24" t="inlineStr">
        <is>
          <t>22255</t>
        </is>
      </c>
      <c r="C4022" s="23" t="inlineStr">
        <is>
          <t>ОИ РОСС</t>
        </is>
      </c>
      <c r="D4022" s="23" t="inlineStr">
        <is>
          <t>Платонов С.Ф.</t>
        </is>
      </c>
      <c r="E4022" s="23" t="inlineStr">
        <is>
          <t>Полный курс лекций по русской истории. Достопамятные события и лица от возникновения древних племен</t>
        </is>
      </c>
      <c r="F4022" s="23" t="inlineStr">
        <is>
          <t>        </t>
        </is>
      </c>
      <c r="G4022" s="27" t="n">
        <v>2015</v>
      </c>
      <c r="H4022" s="23" t="n">
        <v>10</v>
      </c>
      <c r="I4022" s="23" t="n">
        <v>5</v>
      </c>
      <c r="J4022" s="23" t="inlineStr">
        <is>
          <t>978-5-227-11365-8</t>
        </is>
      </c>
      <c r="K4022" s="23" t="inlineStr">
        <is>
          <t>60x90 1/16</t>
        </is>
      </c>
      <c r="L4022" s="23" t="inlineStr">
        <is>
          <t>тв</t>
        </is>
      </c>
      <c r="M4022" s="23" t="n">
        <v>783</v>
      </c>
      <c r="N4022" s="23" t="n">
        <v>2026</v>
      </c>
      <c r="O4022" s="23" t="n">
        <v>858</v>
      </c>
      <c r="P4022" s="23" t="n"/>
      <c r="Q4022" s="23" t="n"/>
      <c r="R4022" s="25" t="inlineStr">
        <is>
          <t>В основу книги легли лекции и научные труды русского и советского историка С.Ф. Платонова, а также записи слушателей курсов Военно-юридической академии и Петербургского университета. В одном издании собран и обобщен обширный материал, охватывающий период истории со времен расселения славянских племен и образования Киевского княжества до правления Николая I и Александра II. Профессор Платонов, обладавший талантом рассказчика, живо и ярко описывает события Смутного времени, борьбу за Московский престол, а также период культурного подъема во времена царствования Алексея Михайловича. В сборник включены очерки, посвященные правителям Российского государства, а также переломным моментам отечественной истории.</t>
        </is>
      </c>
      <c r="S4022" s="26">
        <f>HYPERLINK("http://www.cnpol.ru/covers/22255.jpg","фото на сайте")</f>
        <v/>
      </c>
    </row>
    <row r="4023" ht="50.1" customHeight="1" s="3">
      <c r="A4023" s="23" t="inlineStr">
        <is>
          <t>Н</t>
        </is>
      </c>
      <c r="B4023" s="24" t="inlineStr">
        <is>
          <t>21085</t>
        </is>
      </c>
      <c r="C4023" s="23" t="inlineStr">
        <is>
          <t>ОИ РОСС</t>
        </is>
      </c>
      <c r="D4023" s="23" t="inlineStr">
        <is>
          <t>Соколов А.Р</t>
        </is>
      </c>
      <c r="E4023" s="23" t="inlineStr">
        <is>
          <t>Преданные России. Hерусские русские — 2. Иноземцы на службе российскому трону</t>
        </is>
      </c>
      <c r="F4023" s="23" t="inlineStr">
        <is>
          <t>        </t>
        </is>
      </c>
      <c r="G4023" s="23" t="n">
        <v>888</v>
      </c>
      <c r="H4023" s="23" t="n">
        <v>10</v>
      </c>
      <c r="I4023" s="23" t="n">
        <v>16</v>
      </c>
      <c r="J4023" s="23" t="inlineStr">
        <is>
          <t>978-5-227-09967-9</t>
        </is>
      </c>
      <c r="K4023" s="23" t="inlineStr">
        <is>
          <t>84x108 1/32</t>
        </is>
      </c>
      <c r="L4023" s="23" t="inlineStr">
        <is>
          <t>тв</t>
        </is>
      </c>
      <c r="M4023" s="23" t="n">
        <v>319</v>
      </c>
      <c r="N4023" s="23" t="n">
        <v>2024</v>
      </c>
      <c r="O4023" s="23" t="n">
        <v>357</v>
      </c>
      <c r="P4023" s="23" t="n"/>
      <c r="Q4023" s="23" t="n"/>
      <c r="R4023" s="25" t="inlineStr">
        <is>
          <t>Александр Соколов вновь обращается к теме нерусских русских. В предыдущей работе он рассказал о преданном служении нашему отечеству иноземных представителей семьи Романовых. В этой речь пойдет об иностранцах, которые своим гением и талантами самозабвенно служили России и ее славе. Именно в нашей стране они реализовывались как военачальники, ученые, художники, но не переставали от этого быть немцами, англичанами, французами… Уникальные черты национального менталитета, накладываясь на российскую реальность, зачастую порождали конфликты, но, одновременно, делали эту реальность ярче и богаче. Россия меняла этих людей, но и они меняли Россию тоже. Россия всегда умела учиться и стремилась впитывать все лучшее из других цивилизаций, не теряя своего уникального лица, культуры, духовности. Персонажей для книги автор подбирал, исходя из тем, которые ранее становились предметом его исследований, стремясь вернуть из небытия полузабытые имена, или, наоборот, показать в новом ракурсе фигуры, казалось бы, давно уже известные. Нас ждут рассказы о любимце Одессы Эммануиле де Ришельё, капитан-командоре Витусе Беринге, блестящем скульпторе Карле Растрелли, генерал-фельдмаршале Бурхарде Минихе, друге и сподвижнике российского самодержца Петра I — Франце Лефорте…</t>
        </is>
      </c>
      <c r="S4023" s="26">
        <f>HYPERLINK("http://www.cnpol.ru/covers/21085.jpg","фото на сайте")</f>
        <v/>
      </c>
    </row>
    <row r="4024" ht="50.1" customHeight="1" s="3">
      <c r="A4024" s="23" t="n"/>
      <c r="B4024" s="24" t="inlineStr">
        <is>
          <t>19841</t>
        </is>
      </c>
      <c r="C4024" s="23" t="inlineStr">
        <is>
          <t>ОИ РОСС</t>
        </is>
      </c>
      <c r="D4024" s="23" t="inlineStr">
        <is>
          <t>Глезеров С.Е.</t>
        </is>
      </c>
      <c r="E4024" s="23" t="inlineStr">
        <is>
          <t>Предатели в русской истории. 1000 лет коварства, ренегатства, хитрости, дезертирства, клятвопреступлений</t>
        </is>
      </c>
      <c r="F4024" s="23" t="inlineStr">
        <is>
          <t>        </t>
        </is>
      </c>
      <c r="G4024" s="23" t="n">
        <v>630</v>
      </c>
      <c r="H4024" s="23" t="n">
        <v>10</v>
      </c>
      <c r="I4024" s="23" t="n">
        <v>12</v>
      </c>
      <c r="J4024" s="23" t="inlineStr">
        <is>
          <t>978-5-227-09367-7</t>
        </is>
      </c>
      <c r="K4024" s="23" t="inlineStr">
        <is>
          <t>84x108 1/32</t>
        </is>
      </c>
      <c r="L4024" s="23" t="inlineStr">
        <is>
          <t>тв</t>
        </is>
      </c>
      <c r="M4024" s="23" t="n">
        <v>319</v>
      </c>
      <c r="N4024" s="23" t="n">
        <v>2021</v>
      </c>
      <c r="O4024" s="23" t="n">
        <v>364</v>
      </c>
      <c r="P4024" s="23" t="n"/>
      <c r="Q4024" s="23" t="n"/>
      <c r="R4024" s="25" t="n"/>
      <c r="S4024" s="26">
        <f>HYPERLINK("http://www.cnpol.ru/covers/19841.jpg","фото на сайте")</f>
        <v/>
      </c>
    </row>
    <row r="4025" ht="50.1" customHeight="1" s="3">
      <c r="A4025" s="23" t="n"/>
      <c r="B4025" s="24" t="inlineStr">
        <is>
          <t>20607</t>
        </is>
      </c>
      <c r="C4025" s="23" t="inlineStr">
        <is>
          <t>ОИ РОСС</t>
        </is>
      </c>
      <c r="D4025" s="23" t="inlineStr">
        <is>
          <t>Керенский А.Ф.</t>
        </is>
      </c>
      <c r="E4025" s="23" t="inlineStr">
        <is>
          <t>Прелюдия к большевизму</t>
        </is>
      </c>
      <c r="F4025" s="23" t="inlineStr">
        <is>
          <t>        </t>
        </is>
      </c>
      <c r="G4025" s="27" t="n">
        <v>1009</v>
      </c>
      <c r="H4025" s="23" t="n">
        <v>10</v>
      </c>
      <c r="I4025" s="23" t="n">
        <v>8</v>
      </c>
      <c r="J4025" s="23" t="inlineStr">
        <is>
          <t>978-5-9524-5713-3</t>
        </is>
      </c>
      <c r="K4025" s="23" t="inlineStr">
        <is>
          <t>84x108 1/32</t>
        </is>
      </c>
      <c r="L4025" s="23" t="inlineStr">
        <is>
          <t>тв</t>
        </is>
      </c>
      <c r="M4025" s="23" t="n">
        <v>319</v>
      </c>
      <c r="N4025" s="23" t="n">
        <v>2023</v>
      </c>
      <c r="O4025" s="23" t="n">
        <v>315</v>
      </c>
      <c r="P4025" s="23" t="n"/>
      <c r="Q4025" s="23" t="n"/>
      <c r="R4025" s="25" t="inlineStr">
        <is>
          <t>Это фундаментальное исследование А.Ф. Керенского, министра-председателя Временного правительства, созданное на основе расшифровки стенографических записей его показаний о мятеже генерала Лавра Корнилова. После этого события Керенский пошел на соглашение с левыми партиями. Временное правительство оказалось в изоляции, конец был вопросом времени.</t>
        </is>
      </c>
      <c r="S4025" s="26">
        <f>HYPERLINK("http://www.cnpol.ru/covers/20607.jpg","фото на сайте")</f>
        <v/>
      </c>
    </row>
    <row r="4026" ht="50.1" customHeight="1" s="3">
      <c r="A4026" s="23" t="inlineStr">
        <is>
          <t>Д</t>
        </is>
      </c>
      <c r="B4026" s="24" t="inlineStr">
        <is>
          <t>22205</t>
        </is>
      </c>
      <c r="C4026" s="23" t="inlineStr">
        <is>
          <t>ОИ РОСС</t>
        </is>
      </c>
      <c r="D4026" s="23" t="inlineStr">
        <is>
          <t>Жильяр П</t>
        </is>
      </c>
      <c r="E4026" s="23" t="inlineStr">
        <is>
          <t>При дворе Николая II. Воспоминания наставника цесаревича Алексея. 1905—1918</t>
        </is>
      </c>
      <c r="F4026" s="23" t="inlineStr">
        <is>
          <t>        </t>
        </is>
      </c>
      <c r="G4026" s="23" t="n">
        <v>916</v>
      </c>
      <c r="H4026" s="23" t="n">
        <v>10</v>
      </c>
      <c r="I4026" s="23" t="n">
        <v>10</v>
      </c>
      <c r="J4026" s="23" t="inlineStr">
        <is>
          <t>978-5-9524-6701-9</t>
        </is>
      </c>
      <c r="K4026" s="23" t="inlineStr">
        <is>
          <t>84x108 1/32</t>
        </is>
      </c>
      <c r="L4026" s="23" t="inlineStr">
        <is>
          <t>тв</t>
        </is>
      </c>
      <c r="M4026" s="23" t="n">
        <v>219</v>
      </c>
      <c r="N4026" s="23" t="n">
        <v>2026</v>
      </c>
      <c r="O4026" s="23" t="n">
        <v>316</v>
      </c>
      <c r="P4026" s="23" t="n"/>
      <c r="Q4026" s="23" t="n"/>
      <c r="R4026" s="25" t="inlineStr">
        <is>
          <t>Пьер Жильяр был наставником цесаревича Алексея, сына Николая II. Бесстрашный француз добровольно отправился с опальной царской семьей в Сибирь и старался чем мог скрасить пребывание в заточении царя, царицы и их детей. Жильяр передал потомкам драгоценные сведения о последних днях императорской семьи, оставил яркие психологические портреты Распутина, Вырубовой и многих других известных личностей этой трагической эпохи в жизни России.</t>
        </is>
      </c>
      <c r="S4026" s="26">
        <f>HYPERLINK("http://www.cnpol.ru/covers/22205.jpg","фото на сайте")</f>
        <v/>
      </c>
    </row>
    <row r="4027" ht="50.1" customHeight="1" s="3">
      <c r="A4027" s="23" t="n"/>
      <c r="B4027" s="24" t="inlineStr">
        <is>
          <t>20356</t>
        </is>
      </c>
      <c r="C4027" s="23" t="inlineStr">
        <is>
          <t>ОИ РОСС</t>
        </is>
      </c>
      <c r="D4027" s="23" t="inlineStr">
        <is>
          <t>Мосолов А.А.</t>
        </is>
      </c>
      <c r="E4027" s="23" t="inlineStr">
        <is>
          <t>При дворе последнего царя. Воспоминания начальника дворцовой канцелярии. 1900—1916</t>
        </is>
      </c>
      <c r="F4027" s="23" t="inlineStr">
        <is>
          <t>        </t>
        </is>
      </c>
      <c r="G4027" s="23" t="n">
        <v>915</v>
      </c>
      <c r="H4027" s="23" t="n">
        <v>10</v>
      </c>
      <c r="I4027" s="23" t="n">
        <v>14</v>
      </c>
      <c r="J4027" s="23" t="inlineStr">
        <is>
          <t>978-5-9524-5807-9</t>
        </is>
      </c>
      <c r="K4027" s="23" t="inlineStr">
        <is>
          <t>84x108 1/32</t>
        </is>
      </c>
      <c r="L4027" s="23" t="inlineStr">
        <is>
          <t>тв</t>
        </is>
      </c>
      <c r="M4027" s="23" t="n">
        <v>271</v>
      </c>
      <c r="N4027" s="23" t="n">
        <v>2022</v>
      </c>
      <c r="O4027" s="23" t="n">
        <v>370</v>
      </c>
      <c r="P4027" s="23" t="n"/>
      <c r="Q4027" s="23" t="n"/>
      <c r="R4027" s="25" t="inlineStr">
        <is>
          <t>Александр Александрович Мосолов, начальник канцелярии Министерства императорского двора, ярко и живо описывает характеры Николая II, императрицы Александры Федоровны, их детей, вдовствующей императрицы, великих князей. Рассказывает о взаимоотношениях членов императорской семьи и высокопоставленных царедворцев. Размышляет о влиянии, которое семья и ближайшее окружение оказывали на императора и тем самым на судьбы миллионов людей.</t>
        </is>
      </c>
      <c r="S4027" s="26">
        <f>HYPERLINK("http://www.cnpol.ru/covers/20356.jpg","фото на сайте")</f>
        <v/>
      </c>
    </row>
    <row r="4028" ht="50.1" customHeight="1" s="3">
      <c r="A4028" s="23" t="inlineStr">
        <is>
          <t>Н</t>
        </is>
      </c>
      <c r="B4028" s="24" t="inlineStr">
        <is>
          <t>22066</t>
        </is>
      </c>
      <c r="C4028" s="23" t="inlineStr">
        <is>
          <t>ОИ РОСС</t>
        </is>
      </c>
      <c r="D4028" s="23" t="inlineStr">
        <is>
          <t>Нарышкина Е.А.</t>
        </is>
      </c>
      <c r="E4028" s="23" t="inlineStr">
        <is>
          <t>При трех царях. Воспоминания гофмейстерины последней императрицы</t>
        </is>
      </c>
      <c r="F4028" s="23" t="inlineStr">
        <is>
          <t>        </t>
        </is>
      </c>
      <c r="G4028" s="27" t="n">
        <v>1075</v>
      </c>
      <c r="H4028" s="23" t="n">
        <v>10</v>
      </c>
      <c r="I4028" s="23" t="n">
        <v>8</v>
      </c>
      <c r="J4028" s="23" t="inlineStr">
        <is>
          <t>978-5-227-11240-8</t>
        </is>
      </c>
      <c r="K4028" s="23" t="inlineStr">
        <is>
          <t>84x108 1/32</t>
        </is>
      </c>
      <c r="L4028" s="23" t="inlineStr">
        <is>
          <t>тв</t>
        </is>
      </c>
      <c r="M4028" s="23" t="n">
        <v>479</v>
      </c>
      <c r="N4028" s="23" t="n">
        <v>2026</v>
      </c>
      <c r="O4028" s="23" t="n">
        <v>508</v>
      </c>
      <c r="P4028" s="23" t="n"/>
      <c r="Q4028" s="23" t="n"/>
      <c r="R4028" s="25" t="inlineStr">
        <is>
          <t>Мемуары Е.А. Нарышкиной (1838—1928) — первой статс-дамы Императорского двора — это уникальная летопись жизни дореволюционной России, точно и беспристрастно отражающая дух времени. В настоящее издание вошли две книги воспоминаний княгини Нарышкиной. В первой части, охватывающей период 1840—1870 х годов, описаны детство и юность, проведенные в Париже, возвращение в Петербург времен Николая I, получение фрейлинского шифра и первой придворной должности, а также значимые события эпохи великих реформ и громких покушений. Во второй части автор освещает стремительные перемены начала ХХ века, рассказывает о службе при дворе последнего императора, вспоминает яркие эпизоды из жизни августейшей четы от коронации до отречения. В издание включены дневники Е.А. Нарышкиной за 1917 год, а также переписка с литераторами, общественными и политическими деятелями России и Европы.</t>
        </is>
      </c>
      <c r="S4028" s="26">
        <f>HYPERLINK("http://www.cnpol.ru/covers/22066.jpg","фото на сайте")</f>
        <v/>
      </c>
    </row>
    <row r="4029" ht="50.1" customHeight="1" s="3">
      <c r="A4029" s="23" t="inlineStr">
        <is>
          <t>Н</t>
        </is>
      </c>
      <c r="B4029" s="24" t="inlineStr">
        <is>
          <t>21732</t>
        </is>
      </c>
      <c r="C4029" s="23" t="inlineStr">
        <is>
          <t>ОИ РОСС</t>
        </is>
      </c>
      <c r="D4029" s="23" t="inlineStr">
        <is>
          <t>Васильев Л.М.</t>
        </is>
      </c>
      <c r="E4029" s="23" t="inlineStr">
        <is>
          <t>Пути советского империализма. Советская экономическая система и основа внешней политики СССР</t>
        </is>
      </c>
      <c r="F4029" s="23" t="inlineStr">
        <is>
          <t>        </t>
        </is>
      </c>
      <c r="G4029" s="23" t="n">
        <v>849</v>
      </c>
      <c r="H4029" s="23" t="n">
        <v>10</v>
      </c>
      <c r="I4029" s="23" t="n">
        <v>10</v>
      </c>
      <c r="J4029" s="23" t="inlineStr">
        <is>
          <t>978-5-227-11101-2</t>
        </is>
      </c>
      <c r="K4029" s="23" t="inlineStr">
        <is>
          <t>84x108 1/32</t>
        </is>
      </c>
      <c r="L4029" s="23" t="inlineStr">
        <is>
          <t>тв</t>
        </is>
      </c>
      <c r="M4029" s="23" t="n">
        <v>254</v>
      </c>
      <c r="N4029" s="23" t="n">
        <v>2025</v>
      </c>
      <c r="O4029" s="23" t="n">
        <v>322</v>
      </c>
      <c r="P4029" s="23" t="n"/>
      <c r="Q4029" s="23" t="n"/>
      <c r="R4029" s="25" t="inlineStr">
        <is>
          <t>"Лев Мстиславович Васильев — политолог, ответственный работник торгового сектора, ставший консультантом советского правительства в Иране. Его книга написана в форме живого повествования и является интересным аналитическим и полемическим трудом. Автор имел возможность близко ознакомиться с работой заграничных представительств СССР и советской экономической системой. Васильев предлагает свою интерпретацию и аргументацию, основанную на своем глубоком опыте и исторических событиях. Он предлагает читателям переосмыслить традиционное представление об СССР как о социалистическом государстве, которое противостоит западному миру, и рассмотреть его как империалистическую державу.
Экспансия в Восточной Европе, поддержка коммунистических режимов по всему миру и культурное проникновение, расширение границ, агрессивные военные операции СССР и другие вопросы рассматриваются в книге, которая адресована не только историкам и политологам, но и широкой аудитории, интересующейся мировой политикой."</t>
        </is>
      </c>
      <c r="S4029" s="26">
        <f>HYPERLINK("http://www.cnpol.ru/covers/21732.jpg","фото на сайте")</f>
        <v/>
      </c>
    </row>
    <row r="4030" ht="50.1" customHeight="1" s="3">
      <c r="A4030" s="23" t="inlineStr">
        <is>
          <t>Д</t>
        </is>
      </c>
      <c r="B4030" s="24" t="inlineStr">
        <is>
          <t>21686</t>
        </is>
      </c>
      <c r="C4030" s="23" t="inlineStr">
        <is>
          <t>ОИ РОСС</t>
        </is>
      </c>
      <c r="D4030" s="23" t="inlineStr">
        <is>
          <t>Заварзин П.П.</t>
        </is>
      </c>
      <c r="E4030" s="23" t="inlineStr">
        <is>
          <t>Работа тайной полиции. Спецоперации, методы вербовки, тактика борьбы, проведение оперативно-разыскной работы царской охранки</t>
        </is>
      </c>
      <c r="F4030" s="23" t="inlineStr">
        <is>
          <t>        </t>
        </is>
      </c>
      <c r="G4030" s="23" t="n">
        <v>762</v>
      </c>
      <c r="H4030" s="23" t="n">
        <v>10</v>
      </c>
      <c r="I4030" s="23" t="n">
        <v>18</v>
      </c>
      <c r="J4030" s="23" t="inlineStr">
        <is>
          <t>978-5-227-11104-3</t>
        </is>
      </c>
      <c r="K4030" s="23" t="inlineStr">
        <is>
          <t>84x108 1/32</t>
        </is>
      </c>
      <c r="L4030" s="23" t="inlineStr">
        <is>
          <t>тв</t>
        </is>
      </c>
      <c r="M4030" s="23" t="n">
        <v>191</v>
      </c>
      <c r="N4030" s="23" t="n">
        <v>2025</v>
      </c>
      <c r="O4030" s="23" t="n">
        <v>250</v>
      </c>
      <c r="P4030" s="23" t="n"/>
      <c r="Q4030" s="23" t="n"/>
      <c r="R4030" s="25" t="inlineStr">
        <is>
          <t>Павел Павлович Заварзин — российский жандармский офицер, генерал-майор Отдельного корпуса жандармов. Книга сотрудника тайной полиции рассказывает о делах царской охранки, содержит подробные детали о работе профессиональных революционеров. Описаны приемы по внедрению агентов в преступную среду и внешнему наблюдению. Мы узнаем, что тайная полиция — контрреволюционная и контртеррористическая организация и занималась не просто поимкой обычных преступников. Ее задачей было выявление шпионов и врагов режима, на что была направлена задача внедренных агентов и проверка корреспонденции с целью сохранения государственности в России. Повествование насыщенное и яркое, рассказано как об удачных, так и о провальных операциях, методах вербовки, тактике борьбы, проведению оперативно-разыскной работы._x000D_
Заварзин имел колоссальный разыскной опыт, поднялся по карьерной лестнице с адъютанта до начальника управления, но после Февральской революции 1917 года все жандармские отделения решением Временного правительства были срочно ликвидированы, архивы сожжены, а руководство арестовано. Не избежал этой участи и автор. После освобождения он эмигрировал во Францию, где и написал воспоминания о работе в спецслужбе. Информация, приведенная в книге, подлинна и очень интересна для исследователей противоборства отечественной спецслужбы с экстремистскими организациями.</t>
        </is>
      </c>
      <c r="S4030" s="26">
        <f>HYPERLINK("http://www.cnpol.ru/covers/21686.jpg","фото на сайте")</f>
        <v/>
      </c>
    </row>
    <row r="4031" ht="50.1" customHeight="1" s="3">
      <c r="A4031" s="23" t="n"/>
      <c r="B4031" s="24" t="inlineStr">
        <is>
          <t>20282</t>
        </is>
      </c>
      <c r="C4031" s="23" t="inlineStr">
        <is>
          <t>ОИ РОСС</t>
        </is>
      </c>
      <c r="D4031" s="23" t="inlineStr">
        <is>
          <t>Иловайский Д.И.</t>
        </is>
      </c>
      <c r="E4031" s="23" t="inlineStr">
        <is>
          <t>Разыскания о начале Руси. Вместо введения в русскую историю</t>
        </is>
      </c>
      <c r="F4031" s="23" t="inlineStr">
        <is>
          <t>        </t>
        </is>
      </c>
      <c r="G4031" s="27" t="n">
        <v>1520</v>
      </c>
      <c r="H4031" s="23" t="n">
        <v>10</v>
      </c>
      <c r="I4031" s="23" t="n">
        <v>8</v>
      </c>
      <c r="J4031" s="23" t="inlineStr">
        <is>
          <t>978-5-227-10054-2</t>
        </is>
      </c>
      <c r="K4031" s="23" t="inlineStr">
        <is>
          <t>60x90 1/16</t>
        </is>
      </c>
      <c r="L4031" s="23" t="inlineStr">
        <is>
          <t>тв</t>
        </is>
      </c>
      <c r="M4031" s="23" t="n">
        <v>511</v>
      </c>
      <c r="N4031" s="23" t="n">
        <v>2022</v>
      </c>
      <c r="O4031" s="23" t="n">
        <v>562</v>
      </c>
      <c r="P4031" s="23" t="n"/>
      <c r="Q4031" s="23" t="n"/>
      <c r="R4031" s="25" t="n"/>
      <c r="S4031" s="26">
        <f>HYPERLINK("http://www.cnpol.ru/covers/20282.jpg","фото на сайте")</f>
        <v/>
      </c>
    </row>
    <row r="4032" ht="50.1" customHeight="1" s="3">
      <c r="A4032" s="23" t="inlineStr">
        <is>
          <t>Н</t>
        </is>
      </c>
      <c r="B4032" s="24" t="inlineStr">
        <is>
          <t>22272</t>
        </is>
      </c>
      <c r="C4032" s="23" t="inlineStr">
        <is>
          <t>ОИ РОСС</t>
        </is>
      </c>
      <c r="D4032" s="23" t="inlineStr">
        <is>
          <t>Первушина Е.В.</t>
        </is>
      </c>
      <c r="E4032" s="23" t="inlineStr">
        <is>
          <t>Рестораны и кафе Серебряного века. История и адреса легендарных заведений Петербурга.</t>
        </is>
      </c>
      <c r="F4032" s="23" t="inlineStr">
        <is>
          <t>        </t>
        </is>
      </c>
      <c r="G4032" s="23" t="n">
        <v>999</v>
      </c>
      <c r="H4032" s="23" t="n">
        <v>10</v>
      </c>
      <c r="I4032" s="23" t="n">
        <v>14</v>
      </c>
      <c r="J4032" s="23" t="inlineStr">
        <is>
          <t>978-5-227-11337-5</t>
        </is>
      </c>
      <c r="K4032" s="23" t="inlineStr">
        <is>
          <t>84x108 1/32</t>
        </is>
      </c>
      <c r="L4032" s="23" t="inlineStr">
        <is>
          <t>тв</t>
        </is>
      </c>
      <c r="M4032" s="23" t="n">
        <v>383</v>
      </c>
      <c r="N4032" s="23" t="n">
        <v>2026</v>
      </c>
      <c r="O4032" s="23" t="n">
        <v>413</v>
      </c>
      <c r="P4032" s="23" t="n"/>
      <c r="Q4032" s="23" t="n"/>
      <c r="R4032" s="25" t="inlineStr">
        <is>
          <t>Литературная и художественная жизнь Петербурга Серебряного века была тесно связана с ресторанами и кафе. Здесь выступали поэты, велись философские и художественные споры, заключались творческие союзы, объявлялись литературные войны… Книга расскажет о заведениях, которые стали знаковыми для Серебряного века. Вместе с автором книги мы почувствуем аромат ушедшей эпохи и посетим места разного уровня обслуживания: от залов для дорогих застолий на центральных улицах Северной столицы, где лакомились элитным шампанским, до кухмистерских и дешевых столовых, в которых голодающие поэты и писатели могли съесть миску каши с конопляным маслом в 1918 году. Мы узнаем, что Ремизов и Сологуб «оздоравливались» в «Квисисане». Посетим вместе с Маяковским «Бродячую собаку». Поужинаем в «Медведе» вместе с Гиппиус и Мережковским. Отведаем устриц в «Кюба» с Николаем II и Матильдой Кшесинской. Заглянем в «Асторию» и «Англетер», где кутили Есенин и Бальмонт, и вспомним еще десятки удивительно ярких, эпатажных, экспрессивных историй, объединенных эстетикой Серебряного века. Приятным бонусом читателям будут рецепты блюд, подаваемых в описанных заведениях.</t>
        </is>
      </c>
      <c r="S4032" s="26">
        <f>HYPERLINK("http://www.cnpol.ru/covers/22272.jpg","фото на сайте")</f>
        <v/>
      </c>
    </row>
    <row r="4033" ht="50.1" customHeight="1" s="3">
      <c r="A4033" s="23" t="inlineStr">
        <is>
          <t>Н</t>
        </is>
      </c>
      <c r="B4033" s="24" t="inlineStr">
        <is>
          <t>21137</t>
        </is>
      </c>
      <c r="C4033" s="23" t="inlineStr">
        <is>
          <t>ОИ РОСС</t>
        </is>
      </c>
      <c r="D4033" s="23" t="inlineStr">
        <is>
          <t>Хорватова Е.В.</t>
        </is>
      </c>
      <c r="E4033" s="23" t="inlineStr">
        <is>
          <t>Роман Серебряного века на фоне войн и революций. Князь Евгений Трубецкой и Маргарита Морозова</t>
        </is>
      </c>
      <c r="F4033" s="23" t="inlineStr">
        <is>
          <t>        </t>
        </is>
      </c>
      <c r="G4033" s="27" t="n">
        <v>1009</v>
      </c>
      <c r="H4033" s="23" t="n">
        <v>10</v>
      </c>
      <c r="I4033" s="23" t="n">
        <v>12</v>
      </c>
      <c r="J4033" s="23" t="inlineStr">
        <is>
          <t>978-5-227-10422-9</t>
        </is>
      </c>
      <c r="K4033" s="23" t="inlineStr">
        <is>
          <t>84x108 1/32</t>
        </is>
      </c>
      <c r="L4033" s="23" t="inlineStr">
        <is>
          <t>тв</t>
        </is>
      </c>
      <c r="M4033" s="23" t="n">
        <v>287</v>
      </c>
      <c r="N4033" s="23" t="n">
        <v>2024</v>
      </c>
      <c r="O4033" s="23" t="n">
        <v>357</v>
      </c>
      <c r="P4033" s="23" t="n"/>
      <c r="Q4033" s="23" t="n"/>
      <c r="R4033" s="25" t="inlineStr">
        <is>
          <t>Маргарита Морозова… Эта женщина, прожив долгую и очень нелегкую жизнь, оказалась причастна к самым знаменательным событиям русской истории и культуры конца ХIХ — начала ХХ века. Но оставалась она для всех прежде всего Прекрасной Дамой, Сказкой, вдохновившей на творчество многих великих людей и жившей ради любви…</t>
        </is>
      </c>
      <c r="S4033" s="26">
        <f>HYPERLINK("http://www.cnpol.ru/covers/21137.jpg","фото на сайте")</f>
        <v/>
      </c>
    </row>
    <row r="4034" ht="50.1" customHeight="1" s="3">
      <c r="A4034" s="23" t="inlineStr">
        <is>
          <t>Н</t>
        </is>
      </c>
      <c r="B4034" s="24" t="inlineStr">
        <is>
          <t>21138</t>
        </is>
      </c>
      <c r="C4034" s="23" t="inlineStr">
        <is>
          <t>ОИ РОСС</t>
        </is>
      </c>
      <c r="D4034" s="23" t="inlineStr">
        <is>
          <t>Пресняков А.Е.</t>
        </is>
      </c>
      <c r="E4034" s="23" t="inlineStr">
        <is>
          <t>Российские самодержцы. От основателя династии Романовых царя Михаила до хранителя самодержавных ценностей Николая I</t>
        </is>
      </c>
      <c r="F4034" s="23" t="inlineStr">
        <is>
          <t>        </t>
        </is>
      </c>
      <c r="G4034" s="27" t="n">
        <v>1009</v>
      </c>
      <c r="H4034" s="23" t="n">
        <v>10</v>
      </c>
      <c r="I4034" s="23" t="n">
        <v>12</v>
      </c>
      <c r="J4034" s="23" t="inlineStr">
        <is>
          <t>978-5-227-10671-1</t>
        </is>
      </c>
      <c r="K4034" s="23" t="inlineStr">
        <is>
          <t>84x108 1/32</t>
        </is>
      </c>
      <c r="L4034" s="23" t="inlineStr">
        <is>
          <t>тв</t>
        </is>
      </c>
      <c r="M4034" s="23" t="n">
        <v>319</v>
      </c>
      <c r="N4034" s="23" t="n">
        <v>2024</v>
      </c>
      <c r="O4034" s="23" t="n">
        <v>370</v>
      </c>
      <c r="P4034" s="23" t="n"/>
      <c r="Q4034" s="23" t="n"/>
      <c r="R4034" s="25" t="inlineStr">
        <is>
          <t>Исторические очерки выдающегося русского ученого А.Е. Преснякова посвящены самодержавным правителям Русской земли — царям Михаилу Феодоровичу, Алексею Михайловичу, Александру I, Николаю I. Пресняков представляет правдивую картину существовавшей действительности и — главное — ее созидателей. Очерки автора отличает объективный анализ описываемых эпох, осмысление подлинной роли личности в истории, ее силу и слабости. С.Ф. Платонов, учитель А.Е. Преснякова, писал о нем как о замечательном исследователе, который «пытливо всматривался в явления окружающей жизни, благожелательно шел навстречу всему тому, в чем видел зерно грядущего развития и силы».</t>
        </is>
      </c>
      <c r="S4034" s="26">
        <f>HYPERLINK("http://www.cnpol.ru/covers/21138.jpg","фото на сайте")</f>
        <v/>
      </c>
    </row>
    <row r="4035" ht="50.1" customHeight="1" s="3">
      <c r="A4035" s="23" t="inlineStr">
        <is>
          <t>Н</t>
        </is>
      </c>
      <c r="B4035" s="24" t="inlineStr">
        <is>
          <t>21924</t>
        </is>
      </c>
      <c r="C4035" s="23" t="inlineStr">
        <is>
          <t>ОИ РОСС</t>
        </is>
      </c>
      <c r="D4035" s="23" t="inlineStr">
        <is>
          <t>Понафидина Э.</t>
        </is>
      </c>
      <c r="E4035" s="23" t="inlineStr">
        <is>
          <t>Россия — мой дом. Воспоминания американки, жены русского дворянина, статского советника, о трагических днях войны и революции</t>
        </is>
      </c>
      <c r="F4035" s="23" t="inlineStr">
        <is>
          <t>        </t>
        </is>
      </c>
      <c r="G4035" s="23" t="n">
        <v>935</v>
      </c>
      <c r="H4035" s="23" t="n">
        <v>10</v>
      </c>
      <c r="I4035" s="23" t="n">
        <v>10</v>
      </c>
      <c r="J4035" s="23" t="inlineStr">
        <is>
          <t>978-5-9524-6546-6</t>
        </is>
      </c>
      <c r="K4035" s="23" t="inlineStr">
        <is>
          <t>84x108 1/32</t>
        </is>
      </c>
      <c r="L4035" s="23" t="inlineStr">
        <is>
          <t>тв</t>
        </is>
      </c>
      <c r="M4035" s="23" t="n">
        <v>255</v>
      </c>
      <c r="N4035" s="23" t="n">
        <v>2026</v>
      </c>
      <c r="O4035" s="23" t="n">
        <v>319</v>
      </c>
      <c r="P4035" s="23" t="n"/>
      <c r="Q4035" s="23" t="n"/>
      <c r="R4035" s="25" t="inlineStr">
        <is>
          <t>Эмма Понафидина, в девичестве Кохран, американка, вышедшая замуж за русского дворянина, вспоминает о своей жизни в России в трагический для страны период истории. Свое повествование она начинает с подробностей быта провинциального дворянства и крестьян, описывает домашний уклад, гастрономические пристрастия, народные обычаи, хлопоты по хозяйству. Благополучное течение жизни нарушается с началом Первой мировой войны. Понафидина рассказывает о болезни мужа, взрослении детей, о страхе за семью в условиях военного времени, революционной бури и террора. Изгнанные из родного дома, лишенные собственности, понимая, что им почти невозможно будет выжить при новой власти, Эмма Понафидина и двое ее сыновей с риском для жизни решаются на побег из страны.</t>
        </is>
      </c>
      <c r="S4035" s="26">
        <f>HYPERLINK("http://www.cnpol.ru/covers/21924.jpg","фото на сайте")</f>
        <v/>
      </c>
    </row>
    <row r="4036" ht="50.1" customHeight="1" s="3">
      <c r="A4036" s="23" t="n"/>
      <c r="B4036" s="24" t="inlineStr">
        <is>
          <t>14972</t>
        </is>
      </c>
      <c r="C4036" s="23" t="inlineStr">
        <is>
          <t>ОИ РОСС</t>
        </is>
      </c>
      <c r="D4036" s="23" t="inlineStr">
        <is>
          <t>Яров С.</t>
        </is>
      </c>
      <c r="E4036" s="23" t="inlineStr">
        <is>
          <t>Россия в 1917 - 2000 гг. Книга для всех, интересующихся отечественных историей.</t>
        </is>
      </c>
      <c r="F4036" s="23" t="inlineStr">
        <is>
          <t>        </t>
        </is>
      </c>
      <c r="G4036" s="23" t="n">
        <v>927</v>
      </c>
      <c r="H4036" s="23" t="n">
        <v>10</v>
      </c>
      <c r="I4036" s="23" t="n">
        <v>12</v>
      </c>
      <c r="J4036" s="23" t="inlineStr">
        <is>
          <t>978-5-227-04807-3</t>
        </is>
      </c>
      <c r="K4036" s="23" t="inlineStr">
        <is>
          <t>84x108 1/32</t>
        </is>
      </c>
      <c r="L4036" s="23" t="inlineStr">
        <is>
          <t>тв</t>
        </is>
      </c>
      <c r="M4036" s="23" t="n">
        <v>540</v>
      </c>
      <c r="N4036" s="23" t="n">
        <v>2014</v>
      </c>
      <c r="O4036" s="23" t="n">
        <v>528</v>
      </c>
      <c r="P4036" s="23" t="n"/>
      <c r="Q4036" s="23" t="n"/>
      <c r="R4036" s="25" t="n"/>
      <c r="S4036" s="26">
        <f>HYPERLINK("http://www.cnpol.ru/covers/14972.jpg","фото на сайте")</f>
        <v/>
      </c>
    </row>
    <row r="4037" ht="50.1" customHeight="1" s="3">
      <c r="A4037" s="23" t="inlineStr">
        <is>
          <t>Н</t>
        </is>
      </c>
      <c r="B4037" s="24" t="inlineStr">
        <is>
          <t>21056</t>
        </is>
      </c>
      <c r="C4037" s="23" t="inlineStr">
        <is>
          <t>ОИ РОСС</t>
        </is>
      </c>
      <c r="D4037" s="23" t="inlineStr">
        <is>
          <t>Беккер С.</t>
        </is>
      </c>
      <c r="E4037" s="23" t="inlineStr">
        <is>
          <t>Россия в Центральной Азии. Бухарский эмират и Хивинское ханство при власти императоров и большевиков. 1865–1924</t>
        </is>
      </c>
      <c r="F4037" s="23" t="inlineStr">
        <is>
          <t>        </t>
        </is>
      </c>
      <c r="G4037" s="23" t="n">
        <v>593</v>
      </c>
      <c r="H4037" s="23" t="n">
        <v>10</v>
      </c>
      <c r="I4037" s="23" t="n">
        <v>12</v>
      </c>
      <c r="J4037" s="23" t="inlineStr">
        <is>
          <t>978-5-9524-5951-9</t>
        </is>
      </c>
      <c r="K4037" s="23" t="inlineStr">
        <is>
          <t>84x108 1/32</t>
        </is>
      </c>
      <c r="L4037" s="23" t="inlineStr">
        <is>
          <t>тв</t>
        </is>
      </c>
      <c r="M4037" s="23" t="n">
        <v>351</v>
      </c>
      <c r="N4037" s="23" t="n">
        <v>2024</v>
      </c>
      <c r="O4037" s="23" t="n">
        <v>295</v>
      </c>
      <c r="P4037" s="23" t="n"/>
      <c r="Q4037" s="23" t="n"/>
      <c r="R4037" s="25" t="inlineStr">
        <is>
          <t>Сеймур Беккер, американский историк, специализировавшийся на истории Российской империи конца XIX — начала XX в., в своем труде описывает поход на древние узбекские ханства — Бухару и Хиву и последующие отношения между Россией и двумя этими протекторатами. Автор показывает, как царское правительство смогло сохранить фактически анклавам России определенную политическую автономию. Но бурное развитие торговли и рост русских поселений положили конец изоляции ханств, а когда во время Первой мировой войны в Хиве разразилась гражданская война, Россия отказалась от политики невмешательства. Настоящая книга представляет собой также увлекательное исследование дворцовых интриг, этнического соперничества и экономической напряженности, описание обычаев и характера этой самобытной области, перекрестка древнего пути Восток—Запад…</t>
        </is>
      </c>
      <c r="S4037" s="26">
        <f>HYPERLINK("http://www.cnpol.ru/covers/21056.jpg","фото на сайте")</f>
        <v/>
      </c>
    </row>
    <row r="4038" ht="50.1" customHeight="1" s="3">
      <c r="A4038" s="23" t="inlineStr">
        <is>
          <t>Д</t>
        </is>
      </c>
      <c r="B4038" s="24" t="inlineStr">
        <is>
          <t>21450</t>
        </is>
      </c>
      <c r="C4038" s="23" t="inlineStr">
        <is>
          <t>ОИ РОСС</t>
        </is>
      </c>
      <c r="D4038" s="23" t="inlineStr">
        <is>
          <t>Сватиков С.Г.</t>
        </is>
      </c>
      <c r="E4038" s="23" t="inlineStr">
        <is>
          <t>Россия и Дон. История донского казачества 1549—1917. Исследование по истории государственного и административного права и политических движений на Дону</t>
        </is>
      </c>
      <c r="F4038" s="23" t="inlineStr">
        <is>
          <t>        </t>
        </is>
      </c>
      <c r="G4038" s="27" t="n">
        <v>1600</v>
      </c>
      <c r="H4038" s="23" t="n">
        <v>10</v>
      </c>
      <c r="I4038" s="23" t="n">
        <v>4</v>
      </c>
      <c r="J4038" s="23" t="inlineStr">
        <is>
          <t>978-5-227-10892-0</t>
        </is>
      </c>
      <c r="K4038" s="23" t="inlineStr">
        <is>
          <t>60x90 1/16</t>
        </is>
      </c>
      <c r="L4038" s="23" t="inlineStr">
        <is>
          <t>тв</t>
        </is>
      </c>
      <c r="M4038" s="23" t="n">
        <v>623</v>
      </c>
      <c r="N4038" s="23" t="n">
        <v>2025</v>
      </c>
      <c r="O4038" s="23" t="n">
        <v>702</v>
      </c>
      <c r="P4038" s="23" t="n"/>
      <c r="Q4038" s="23" t="n"/>
      <c r="R4038" s="25" t="inlineStr">
        <is>
          <t>Предлагаем вашему вниманию адаптированную на современный язык уникальную монографию российского историка Сергея Григорьевича Сватикова. Книга посвящена донскому казачеству и является интересным исследованием гражданской и социально-политической истории Дона._x000D__x000D_
Сватиков изучил и проработал колоссальное количество монографий, общих трудов, статей и различных материалов, касающихся заявленной темы. История казачества представляет громадный интерес как ценный опыт разрешения самим народом вековых задач построения жизни на началах свободы и равенства. Книга обстоятельна, глубока и будет интересна не только профессиональным историкам.</t>
        </is>
      </c>
      <c r="S4038" s="26">
        <f>HYPERLINK("http://www.cnpol.ru/covers/21450.jpg","фото на сайте")</f>
        <v/>
      </c>
    </row>
    <row r="4039" ht="50.1" customHeight="1" s="3">
      <c r="A4039" s="23" t="inlineStr">
        <is>
          <t>Н</t>
        </is>
      </c>
      <c r="B4039" s="24" t="inlineStr">
        <is>
          <t>21571</t>
        </is>
      </c>
      <c r="C4039" s="23" t="inlineStr">
        <is>
          <t>ОИ РОСС</t>
        </is>
      </c>
      <c r="D4039" s="23" t="inlineStr">
        <is>
          <t>Кисин С.В</t>
        </is>
      </c>
      <c r="E4039" s="23" t="inlineStr">
        <is>
          <t>Ростов-папа. История воровской столицы России. Конец XVIII — начало XX в.</t>
        </is>
      </c>
      <c r="F4039" s="23" t="inlineStr">
        <is>
          <t>        </t>
        </is>
      </c>
      <c r="G4039" s="27" t="n">
        <v>1286</v>
      </c>
      <c r="H4039" s="23" t="n">
        <v>10</v>
      </c>
      <c r="I4039" s="23" t="n">
        <v>5</v>
      </c>
      <c r="J4039" s="23" t="inlineStr">
        <is>
          <t>978-5-227-10980-4</t>
        </is>
      </c>
      <c r="K4039" s="23" t="inlineStr">
        <is>
          <t>84x108 1/32</t>
        </is>
      </c>
      <c r="L4039" s="23" t="inlineStr">
        <is>
          <t>тв</t>
        </is>
      </c>
      <c r="M4039" s="23" t="n">
        <v>479</v>
      </c>
      <c r="N4039" s="23" t="n">
        <v>2025</v>
      </c>
      <c r="O4039" s="23" t="n">
        <v>433</v>
      </c>
      <c r="P4039" s="23" t="n"/>
      <c r="Q4039" s="23" t="n"/>
      <c r="R4039" s="25" t="inlineStr">
        <is>
          <t>В книге в доступной форме изложена история зарождения, формирования и созревания криминального феномена под названием «Ростов-папа» — воровской столицы юга России. В книге впервые в отечественной историографии показана история преступности не с точки зрения борцов с ней, а, что называется, «с другой стороны баррикад». Проанализированы причины, исторические истоки и пути создания одного из крупнейших российских криминальных сообществ. Представлены основные уголовные специализации «столицы» и их виднейшие представители. Показан путь, который прошло преступное сообщество юга России от мелких разбойничьих шаек конца XVIII века до образования «воровского закона» и устойчивых организованных преступных группировок 30­х годов ХХ века.</t>
        </is>
      </c>
      <c r="S4039" s="26">
        <f>HYPERLINK("http://www.cnpol.ru/covers/21571.jpg","фото на сайте")</f>
        <v/>
      </c>
    </row>
    <row r="4040" ht="50.1" customHeight="1" s="3">
      <c r="A4040" s="23" t="inlineStr">
        <is>
          <t>Н</t>
        </is>
      </c>
      <c r="B4040" s="24" t="inlineStr">
        <is>
          <t>21567</t>
        </is>
      </c>
      <c r="C4040" s="23" t="inlineStr">
        <is>
          <t>ОИ РОСС</t>
        </is>
      </c>
      <c r="D4040" s="23" t="inlineStr">
        <is>
          <t>Голубинцев А.В.</t>
        </is>
      </c>
      <c r="E4040" s="23" t="inlineStr">
        <is>
          <t>Русская Вандея. Очерки Гражданской войны на Дону. 1917—1920 гг.</t>
        </is>
      </c>
      <c r="F4040" s="23" t="inlineStr">
        <is>
          <t>        </t>
        </is>
      </c>
      <c r="G4040" s="23" t="n">
        <v>888</v>
      </c>
      <c r="H4040" s="23" t="n">
        <v>10</v>
      </c>
      <c r="I4040" s="23" t="n">
        <v>8</v>
      </c>
      <c r="J4040" s="23" t="inlineStr">
        <is>
          <t>978-5-227-10865-4</t>
        </is>
      </c>
      <c r="K4040" s="23" t="inlineStr">
        <is>
          <t>84x108 1/32</t>
        </is>
      </c>
      <c r="L4040" s="23" t="inlineStr">
        <is>
          <t>тв</t>
        </is>
      </c>
      <c r="M4040" s="23" t="n">
        <v>255</v>
      </c>
      <c r="N4040" s="23" t="n">
        <v>2025</v>
      </c>
      <c r="O4040" s="23" t="n">
        <v>299</v>
      </c>
      <c r="P4040" s="23" t="n"/>
      <c r="Q4040" s="23" t="n"/>
      <c r="R4040" s="25" t="inlineStr">
        <is>
          <t>Александр Васильевич Голубинцев — генерал-майор донских частей Белой армии. С 1902 года служил в 3-м Донском Ермака Тимофеевича полку. В 1917 году он был командиром родного полка. В начале 1918 года Голубинцев вывел свой полк с фронта на Дон и… распустил казаков по домам. Не все его поняли — он с полным смирением принял новую власть, что казалось удивительным… Но от смирения Голубинцев был далек. 25 апреля 1918 года казачий съезд Усть-Хоперской станицы решил: «Не подчиняться существующей советской власти…» Голубинцев занял пост начальника гарнизона станицы Усть-Хоперской и командира казачьего отряда. Логика развития событий привела А.В. Голубинцева в Белую армию, где он командовал крупными казачьими соединениями, дивизиями и бригадами из нескольких дивизий… С ноября 1919 года А.В. Голубинцев — генерал-майор…_x000D_
После эвакуации белых из Крыма Голубинцев оказался в Болгарии. Он преподавал на офицерских курсах РОВС и работал над воспоминаниями о Гражданской войне. Завершил книгу А.В. Голубинцев в 1925 году… но первое издание появилось только в 1959 году. За это время с генералом произошли удивительные метаморфозы… «В эмиграцию мы привезли с собою горсть родной земли и смертельную ненависть к большевикам», — писал он в финале. Эта ненависть привела А.В. Голубинцева к сотрудничеству с фашистами, что оттолкнуло от него многих единомышленников. В конце Второй мировой войны он попал в американский лагерь для военнопленных, благодаря чему избежал казни как предатель родины. В 1955 году Голубинцев перебрался в США, где и скончался через восемь лет. На родине он был забыт. Между тем его рассказ представляет интерес. Генерал Голубинцев был лично причастен к важным событиям, оставившим след в истории донского казачества.</t>
        </is>
      </c>
      <c r="S4040" s="26">
        <f>HYPERLINK("http://www.cnpol.ru/covers/21567.jpg","фото на сайте")</f>
        <v/>
      </c>
    </row>
    <row r="4041" ht="50.1" customHeight="1" s="3">
      <c r="A4041" s="23" t="n"/>
      <c r="B4041" s="24" t="inlineStr">
        <is>
          <t>20564</t>
        </is>
      </c>
      <c r="C4041" s="23" t="inlineStr">
        <is>
          <t>ОИ РОСС</t>
        </is>
      </c>
      <c r="D4041" s="23" t="inlineStr">
        <is>
          <t>Вернадский Г.В.</t>
        </is>
      </c>
      <c r="E4041" s="23" t="inlineStr">
        <is>
          <t>Русская историография. Развитие исторической науки в России в XVIII—XX вв.</t>
        </is>
      </c>
      <c r="F4041" s="23" t="inlineStr">
        <is>
          <t>        </t>
        </is>
      </c>
      <c r="G4041" s="27" t="n">
        <v>1251</v>
      </c>
      <c r="H4041" s="23" t="n">
        <v>10</v>
      </c>
      <c r="I4041" s="23" t="n">
        <v>10</v>
      </c>
      <c r="J4041" s="23" t="inlineStr">
        <is>
          <t>978-5-9524-5898-7</t>
        </is>
      </c>
      <c r="K4041" s="23" t="inlineStr">
        <is>
          <t>84x108 1/32</t>
        </is>
      </c>
      <c r="L4041" s="23" t="inlineStr">
        <is>
          <t>тв</t>
        </is>
      </c>
      <c r="M4041" s="23" t="n">
        <v>415</v>
      </c>
      <c r="N4041" s="23" t="n">
        <v>2023</v>
      </c>
      <c r="O4041" s="23" t="n">
        <v>400</v>
      </c>
      <c r="P4041" s="23" t="n"/>
      <c r="Q4041" s="23" t="n"/>
      <c r="R4041" s="25" t="inlineStr">
        <is>
          <t>Автор настоящего исследования Г.В. Вернадский — историк-евразиец, специалист по истории России, профессор русской истории Йельского университета в США, один из основателей американской школы русской историографии, доктор гуманитарных наук. В своей книге он уделяет внимание развитию историографии в России от XVIII до начала XX века. В ней говорится об идеях, оказавших влияние на русскую историческую науку, об изучении всеобщей истории, археологии и искусства, даны сведения и характеристики творчества ведущих российских историков Н. Костомарова, Н. Карамзина, В. Ключевского, С. Соловьева, И. Грабаря и др.</t>
        </is>
      </c>
      <c r="S4041" s="26">
        <f>HYPERLINK("http://www.cnpol.ru/covers/20564.jpg","фото на сайте")</f>
        <v/>
      </c>
    </row>
    <row r="4042" ht="50.1" customHeight="1" s="3">
      <c r="A4042" s="23" t="inlineStr">
        <is>
          <t>Н</t>
        </is>
      </c>
      <c r="B4042" s="24" t="inlineStr">
        <is>
          <t>21359</t>
        </is>
      </c>
      <c r="C4042" s="23" t="inlineStr">
        <is>
          <t>ОИ РОСС</t>
        </is>
      </c>
      <c r="D4042" s="23" t="inlineStr">
        <is>
          <t>Любавский М.К.</t>
        </is>
      </c>
      <c r="E4042" s="23" t="inlineStr">
        <is>
          <t>Русская история с древних времен до конца  XVIII века</t>
        </is>
      </c>
      <c r="F4042" s="23" t="inlineStr">
        <is>
          <t>        </t>
        </is>
      </c>
      <c r="G4042" s="27" t="n">
        <v>1850</v>
      </c>
      <c r="H4042" s="23" t="n">
        <v>10</v>
      </c>
      <c r="I4042" s="23" t="n">
        <v>4</v>
      </c>
      <c r="J4042" s="23" t="inlineStr">
        <is>
          <t>978-5-227-10845-6</t>
        </is>
      </c>
      <c r="K4042" s="23" t="inlineStr">
        <is>
          <t>60x90 1/16</t>
        </is>
      </c>
      <c r="L4042" s="23" t="inlineStr">
        <is>
          <t>тв</t>
        </is>
      </c>
      <c r="M4042" s="23" t="n">
        <v>719</v>
      </c>
      <c r="N4042" s="23" t="n">
        <v>2024</v>
      </c>
      <c r="O4042" s="23" t="n">
        <v>850</v>
      </c>
      <c r="P4042" s="23" t="n"/>
      <c r="Q4042" s="23" t="n"/>
      <c r="R4042" s="25" t="inlineStr">
        <is>
          <t>В настоящем издании собраны сочинения выдающегося российского ученого, автора целого ряда трудов по истории славян Матвея Кузьмича Любавского. В течение многих лет академик Любавский преподавал русскую историю в Московском университете. Его блистательные лекции легли в основу этого всеобъемлющего труда. Привлекая различные документальные источники, автор исследует происхождение славянских племен, становление и развитие русской государственности, культуру, быт, традиции народов, населяющих территории Руси, дает яркие портреты ключевых фигур, действующих в русской истории, сопровождая повествование объективным и подробным изложением основных исторических фактов.</t>
        </is>
      </c>
      <c r="S4042" s="26">
        <f>HYPERLINK("http://www.cnpol.ru/covers/21359.jpg","фото на сайте")</f>
        <v/>
      </c>
    </row>
    <row r="4043" ht="50.1" customHeight="1" s="3">
      <c r="A4043" s="23" t="inlineStr">
        <is>
          <t>Н</t>
        </is>
      </c>
      <c r="B4043" s="24" t="inlineStr">
        <is>
          <t>21791</t>
        </is>
      </c>
      <c r="C4043" s="23" t="inlineStr">
        <is>
          <t>ОИ РОСС</t>
        </is>
      </c>
      <c r="D4043" s="23" t="inlineStr">
        <is>
          <t>Керенский А.Ф.</t>
        </is>
      </c>
      <c r="E4043" s="23" t="inlineStr">
        <is>
          <t>Русская революция. 1917</t>
        </is>
      </c>
      <c r="F4043" s="23" t="inlineStr">
        <is>
          <t>        </t>
        </is>
      </c>
      <c r="G4043" s="27" t="n">
        <v>1110</v>
      </c>
      <c r="H4043" s="23" t="n">
        <v>10</v>
      </c>
      <c r="I4043" s="23" t="n">
        <v>5</v>
      </c>
      <c r="J4043" s="23" t="inlineStr">
        <is>
          <t>978-5-9524-5714-0</t>
        </is>
      </c>
      <c r="K4043" s="23" t="inlineStr">
        <is>
          <t>84x108 1/32</t>
        </is>
      </c>
      <c r="L4043" s="23" t="inlineStr">
        <is>
          <t>тв</t>
        </is>
      </c>
      <c r="M4043" s="23" t="n">
        <v>384</v>
      </c>
      <c r="N4043" s="23" t="n">
        <v>2025</v>
      </c>
      <c r="O4043" s="23" t="n">
        <v>262</v>
      </c>
      <c r="P4043" s="23" t="n"/>
      <c r="Q4043" s="23" t="n"/>
      <c r="R4043" s="25" t="inlineStr">
        <is>
          <t>А.Ф. Керенский (1881—1970), министр-председатель Временного правительства, воссоздает события Февральской и Октябрьской революций, изменившие судьбу России и всего мира. Он предлагает свое видение сложившейся в 1917 году политической ситуации, объясняет необходимость принятия тех или иных решений, говорит о роли большевиков и мятеже генерала Корнилова.</t>
        </is>
      </c>
      <c r="S4043" s="26">
        <f>HYPERLINK("http://www.cnpol.ru/covers/21791.jpg","фото на сайте")</f>
        <v/>
      </c>
    </row>
    <row r="4044" ht="50.1" customHeight="1" s="3">
      <c r="A4044" s="23" t="inlineStr">
        <is>
          <t>Н</t>
        </is>
      </c>
      <c r="B4044" s="24" t="inlineStr">
        <is>
          <t>21545</t>
        </is>
      </c>
      <c r="C4044" s="23" t="inlineStr">
        <is>
          <t>ОИ РОСС</t>
        </is>
      </c>
      <c r="D4044" s="23" t="inlineStr">
        <is>
          <t>Эврич П.</t>
        </is>
      </c>
      <c r="E4044" s="23" t="inlineStr">
        <is>
          <t>Русские анархисты. 1905—1922</t>
        </is>
      </c>
      <c r="F4044" s="23" t="inlineStr">
        <is>
          <t>        </t>
        </is>
      </c>
      <c r="G4044" s="27" t="n">
        <v>1002</v>
      </c>
      <c r="H4044" s="23" t="n">
        <v>10</v>
      </c>
      <c r="I4044" s="23" t="n">
        <v>14</v>
      </c>
      <c r="J4044" s="23" t="inlineStr">
        <is>
          <t>978-5-9524-5831-4</t>
        </is>
      </c>
      <c r="K4044" s="23" t="inlineStr">
        <is>
          <t>84x108 1/32</t>
        </is>
      </c>
      <c r="L4044" s="23" t="inlineStr">
        <is>
          <t>тв</t>
        </is>
      </c>
      <c r="M4044" s="23" t="n">
        <v>272</v>
      </c>
      <c r="N4044" s="23" t="n">
        <v>2025</v>
      </c>
      <c r="O4044" s="23" t="n">
        <v>377</v>
      </c>
      <c r="P4044" s="23" t="n"/>
      <c r="Q4044" s="23" t="n"/>
      <c r="R4044" s="25" t="inlineStr">
        <is>
          <t>В книге рассказывается о том, как в начале XX века промышленная революция и социальный хаос вызвали к жизни вооруженное движение анархистов. Традиции русских анархистов представляли собой смесь западных и доморощенных элементов. Пропущенные через призму учений Бакунина, Кропоткина и наивного популизма, они бурно развивались в ходе революций 1905 и 1917 годов. Анархизм в России активизировался и шел на спад вместе с развитием революционного движения в целом. В водовороте восстаний, террористических актов и Гражданской войны анархисты пытались реализовать свою программу, но потерпели поражение, вытесненные с политической арены большевиками.</t>
        </is>
      </c>
      <c r="S4044" s="26">
        <f>HYPERLINK("http://www.cnpol.ru/covers/21545.jpg","фото на сайте")</f>
        <v/>
      </c>
    </row>
    <row r="4045" ht="50.1" customHeight="1" s="3">
      <c r="A4045" s="23" t="n"/>
      <c r="B4045" s="24" t="inlineStr">
        <is>
          <t>20216</t>
        </is>
      </c>
      <c r="C4045" s="23" t="inlineStr">
        <is>
          <t>ОИ РОСС</t>
        </is>
      </c>
      <c r="D4045" s="23" t="inlineStr">
        <is>
          <t>Унбегаун Б.</t>
        </is>
      </c>
      <c r="E4045" s="23" t="inlineStr">
        <is>
          <t>Русские фамилии. История происхождения, значение и национальные черты наследственных родовых имен</t>
        </is>
      </c>
      <c r="F4045" s="23" t="inlineStr">
        <is>
          <t>        </t>
        </is>
      </c>
      <c r="G4045" s="23" t="n">
        <v>941</v>
      </c>
      <c r="H4045" s="23" t="n">
        <v>10</v>
      </c>
      <c r="I4045" s="23" t="n">
        <v>8</v>
      </c>
      <c r="J4045" s="23" t="inlineStr">
        <is>
          <t>978-5-9524-5545-0</t>
        </is>
      </c>
      <c r="K4045" s="23" t="inlineStr">
        <is>
          <t>60x90 1/16</t>
        </is>
      </c>
      <c r="L4045" s="23" t="inlineStr">
        <is>
          <t>тв</t>
        </is>
      </c>
      <c r="M4045" s="23" t="n">
        <v>559</v>
      </c>
      <c r="N4045" s="23" t="n">
        <v>2022</v>
      </c>
      <c r="O4045" s="23" t="n">
        <v>582</v>
      </c>
      <c r="P4045" s="23" t="n"/>
      <c r="Q4045" s="23" t="n"/>
      <c r="R4045" s="25" t="n"/>
      <c r="S4045" s="26">
        <f>HYPERLINK("http://www.cnpol.ru/covers/20216.jpg","фото на сайте")</f>
        <v/>
      </c>
    </row>
    <row r="4046" ht="50.1" customHeight="1" s="3">
      <c r="A4046" s="23" t="inlineStr">
        <is>
          <t>Н</t>
        </is>
      </c>
      <c r="B4046" s="24" t="inlineStr">
        <is>
          <t>21219</t>
        </is>
      </c>
      <c r="C4046" s="23" t="inlineStr">
        <is>
          <t>ОИ РОСС</t>
        </is>
      </c>
      <c r="D4046" s="23" t="inlineStr">
        <is>
          <t>Пыпин А.Н.</t>
        </is>
      </c>
      <c r="E4046" s="23" t="inlineStr">
        <is>
          <t>Русское масонство. Символы, принципы и ритуалы тайного общества в эпоху Екатерины II и Александра I</t>
        </is>
      </c>
      <c r="F4046" s="23" t="inlineStr">
        <is>
          <t>        </t>
        </is>
      </c>
      <c r="G4046" s="27" t="n">
        <v>1359</v>
      </c>
      <c r="H4046" s="23" t="n">
        <v>10</v>
      </c>
      <c r="I4046" s="23" t="n">
        <v>8</v>
      </c>
      <c r="J4046" s="23" t="inlineStr">
        <is>
          <t>978-5-9524-6157-4</t>
        </is>
      </c>
      <c r="K4046" s="23" t="inlineStr">
        <is>
          <t>84x108 1/32</t>
        </is>
      </c>
      <c r="L4046" s="23" t="inlineStr">
        <is>
          <t>тв</t>
        </is>
      </c>
      <c r="M4046" s="23" t="n">
        <v>511</v>
      </c>
      <c r="N4046" s="23" t="n">
        <v>2024</v>
      </c>
      <c r="O4046" s="23" t="n">
        <v>525</v>
      </c>
      <c r="P4046" s="23" t="n"/>
      <c r="Q4046" s="23" t="n"/>
      <c r="R4046" s="25" t="inlineStr">
        <is>
          <t>Профессор А.Н. Пыпин в своем исследовании прослеживает историю русского масонства от учреждения первых лож в начале ХVIII в. до полного запрета на деятельность тайных обществ в 1829 г. В книге, вышедшей в 1916 г. под редакцией историка Г.В. Вернадского и не потерявшей актуальности по сей день, собраны и систематизированы бесценные материалы по истории духовных братств и орденов Российской империи. В очерках, составляющих данный труд, изложено сказание о Гираме, легендарном строителе Храма царя Соломона, описан ритуал принятия в масонскую ложу, рассмотрены особенности устава вольных каменщиков, розенкрейцеров и тамплиеров, а также прослеживается эволюция взглядов верховной власти на деятельность лож.</t>
        </is>
      </c>
      <c r="S4046" s="26">
        <f>HYPERLINK("http://www.cnpol.ru/covers/21219.jpg","фото на сайте")</f>
        <v/>
      </c>
    </row>
    <row r="4047" ht="50.1" customHeight="1" s="3">
      <c r="A4047" s="23" t="inlineStr">
        <is>
          <t>Д</t>
        </is>
      </c>
      <c r="B4047" s="24" t="inlineStr">
        <is>
          <t>21367</t>
        </is>
      </c>
      <c r="C4047" s="23" t="inlineStr">
        <is>
          <t>ОИ РОСС</t>
        </is>
      </c>
      <c r="D4047" s="23" t="inlineStr">
        <is>
          <t>Половцов Л.В.</t>
        </is>
      </c>
      <c r="E4047" s="23" t="inlineStr">
        <is>
          <t>Рыцари тернового венца: Зарождение Белого движения, становление Добровольческой армии и Первый Кубанский (Ледяной) поход 1918 года</t>
        </is>
      </c>
      <c r="F4047" s="23" t="inlineStr">
        <is>
          <t>        </t>
        </is>
      </c>
      <c r="G4047" s="23" t="n">
        <v>768</v>
      </c>
      <c r="H4047" s="23" t="n">
        <v>10</v>
      </c>
      <c r="I4047" s="23" t="n">
        <v>18</v>
      </c>
      <c r="J4047" s="23" t="inlineStr">
        <is>
          <t>978-5-227-10439-7</t>
        </is>
      </c>
      <c r="K4047" s="23" t="inlineStr">
        <is>
          <t>84x108 1/32</t>
        </is>
      </c>
      <c r="L4047" s="23" t="inlineStr">
        <is>
          <t>тв</t>
        </is>
      </c>
      <c r="M4047" s="23" t="n">
        <v>191</v>
      </c>
      <c r="N4047" s="23" t="n">
        <v>2024</v>
      </c>
      <c r="O4047" s="23" t="n">
        <v>261</v>
      </c>
      <c r="P4047" s="23" t="n"/>
      <c r="Q4047" s="23" t="n"/>
      <c r="R4047" s="25" t="inlineStr">
        <is>
          <t>Гражданская война, поистине братоубийственная, остается одной из самых страшных и горьких страниц истории России. Основная борьба шла между большевиками и их сторонниками (красными) и не принявшими советскую власть антибольшевистскими силами (белыми), хотя в сложный клубок боевых действий вмешались и другие вооруженные формирования различных политических сил. Безумная конфронтация разных лагерей, сформировавшихся в некогда едином российском обществе, привела к большой крови и обоюдной жестокости. Гражданская война – сложная тема, и свидетельства очевидцев и участников боевых действий дают много пищи для размышлений. Книга воспоминаний «Рыцари тернового венца» была написана в эмиграции Львом Викторовичем Половцовым – человеком, стоявшим у истоков Белого движения и формирования Добровольческой армии, принимавшим непосредственное участие в Первом Кубанском (Ледяном) походе. Член Государственной думы Л.В. Половцов не принял революционные преобразования 1917 года и новую власть. Он оказался на Дону — Область войска Донского не поддержала большевиков и объявила о своей автономии. На Дон начали стекаться беженцы из Центральной России, офицеры, политики, предприниматели… Л.В. Половцов, не задумываясь, примкнул к добровольцам формирующейся армии и прошел с ними боевой путь, названный позже Ледяным походом…</t>
        </is>
      </c>
      <c r="S4047" s="26">
        <f>HYPERLINK("http://www.cnpol.ru/covers/21367.jpg","фото на сайте")</f>
        <v/>
      </c>
    </row>
    <row r="4048" ht="50.1" customHeight="1" s="3">
      <c r="A4048" s="23" t="inlineStr">
        <is>
          <t>Н</t>
        </is>
      </c>
      <c r="B4048" s="24" t="inlineStr">
        <is>
          <t>21584</t>
        </is>
      </c>
      <c r="C4048" s="23" t="inlineStr">
        <is>
          <t>ОИ РОСС</t>
        </is>
      </c>
      <c r="D4048" s="23" t="inlineStr">
        <is>
          <t>Воейков В.Н.</t>
        </is>
      </c>
      <c r="E4048" s="23" t="inlineStr">
        <is>
          <t>С царем и без царя. Воспоминания последнего дворцового коменданта императора Николая II</t>
        </is>
      </c>
      <c r="F4048" s="23" t="inlineStr">
        <is>
          <t>        </t>
        </is>
      </c>
      <c r="G4048" s="27" t="n">
        <v>1110</v>
      </c>
      <c r="H4048" s="23" t="n">
        <v>10</v>
      </c>
      <c r="I4048" s="23" t="n">
        <v>8</v>
      </c>
      <c r="J4048" s="23" t="inlineStr">
        <is>
          <t>978-5-227-11030-5</t>
        </is>
      </c>
      <c r="K4048" s="23" t="inlineStr">
        <is>
          <t>84x108 1/32</t>
        </is>
      </c>
      <c r="L4048" s="23" t="inlineStr">
        <is>
          <t>тв</t>
        </is>
      </c>
      <c r="M4048" s="23" t="n">
        <v>383</v>
      </c>
      <c r="N4048" s="23" t="n">
        <v>2025</v>
      </c>
      <c r="O4048" s="23" t="n">
        <v>277</v>
      </c>
      <c r="P4048" s="23" t="n"/>
      <c r="Q4048" s="23" t="n"/>
      <c r="R4048" s="25" t="inlineStr">
        <is>
          <t>В мемуарах генерал-майора В.Н. Воейкова (1868—1947) описаны последние пять лет правления Николая II — мирные годы до вступления России в Первую мировую войну и драматические события революционного лихолетья. В книгу включены записи бесед и выдержки из личной переписки с августейшей четой, видными государственными и политическими деятелями. С необычайной теплотой автор вспоминает истории, связанные с великими княжнами и цесаревичем Алексеем, а также яркие эпизоды из жизни при дворе — костюмированный бал 1913 года, елки, парады, высочайшие визиты и выезды. Особый интерес представляют записи В.Н. Воейкова об участии российских атлетов в летних играх 1912 года в Стокгольме и развитии Олимпийского движения в Российской империи. Книга воспоминаний наполнена светлой грустью об ушедшей эпохе и надеждой на скорое возрождение России.</t>
        </is>
      </c>
      <c r="S4048" s="26">
        <f>HYPERLINK("http://www.cnpol.ru/covers/21584.jpg","фото на сайте")</f>
        <v/>
      </c>
    </row>
    <row r="4049" ht="50.1" customHeight="1" s="3">
      <c r="A4049" s="23" t="inlineStr">
        <is>
          <t>Н</t>
        </is>
      </c>
      <c r="B4049" s="24" t="inlineStr">
        <is>
          <t>21451</t>
        </is>
      </c>
      <c r="C4049" s="23" t="inlineStr">
        <is>
          <t>ОИ РОСС</t>
        </is>
      </c>
      <c r="D4049" s="23" t="inlineStr">
        <is>
          <t>Гинс Г. К.</t>
        </is>
      </c>
      <c r="E4049" s="23" t="inlineStr">
        <is>
          <t>Сибирь, союзники и Колчак. Поворотный момент русской истории. 1918—1920 гг. Впечатления и мысли члена Омского правительства</t>
        </is>
      </c>
      <c r="F4049" s="23" t="inlineStr">
        <is>
          <t>        </t>
        </is>
      </c>
      <c r="G4049" s="27" t="n">
        <v>1771</v>
      </c>
      <c r="H4049" s="23" t="n">
        <v>10</v>
      </c>
      <c r="I4049" s="23" t="n">
        <v>4</v>
      </c>
      <c r="J4049" s="23" t="inlineStr">
        <is>
          <t>978-5-227-10862-3</t>
        </is>
      </c>
      <c r="K4049" s="23" t="inlineStr">
        <is>
          <t>60x90 1/16</t>
        </is>
      </c>
      <c r="L4049" s="23" t="inlineStr">
        <is>
          <t>тв</t>
        </is>
      </c>
      <c r="M4049" s="23" t="n">
        <v>687</v>
      </c>
      <c r="N4049" s="23" t="n">
        <v>2025</v>
      </c>
      <c r="O4049" s="23" t="n">
        <v>719</v>
      </c>
      <c r="P4049" s="23" t="n"/>
      <c r="Q4049" s="23" t="n"/>
      <c r="R4049" s="25" t="inlineStr">
        <is>
          <t>Белое движение в Сибири — огромный пласт фактов, личностей, событий, порой забытых, но при этом тесно связанных с историей России. Несколько правительств, действовавших в Сибири почти одновременно; роль Комуча (Комитета членов Учредительного собрания, разогнанного большевиками); сепаратистское движение, названное областничеством (Сибирская область), выступавшее за отделение Сибири от России или, по крайней мере, полную автономию; Чехословацкий корпус – откуда он взялся и почему играл в Сибири такую большую роль; кабинет генерала Хорвата, начальника КВЖД, объявившего себя Верховным правителем Дальнего Востока; интервенция иностранных держав и их политические декларации; маньчжурское и уссурийское казачество и дела атаманов казачьих войск… И наконец, личность, правление и трагический финал жизни адмирала А.В. Колчака._x000D_
Книга Г.К. Гинса отвечает на многие вопросы. Факты, которые остаются за рамками учебников истории, щедро рассыпаны на страницах его воспоминаний. Свидетельство человека, причастного к событиям, всегда представляет большой интерес, тем более автор старался соблюдать объективность и беспристрастность.</t>
        </is>
      </c>
      <c r="S4049" s="26">
        <f>HYPERLINK("http://www.cnpol.ru/covers/21451.jpg","фото на сайте")</f>
        <v/>
      </c>
    </row>
    <row r="4050" ht="50.1" customHeight="1" s="3">
      <c r="A4050" s="23" t="n"/>
      <c r="B4050" s="24" t="inlineStr">
        <is>
          <t>20327</t>
        </is>
      </c>
      <c r="C4050" s="23" t="inlineStr">
        <is>
          <t>ОИ РОСС</t>
        </is>
      </c>
      <c r="D4050" s="23" t="inlineStr">
        <is>
          <t>Локкарт Р.Б. , Бобадилья Пепита</t>
        </is>
      </c>
      <c r="E4050" s="23" t="inlineStr">
        <is>
          <t>Сидней Рейли: шпион-легенда XX века. Исто­рические факты, воспоминания соратников и близких</t>
        </is>
      </c>
      <c r="F4050" s="23" t="inlineStr">
        <is>
          <t>        </t>
        </is>
      </c>
      <c r="G4050" s="27" t="n">
        <v>1031</v>
      </c>
      <c r="H4050" s="23" t="n">
        <v>10</v>
      </c>
      <c r="I4050" s="23" t="n">
        <v>12</v>
      </c>
      <c r="J4050" s="23" t="inlineStr">
        <is>
          <t>978-5-9524-5826-0</t>
        </is>
      </c>
      <c r="K4050" s="23" t="inlineStr">
        <is>
          <t>84x108 1/32</t>
        </is>
      </c>
      <c r="L4050" s="23" t="inlineStr">
        <is>
          <t>тв</t>
        </is>
      </c>
      <c r="M4050" s="23" t="n">
        <v>327</v>
      </c>
      <c r="N4050" s="23" t="n">
        <v>2022</v>
      </c>
      <c r="O4050" s="23" t="n">
        <v>340</v>
      </c>
      <c r="P4050" s="23" t="n"/>
      <c r="Q4050" s="23" t="n"/>
      <c r="R4050" s="25" t="inlineStr">
        <is>
          <t>Книга Р.Б. Локкарта — жизнеописание самого виртуозного суперагента XX века — дополнена уникальными, впервые опубликованными материалами архивов ФСБ России и Пепиты Бобадилья, последней жены супершпиона._x000D_
Биография Рейли полна белых пятен. Он был агентом почти всех крупных разведок мира, манипулировал информацией и людьми, на чем сколотил изрядное состояние. Для него не составляло труда добыть план оборонных укреплений Порт-Артура, предотвратить тотальную подводную войну против Англии или очаровать понравившуюся женщину. Он любил Россию и ненавидел большевиков. Именно в России он начал карьеру шпиона, здесь и погиб, попав в ловушку чекистов (известная операция «Трест»)._x000D_
Документы из архивов ФСБ о последних днях и часах Рейли ставят все точки над и в версиях о его гибели, а дневники и воспоминания Сиднея Рейли приподнимают завесу тайны личности шпиона-легенды XX века.</t>
        </is>
      </c>
      <c r="S4050" s="26">
        <f>HYPERLINK("http://www.cnpol.ru/covers/20327.jpg","фото на сайте")</f>
        <v/>
      </c>
    </row>
    <row r="4051" ht="50.1" customHeight="1" s="3">
      <c r="A4051" s="23" t="inlineStr">
        <is>
          <t>Д</t>
        </is>
      </c>
      <c r="B4051" s="24" t="inlineStr">
        <is>
          <t>21126</t>
        </is>
      </c>
      <c r="C4051" s="23" t="inlineStr">
        <is>
          <t>ОИ РОСС</t>
        </is>
      </c>
      <c r="D4051" s="23" t="inlineStr">
        <is>
          <t>Нечволодов А.Д</t>
        </is>
      </c>
      <c r="E4051" s="23" t="inlineStr">
        <is>
          <t>Сказание о земле русской. От начала времени до Куликова поля</t>
        </is>
      </c>
      <c r="F4051" s="23" t="inlineStr">
        <is>
          <t>        </t>
        </is>
      </c>
      <c r="G4051" s="27" t="n">
        <v>1654</v>
      </c>
      <c r="H4051" s="23" t="n">
        <v>10</v>
      </c>
      <c r="I4051" s="23" t="n">
        <v>8</v>
      </c>
      <c r="J4051" s="23" t="inlineStr">
        <is>
          <t>978-5-227-10711-4</t>
        </is>
      </c>
      <c r="K4051" s="23" t="inlineStr">
        <is>
          <t>60x90 1/16</t>
        </is>
      </c>
      <c r="L4051" s="23" t="inlineStr">
        <is>
          <t>тв</t>
        </is>
      </c>
      <c r="M4051" s="23" t="n">
        <v>575</v>
      </c>
      <c r="N4051" s="23" t="n">
        <v>2024</v>
      </c>
      <c r="O4051" s="23" t="n">
        <v>660</v>
      </c>
      <c r="P4051" s="23" t="n"/>
      <c r="Q4051" s="23" t="n"/>
      <c r="R4051" s="25" t="inlineStr">
        <is>
          <t>Книга, написанная действительным членом Императорского русского военно-исторического общества Александром Нечволодовым, уникальна. Ее первое издание стало настольной книгой в семье последнего российского императора Николая II. «Сказания о земле Русской» включают в себя обширнейший историографический материал: от древнерусских былин, песен и летописей до работ Н.М. Карамзина, С.М. Соловьева, И.Е. Забелина и многих других историков и писателей, чьи имена вписаны в золотой фонд истории нашего Отечества. Каждая страница книги пронизана любовью к России и гордостью за ее славное прошлое, настоящее и будущее.</t>
        </is>
      </c>
      <c r="S4051" s="26">
        <f>HYPERLINK("http://www.cnpol.ru/covers/21126.jpg","фото на сайте")</f>
        <v/>
      </c>
    </row>
    <row r="4052" ht="50.1" customHeight="1" s="3">
      <c r="A4052" s="23" t="inlineStr">
        <is>
          <t>Д</t>
        </is>
      </c>
      <c r="B4052" s="24" t="inlineStr">
        <is>
          <t>21284</t>
        </is>
      </c>
      <c r="C4052" s="23" t="inlineStr">
        <is>
          <t>ОИ РОСС</t>
        </is>
      </c>
      <c r="D4052" s="23" t="inlineStr">
        <is>
          <t>Нечволодов А.Д</t>
        </is>
      </c>
      <c r="E4052" s="23" t="inlineStr">
        <is>
          <t>Сказание о земле русской. От Тамерлана до царя Михаила Романова</t>
        </is>
      </c>
      <c r="F4052" s="23" t="inlineStr">
        <is>
          <t>        </t>
        </is>
      </c>
      <c r="G4052" s="27" t="n">
        <v>1903</v>
      </c>
      <c r="H4052" s="23" t="n">
        <v>10</v>
      </c>
      <c r="I4052" s="23" t="n">
        <v>6</v>
      </c>
      <c r="J4052" s="23" t="inlineStr">
        <is>
          <t>978-5-227-10739-8</t>
        </is>
      </c>
      <c r="K4052" s="23" t="inlineStr">
        <is>
          <t>60x90 1/16</t>
        </is>
      </c>
      <c r="L4052" s="23" t="inlineStr">
        <is>
          <t>тв</t>
        </is>
      </c>
      <c r="M4052" s="23" t="n">
        <v>687</v>
      </c>
      <c r="N4052" s="23" t="n">
        <v>2024</v>
      </c>
      <c r="O4052" s="23" t="n">
        <v>720</v>
      </c>
      <c r="P4052" s="23" t="n"/>
      <c r="Q4052" s="23" t="n"/>
      <c r="R4052" s="25" t="inlineStr">
        <is>
          <t>Автор знаменитого труда «Сказания о земле Русской» Александр Дмитриевич Нечволодов — боевой генерал, действительный член Императорского русского военно-исторического общества. В семье последнего русского императора Николая II первое издание «Сказаний» стало настольной книгой. В разных учебных заведениях царской России исследование долгие годы являлось историческим пособием.</t>
        </is>
      </c>
      <c r="S4052" s="26">
        <f>HYPERLINK("http://www.cnpol.ru/covers/21284.jpg","фото на сайте")</f>
        <v/>
      </c>
    </row>
    <row r="4053" ht="50.1" customHeight="1" s="3">
      <c r="A4053" s="23" t="inlineStr">
        <is>
          <t>Н</t>
        </is>
      </c>
      <c r="B4053" s="24" t="inlineStr">
        <is>
          <t>21318</t>
        </is>
      </c>
      <c r="C4053" s="23" t="inlineStr">
        <is>
          <t>ОИ РОСС</t>
        </is>
      </c>
      <c r="D4053" s="23" t="inlineStr">
        <is>
          <t>Аверьянов К.А., Ромашов С.А</t>
        </is>
      </c>
      <c r="E4053" s="23" t="inlineStr">
        <is>
          <t>Смутное время начала XVII в. в России: Исторический атлас</t>
        </is>
      </c>
      <c r="F4053" s="23" t="inlineStr">
        <is>
          <t>        </t>
        </is>
      </c>
      <c r="G4053" s="27" t="n">
        <v>2552</v>
      </c>
      <c r="H4053" s="23" t="n">
        <v>10</v>
      </c>
      <c r="I4053" s="23" t="n">
        <v>8</v>
      </c>
      <c r="J4053" s="23" t="inlineStr">
        <is>
          <t>978-5-227-10809-8</t>
        </is>
      </c>
      <c r="K4053" s="23" t="inlineStr">
        <is>
          <t>70x100 1/16</t>
        </is>
      </c>
      <c r="L4053" s="23" t="inlineStr">
        <is>
          <t>тв</t>
        </is>
      </c>
      <c r="M4053" s="23" t="n">
        <v>191</v>
      </c>
      <c r="N4053" s="23" t="n">
        <v>2024</v>
      </c>
      <c r="O4053" s="23" t="n">
        <v>283</v>
      </c>
      <c r="P4053" s="23" t="n"/>
      <c r="Q4053" s="23" t="n"/>
      <c r="R4053" s="25" t="inlineStr">
        <is>
          <t>Одним из переломных периодов в истории России стала эпоха Смутного времени (1604—1618), вместившая в себя народные восстания, иностранную интервенцию, череду самозванцев. И хотя этому времени посвящена масса научных книг и статей, художественных романов и повестей, фильмов и даже компь¬ютерных игр, своеобразным «белым пятном» является крайне малое число карт данного периода, отражающих происходившие бурные социально-¬политические процессы и движения. Предлагаемый атлас дает наиболее полную подборку исторических карт, отражающих события этого времени начиная с похода Лжедмитрия I до заключения Деулинского перемирия.</t>
        </is>
      </c>
      <c r="S4053" s="26">
        <f>HYPERLINK("http://www.cnpol.ru/covers/21318.jpg","фото на сайте")</f>
        <v/>
      </c>
    </row>
    <row r="4054" ht="50.1" customHeight="1" s="3">
      <c r="A4054" s="23" t="inlineStr">
        <is>
          <t>Н</t>
        </is>
      </c>
      <c r="B4054" s="24" t="inlineStr">
        <is>
          <t>21472</t>
        </is>
      </c>
      <c r="C4054" s="23" t="inlineStr">
        <is>
          <t>ОИ РОСС</t>
        </is>
      </c>
      <c r="D4054" s="23" t="inlineStr">
        <is>
          <t>Галушкин Н.В.</t>
        </is>
      </c>
      <c r="E4054" s="23" t="inlineStr">
        <is>
          <t>Собственный Его Императорского Величества Конвой. История частей непосредственной охраны российских государей от основания при Александре I до расформирования после отречения Николая II. 1811—1917</t>
        </is>
      </c>
      <c r="F4054" s="23" t="inlineStr">
        <is>
          <t>        </t>
        </is>
      </c>
      <c r="G4054" s="27" t="n">
        <v>1218</v>
      </c>
      <c r="H4054" s="23" t="n">
        <v>10</v>
      </c>
      <c r="I4054" s="23" t="n">
        <v>5</v>
      </c>
      <c r="J4054" s="23" t="inlineStr">
        <is>
          <t>978-5-9524-6338-7</t>
        </is>
      </c>
      <c r="K4054" s="23" t="inlineStr">
        <is>
          <t>84x108 1/32</t>
        </is>
      </c>
      <c r="L4054" s="23" t="inlineStr">
        <is>
          <t>тв</t>
        </is>
      </c>
      <c r="M4054" s="23" t="n">
        <v>415</v>
      </c>
      <c r="N4054" s="23" t="n">
        <v>2025</v>
      </c>
      <c r="O4054" s="23" t="n">
        <v>716</v>
      </c>
      <c r="P4054" s="23" t="n"/>
      <c r="Q4054" s="23" t="n"/>
      <c r="R4054" s="25" t="inlineStr">
        <is>
          <t>Собственный Е.И.В. Конвой занимал исключительное положение среди гвардейских частей Русской армии, исполняя почетную службу по охране российских государей и членов царской семьи с 1811 года. В личный состав Конвоя входили казаки Кубанского и Терского казачьих войск, а также кавказские горцы, осетины, грузины, крымские татары и представители других народностей Российской империи. Казаки Конвоя ежедневно несли службу в Зимнем дворце и в Царском Селе, сопровождали императора при выездах, а также участвовали во всех крупных кампаниях XIX века и сражениях Первой мировой войны. По свидетельству автора, хорунжего Н.В. Галушкина, казаки-конвойцы, не нарушив присяги, служили царю и Отечеству вплоть до отречения государя и расформирования частей в марте 1917 года, после чего продолжили службу в рядах Гвардейского Дивизиона.</t>
        </is>
      </c>
      <c r="S4054" s="26">
        <f>HYPERLINK("http://www.cnpol.ru/covers/21472.jpg","фото на сайте")</f>
        <v/>
      </c>
    </row>
    <row r="4055" ht="50.1" customHeight="1" s="3">
      <c r="A4055" s="23" t="inlineStr">
        <is>
          <t>Д</t>
        </is>
      </c>
      <c r="B4055" s="24" t="inlineStr">
        <is>
          <t>22259</t>
        </is>
      </c>
      <c r="C4055" s="23" t="inlineStr">
        <is>
          <t>ОИ РОСС</t>
        </is>
      </c>
      <c r="D4055" s="23" t="inlineStr">
        <is>
          <t>Романова О.Н.</t>
        </is>
      </c>
      <c r="E4055" s="23" t="inlineStr">
        <is>
          <t>Сон юности. Записки дочери императора Николая I</t>
        </is>
      </c>
      <c r="F4055" s="23" t="inlineStr">
        <is>
          <t>        </t>
        </is>
      </c>
      <c r="G4055" s="23" t="n">
        <v>849</v>
      </c>
      <c r="H4055" s="23" t="n">
        <v>10</v>
      </c>
      <c r="I4055" s="23" t="n">
        <v>10</v>
      </c>
      <c r="J4055" s="23" t="inlineStr">
        <is>
          <t>978-5-227-10930-9</t>
        </is>
      </c>
      <c r="K4055" s="23" t="inlineStr">
        <is>
          <t>84x108 1/32</t>
        </is>
      </c>
      <c r="L4055" s="23" t="inlineStr">
        <is>
          <t>тв</t>
        </is>
      </c>
      <c r="M4055" s="23" t="n">
        <v>223</v>
      </c>
      <c r="N4055" s="23" t="n">
        <v>2026</v>
      </c>
      <c r="O4055" s="23" t="n">
        <v>304</v>
      </c>
      <c r="P4055" s="23" t="n"/>
      <c r="Q4055" s="23" t="n"/>
      <c r="R4055" s="25" t="inlineStr">
        <is>
          <t>Мемуары королевы Вюртембергской Ольги, дочери русского императора Николая I, родившейся в 1822 году и оставившей этот мир в 1892 году, рассказывают о жизни императорской семьи Романовых во второй четверти и середине ХIХ века — с радостями, горестями, любовью к близким… Страницы воспоминаний Ольги Николаевны посвящены не только Николаю I, хотя отец был главным человеком для своих детей, и матери-императрице, но и родственникам из королевских домов Европы, например, прусскому королю Фридриху Вильгельму, любимому дедушке, и другим королям и королевам, принцам и принцессам, а также приближенным императорской семьи. Детали повседневной жизни в стенах дворцов, семейные праздники, путешествия по Европе, политические события бурного ХIХ века и сердечные увлечения юных великих княжон — мемуаристка коснулась различных, очень занимательных для современного читателя тем.</t>
        </is>
      </c>
      <c r="S4055" s="26">
        <f>HYPERLINK("http://www.cnpol.ru/covers/22259.jpg","фото на сайте")</f>
        <v/>
      </c>
    </row>
    <row r="4056" ht="50.1" customHeight="1" s="3">
      <c r="A4056" s="23" t="inlineStr">
        <is>
          <t>Д</t>
        </is>
      </c>
      <c r="B4056" s="24" t="inlineStr">
        <is>
          <t>22294</t>
        </is>
      </c>
      <c r="C4056" s="23" t="inlineStr">
        <is>
          <t>ОИ РОСС</t>
        </is>
      </c>
      <c r="D4056" s="23" t="inlineStr">
        <is>
          <t>Вырубова А.А.</t>
        </is>
      </c>
      <c r="E4056" s="23" t="inlineStr">
        <is>
          <t>Страницы моей жизни. Воспоминания подруги императрицы Александры Федоровны</t>
        </is>
      </c>
      <c r="F4056" s="23" t="inlineStr">
        <is>
          <t>        </t>
        </is>
      </c>
      <c r="G4056" s="23" t="n">
        <v>936</v>
      </c>
      <c r="H4056" s="23" t="n">
        <v>10</v>
      </c>
      <c r="I4056" s="23" t="n">
        <v>8</v>
      </c>
      <c r="J4056" s="23" t="inlineStr">
        <is>
          <t>978-5-227-10931-6</t>
        </is>
      </c>
      <c r="K4056" s="23" t="inlineStr">
        <is>
          <t>84x108 1/32</t>
        </is>
      </c>
      <c r="L4056" s="23" t="inlineStr">
        <is>
          <t>тв</t>
        </is>
      </c>
      <c r="M4056" s="23" t="n">
        <v>287</v>
      </c>
      <c r="N4056" s="23" t="n">
        <v>2026</v>
      </c>
      <c r="O4056" s="23" t="n">
        <v>343</v>
      </c>
      <c r="P4056" s="23" t="n"/>
      <c r="Q4056" s="23" t="n"/>
      <c r="R4056" s="25" t="inlineStr">
        <is>
          <t>Анна Александровна Вырубова (девичья фамилия Танеева) — близкий к царской семье человек, подруга императрицы Александры Федоровны, одна из немногих, кто не отрекся от Романовых в 1917 году. Придворную должность фрейлины Анна Вырубова занимала недолго, только до замужества, короткого и неудачного, а потом оставалась для императорской фамилии просто другом. Императрица Александра Федоровна нелегко сходилась с людьми, и те, кто был к ней приближен, сталкивались с завистью и сплетнями со стороны придворного окружения. Не миновала эта участь и Анну Вырубову. Особенно яркими и дикими подробностями сплетники старались разукрасить ее знакомство с Распутиным, состоявшееся благодаря императрице. Диким гонениям, издевательствам, доносам, тюремным заключениям Анна Вырубова стала подвергаться сразу после отречения Николая II, но претерпела все, не предав царскую семью, к которой была искренне привязана. И только в своих воспоминаниях, немного наивных и откровенных, постаралась раскрыть правду._x000D_
Первые издания воспоминаний А.А. Вырубовой сопровождались публикацией писем к ней членов царской семьи (Париж, 1922) и писем самой Анны из тюрьмы к родителям и знакомым в послереволюционный период (Берлин, 1923). Эти письма, как представляющие большой исторический интерес, включены в приложение к данному изданию.</t>
        </is>
      </c>
      <c r="S4056" s="26">
        <f>HYPERLINK("http://www.cnpol.ru/covers/22294.jpg","фото на сайте")</f>
        <v/>
      </c>
    </row>
    <row r="4057" ht="50.1" customHeight="1" s="3">
      <c r="A4057" s="23" t="n"/>
      <c r="B4057" s="24" t="inlineStr">
        <is>
          <t>20257</t>
        </is>
      </c>
      <c r="C4057" s="23" t="inlineStr">
        <is>
          <t>ОИ РОСС</t>
        </is>
      </c>
      <c r="D4057" s="23" t="inlineStr">
        <is>
          <t>Флеминг П.</t>
        </is>
      </c>
      <c r="E4057" s="23" t="inlineStr">
        <is>
          <t>Судьба адмирала Колчака. 1917—1920</t>
        </is>
      </c>
      <c r="F4057" s="23" t="inlineStr">
        <is>
          <t>        </t>
        </is>
      </c>
      <c r="G4057" s="23" t="n">
        <v>915</v>
      </c>
      <c r="H4057" s="23" t="n">
        <v>10</v>
      </c>
      <c r="I4057" s="23" t="n">
        <v>14</v>
      </c>
      <c r="J4057" s="23" t="inlineStr">
        <is>
          <t>978-5-9524-5754-6</t>
        </is>
      </c>
      <c r="K4057" s="23" t="inlineStr">
        <is>
          <t>84x108 1/32</t>
        </is>
      </c>
      <c r="L4057" s="23" t="inlineStr">
        <is>
          <t>тв</t>
        </is>
      </c>
      <c r="M4057" s="23" t="n">
        <v>252</v>
      </c>
      <c r="N4057" s="23" t="n">
        <v>2022</v>
      </c>
      <c r="O4057" s="23" t="n">
        <v>264</v>
      </c>
      <c r="P4057" s="23" t="n"/>
      <c r="Q4057" s="23" t="n"/>
      <c r="R4057" s="25" t="n"/>
      <c r="S4057" s="26">
        <f>HYPERLINK("http://www.cnpol.ru/covers/20257.jpg","фото на сайте")</f>
        <v/>
      </c>
    </row>
    <row r="4058" ht="50.1" customHeight="1" s="3">
      <c r="A4058" s="23" t="inlineStr">
        <is>
          <t>Д</t>
        </is>
      </c>
      <c r="B4058" s="24" t="inlineStr">
        <is>
          <t>21867</t>
        </is>
      </c>
      <c r="C4058" s="23" t="inlineStr">
        <is>
          <t>ОИ РОСС</t>
        </is>
      </c>
      <c r="D4058" s="23" t="inlineStr">
        <is>
          <t>Первушина Е.В.</t>
        </is>
      </c>
      <c r="E4058" s="23" t="inlineStr">
        <is>
          <t>Судьба российских принцесс. От царевны Софьи до великой княжны Анастасии</t>
        </is>
      </c>
      <c r="F4058" s="23" t="inlineStr">
        <is>
          <t>        </t>
        </is>
      </c>
      <c r="G4058" s="23" t="n">
        <v>941</v>
      </c>
      <c r="H4058" s="23" t="n">
        <v>10</v>
      </c>
      <c r="I4058" s="23" t="n">
        <v>10</v>
      </c>
      <c r="J4058" s="23" t="inlineStr">
        <is>
          <t>978-5-227-11170-8</t>
        </is>
      </c>
      <c r="K4058" s="23" t="inlineStr">
        <is>
          <t>84x108 1/32</t>
        </is>
      </c>
      <c r="L4058" s="23" t="inlineStr">
        <is>
          <t>тв</t>
        </is>
      </c>
      <c r="M4058" s="23" t="n">
        <v>383</v>
      </c>
      <c r="N4058" s="23" t="n">
        <v>2025</v>
      </c>
      <c r="O4058" s="23" t="n">
        <v>405</v>
      </c>
      <c r="P4058" s="23" t="n"/>
      <c r="Q4058" s="23" t="n"/>
      <c r="R4058" s="25" t="inlineStr">
        <is>
          <t>Сказочные царевны живут в высоких башнях и ждут своих женихов, которые совершат в их честь великие подвиги и с которыми они будут жить-поживать да добра наживать. А как живут настоящие царевны? Они близки к высшей власти, но сами почти никогда не обладают этой властью. Они не могут решать свою судьбу и знают это с младых ногтей. Более того, они не могут доверять никому. Любое проявление симпатии к ним может быть не искренним, а лишь попыткой подольститься или частью хитрого плана. Они могут только надеяться на то, что их друзья — настоящие друзья и что если они будут очень добрыми, внимательными и щедрыми, то не наживут себе врагов. Бывают ли они счастливы? Стоит ли им завидовать? Ответ на эти вопросы вы, может быть, найдете, когда прочтете эту книгу.</t>
        </is>
      </c>
      <c r="S4058" s="26">
        <f>HYPERLINK("http://www.cnpol.ru/covers/21867.jpg","фото на сайте")</f>
        <v/>
      </c>
    </row>
    <row r="4059" ht="50.1" customHeight="1" s="3">
      <c r="A4059" s="23" t="inlineStr">
        <is>
          <t>Н</t>
        </is>
      </c>
      <c r="B4059" s="24" t="inlineStr">
        <is>
          <t>22107</t>
        </is>
      </c>
      <c r="C4059" s="23" t="inlineStr">
        <is>
          <t>ОИ РОСС</t>
        </is>
      </c>
      <c r="D4059" s="23" t="inlineStr">
        <is>
          <t>Анисимов Е.В.</t>
        </is>
      </c>
      <c r="E4059" s="23" t="inlineStr">
        <is>
          <t>Тайны Тайной канцелярии. Русский застенок</t>
        </is>
      </c>
      <c r="F4059" s="23" t="inlineStr">
        <is>
          <t>        </t>
        </is>
      </c>
      <c r="G4059" s="27" t="n">
        <v>1184</v>
      </c>
      <c r="H4059" s="23" t="n">
        <v>10</v>
      </c>
      <c r="I4059" s="23" t="n">
        <v>10</v>
      </c>
      <c r="J4059" s="23" t="inlineStr">
        <is>
          <t>978-5-227-11267-5</t>
        </is>
      </c>
      <c r="K4059" s="23" t="inlineStr">
        <is>
          <t>84x108 1/32</t>
        </is>
      </c>
      <c r="L4059" s="23" t="inlineStr">
        <is>
          <t>тв</t>
        </is>
      </c>
      <c r="M4059" s="23" t="n">
        <v>416</v>
      </c>
      <c r="N4059" s="23" t="n">
        <v>2026</v>
      </c>
      <c r="O4059" s="23" t="n">
        <v>460</v>
      </c>
      <c r="P4059" s="23" t="n"/>
      <c r="Q4059" s="23" t="n"/>
      <c r="R4059" s="25" t="inlineStr">
        <is>
          <t>"В книге Е.В. Анисимова показана вся «технология» политического сыска XVIII века, весь трагический путь человека от ареста до казни на эшафоте или ссылки. Автор рассказывает не только о громких политических делах и известных преступниках, но и о тех, чьи судьбы оставили след только в документах тайного сыска. 
Перелистывая страницы следственных дел, вы словно сами побываете в пыточных застенках, услышите голоса доносчиков, свист кнута, увидите, как ломают людей страх и боль. Также узнаете о редких примерах стойкости, когда самые страшные пытки не могли заставить человека признаться в несуществующей вине или подтвердить ложный донос...
Книга написана прекрасным языком и, невзирая на тяжелую тему, со свойственным автору юмором. Она, несомненно, будет интересна самому широкому кругу читателей."</t>
        </is>
      </c>
      <c r="S4059" s="26">
        <f>HYPERLINK("http://www.cnpol.ru/covers/22107.jpg","фото на сайте")</f>
        <v/>
      </c>
    </row>
    <row r="4060" ht="50.1" customHeight="1" s="3">
      <c r="A4060" s="23" t="inlineStr">
        <is>
          <t>Н</t>
        </is>
      </c>
      <c r="B4060" s="24" t="inlineStr">
        <is>
          <t>21848</t>
        </is>
      </c>
      <c r="C4060" s="23" t="inlineStr">
        <is>
          <t>ОИ РОСС</t>
        </is>
      </c>
      <c r="D4060" s="23" t="inlineStr">
        <is>
          <t>Васильевич С.</t>
        </is>
      </c>
      <c r="E4060" s="23" t="inlineStr">
        <is>
          <t>Титулованные роды Российской империи. История происхождения 800 дворянских фамилий</t>
        </is>
      </c>
      <c r="F4060" s="23" t="inlineStr">
        <is>
          <t>        </t>
        </is>
      </c>
      <c r="G4060" s="23" t="n">
        <v>880</v>
      </c>
      <c r="H4060" s="23" t="n">
        <v>10</v>
      </c>
      <c r="I4060" s="23" t="n">
        <v>10</v>
      </c>
      <c r="J4060" s="23" t="inlineStr">
        <is>
          <t>978-5-227-11129-6</t>
        </is>
      </c>
      <c r="K4060" s="23" t="inlineStr">
        <is>
          <t>84x108 1/32</t>
        </is>
      </c>
      <c r="L4060" s="23" t="inlineStr">
        <is>
          <t>тв</t>
        </is>
      </c>
      <c r="M4060" s="23" t="n">
        <v>255</v>
      </c>
      <c r="N4060" s="23" t="n">
        <v>2025</v>
      </c>
      <c r="O4060" s="23" t="n">
        <v>119</v>
      </c>
      <c r="P4060" s="23" t="n"/>
      <c r="Q4060" s="23" t="n"/>
      <c r="R4060" s="25" t="inlineStr">
        <is>
          <t>В книге Сергея Васильевича — академический псевдоним историка-архивиста и генеалога С.В. Любимова (1872—1935) — представлен подробный перечень всех знатных родов российского дворянства. На страницах издания перечислены все известные княжеские роды, происшедшие от Рюрика, литовских князей, грузинских владетелей и татарских мурз, роды, возведенные высочайшей властью в графское достоинство Российской империи и причисленные к нему иностранные графские фамилии. В особом разделе приведены сведения о баронских родах Прибалтийского края и аристократических семействах иностранных государств, получивших соизволение на пользование титулом при переходе в российское подданство. Каждая фамилия снабжена информационной справкой с указанием происхождения рода, датой получения титула и утверждения в нем.</t>
        </is>
      </c>
      <c r="S4060" s="26">
        <f>HYPERLINK("http://www.cnpol.ru/covers/21848.jpg","фото на сайте")</f>
        <v/>
      </c>
    </row>
    <row r="4061" ht="50.1" customHeight="1" s="3">
      <c r="A4061" s="23" t="inlineStr">
        <is>
          <t>Д</t>
        </is>
      </c>
      <c r="B4061" s="24" t="inlineStr">
        <is>
          <t>22029</t>
        </is>
      </c>
      <c r="C4061" s="23" t="inlineStr">
        <is>
          <t>ОИ РОСС</t>
        </is>
      </c>
      <c r="D4061" s="23" t="inlineStr">
        <is>
          <t>Керенский А.Ф.</t>
        </is>
      </c>
      <c r="E4061" s="23" t="inlineStr">
        <is>
          <t>Трагедия династии Романовых</t>
        </is>
      </c>
      <c r="F4061" s="23" t="inlineStr">
        <is>
          <t>        </t>
        </is>
      </c>
      <c r="G4061" s="23" t="n">
        <v>802</v>
      </c>
      <c r="H4061" s="23" t="n">
        <v>10</v>
      </c>
      <c r="I4061" s="23" t="n">
        <v>10</v>
      </c>
      <c r="J4061" s="23" t="inlineStr">
        <is>
          <t>978-5-9524-6629-6</t>
        </is>
      </c>
      <c r="K4061" s="23" t="inlineStr">
        <is>
          <t>84x108 1/32</t>
        </is>
      </c>
      <c r="L4061" s="23" t="inlineStr">
        <is>
          <t>тв</t>
        </is>
      </c>
      <c r="M4061" s="23" t="n">
        <v>207</v>
      </c>
      <c r="N4061" s="23" t="n">
        <v>2026</v>
      </c>
      <c r="O4061" s="23" t="n">
        <v>278</v>
      </c>
      <c r="P4061" s="23" t="n"/>
      <c r="Q4061" s="23" t="n"/>
      <c r="R4061" s="25" t="inlineStr">
        <is>
          <t>В этой книге А.Ф. Керенский (1881—1970), министр-председатель Временного правительства, рассказывает о последних днях русской монархии. Психологически точные образы главных героев трагедии, людей, которых автор хорошо знал, выдержки из их дневников, писем и воспоминаний складываются в многогранную картину гибели не только императорской семьи, но и всей Российской империи.</t>
        </is>
      </c>
      <c r="S4061" s="26">
        <f>HYPERLINK("http://www.cnpol.ru/covers/22029.jpg","фото на сайте")</f>
        <v/>
      </c>
    </row>
    <row r="4062" ht="50.1" customHeight="1" s="3">
      <c r="A4062" s="23" t="inlineStr">
        <is>
          <t>Н</t>
        </is>
      </c>
      <c r="B4062" s="24" t="inlineStr">
        <is>
          <t>22299</t>
        </is>
      </c>
      <c r="C4062" s="23" t="inlineStr">
        <is>
          <t>ОИ РОСС</t>
        </is>
      </c>
      <c r="D4062" s="23" t="inlineStr">
        <is>
          <t>Кинг Г.</t>
        </is>
      </c>
      <c r="E4062" s="23" t="inlineStr">
        <is>
          <t>Убийство Распутина. Правда о князе Феликсе Юсупове и безумном монахе, который помог свергнуть Романовых</t>
        </is>
      </c>
      <c r="F4062" s="23" t="inlineStr">
        <is>
          <t>        </t>
        </is>
      </c>
      <c r="G4062" s="27" t="n">
        <v>1009</v>
      </c>
      <c r="H4062" s="23" t="n">
        <v>10</v>
      </c>
      <c r="I4062" s="23" t="n">
        <v>9</v>
      </c>
      <c r="J4062" s="23" t="inlineStr">
        <is>
          <t>978-5-9524-6747-7</t>
        </is>
      </c>
      <c r="K4062" s="23" t="inlineStr">
        <is>
          <t>84x108 1/32</t>
        </is>
      </c>
      <c r="L4062" s="23" t="inlineStr">
        <is>
          <t>тв</t>
        </is>
      </c>
      <c r="M4062" s="23" t="n">
        <v>319</v>
      </c>
      <c r="N4062" s="23" t="n">
        <v>2026</v>
      </c>
      <c r="O4062" s="23" t="n">
        <v>383</v>
      </c>
      <c r="P4062" s="23" t="n"/>
      <c r="Q4062" s="23" t="n"/>
      <c r="R4062" s="25" t="inlineStr">
        <is>
          <t>Грег Кинг, американский историк и писатель, специализирующийся на поздней императорской России, рассматривает обстоятельства гибели Григория Распутина. Опираясь на обширный массив источников, в том числе ранее не публиковавшиеся документы петербургских полицейских архивов, автор складывает общую картину из противоречивых мемуаров участников событий, материалов следствия и судебно-медицинской экспертизы. В центре внимания фигура князя Феликса Юсупова, главного организатора заговора. Автор подробно разбирает мотивы Юсупова, который считал Распутина злым гением царской семьи, ведущим страну к катастрофе. Анализирует, как развивался заговор, какие шаги предпринимались. Это исследование не столько хроника происшедшего, сколько попытка разобраться в мотивах и противоречиях, породивших долгую историческую дискуссию.</t>
        </is>
      </c>
      <c r="S4062" s="26">
        <f>HYPERLINK("http://www.cnpol.ru/covers/22299.jpg","фото на сайте")</f>
        <v/>
      </c>
    </row>
    <row r="4063" ht="50.1" customHeight="1" s="3">
      <c r="A4063" s="23" t="inlineStr">
        <is>
          <t>Д</t>
        </is>
      </c>
      <c r="B4063" s="24" t="inlineStr">
        <is>
          <t>21809</t>
        </is>
      </c>
      <c r="C4063" s="23" t="inlineStr">
        <is>
          <t>ОИ РОСС</t>
        </is>
      </c>
      <c r="D4063" s="23" t="inlineStr">
        <is>
          <t>Дитерихс М.К.</t>
        </is>
      </c>
      <c r="E4063" s="23" t="inlineStr">
        <is>
          <t>Убийство царской семьи и членов Дома Романовых на Урале</t>
        </is>
      </c>
      <c r="F4063" s="23" t="inlineStr">
        <is>
          <t>        </t>
        </is>
      </c>
      <c r="G4063" s="27" t="n">
        <v>1702</v>
      </c>
      <c r="H4063" s="23" t="n">
        <v>10</v>
      </c>
      <c r="I4063" s="23" t="n">
        <v>5</v>
      </c>
      <c r="J4063" s="23" t="inlineStr">
        <is>
          <t>978-5-227-10874-6</t>
        </is>
      </c>
      <c r="K4063" s="23" t="inlineStr">
        <is>
          <t>84x108 1/32</t>
        </is>
      </c>
      <c r="L4063" s="23" t="inlineStr">
        <is>
          <t>тв</t>
        </is>
      </c>
      <c r="M4063" s="23" t="n">
        <v>671</v>
      </c>
      <c r="N4063" s="23" t="n">
        <v>2025</v>
      </c>
      <c r="O4063" s="23" t="n">
        <v>681</v>
      </c>
      <c r="P4063" s="23" t="n"/>
      <c r="Q4063" s="23" t="n"/>
      <c r="R4063" s="25" t="inlineStr">
        <is>
          <t>Генерал-лейтенант Михаил Константинович Дитерихс – участник Русско-японской, Первой мировой, Гражданской войн и один из руководителей Белого движения в Сибири и на Дальнем Востоке. Когда в 1918 году белые вошли в Екатеринбург, Дитерихс по поручению адмирала Колчака курировал ведение следствия об убийстве царской семьи. В 1922 году во Владивостоке он опубликовал книгу «Убийство царской семьи и членов Дома Романовых на Урале», в которой не только подробно рассказал о ходе и результатах следствия, но и изложил ряд собственных выводов. Конечно, в условиях Гражданской войны не все выводы генерала опирались на документальные данные, хотя он всеми силами старался соблюдать объективность и учитывать выявленные факты. Свидетельство человека, причастного к событиям, всегда представляет большой интерес.</t>
        </is>
      </c>
      <c r="S4063" s="26">
        <f>HYPERLINK("http://www.cnpol.ru/covers/21809.jpg","фото на сайте")</f>
        <v/>
      </c>
    </row>
    <row r="4064" ht="50.1" customHeight="1" s="3">
      <c r="A4064" s="23" t="n"/>
      <c r="B4064" s="24" t="inlineStr">
        <is>
          <t>19933</t>
        </is>
      </c>
      <c r="C4064" s="23" t="inlineStr">
        <is>
          <t>ОИ РОСС</t>
        </is>
      </c>
      <c r="D4064" s="23" t="inlineStr">
        <is>
          <t>Первушина Е.В.</t>
        </is>
      </c>
      <c r="E4064" s="23" t="inlineStr">
        <is>
          <t>Фавориты императорского двора. От Василия Голицына до Матильды Кшесинской</t>
        </is>
      </c>
      <c r="F4064" s="23" t="inlineStr">
        <is>
          <t>        </t>
        </is>
      </c>
      <c r="G4064" s="23" t="n">
        <v>986</v>
      </c>
      <c r="H4064" s="23" t="n">
        <v>10</v>
      </c>
      <c r="I4064" s="23" t="n">
        <v>12</v>
      </c>
      <c r="J4064" s="23" t="inlineStr">
        <is>
          <t>978-5-227-09557-2</t>
        </is>
      </c>
      <c r="K4064" s="23" t="inlineStr">
        <is>
          <t>84x100 1/32</t>
        </is>
      </c>
      <c r="L4064" s="23" t="inlineStr">
        <is>
          <t>тв</t>
        </is>
      </c>
      <c r="M4064" s="23" t="n">
        <v>480</v>
      </c>
      <c r="N4064" s="23" t="n">
        <v>2021</v>
      </c>
      <c r="O4064" s="23" t="n">
        <v>540</v>
      </c>
      <c r="P4064" s="23" t="n"/>
      <c r="Q4064" s="23" t="n"/>
      <c r="R4064" s="25" t="n"/>
      <c r="S4064" s="26">
        <f>HYPERLINK("http://www.cnpol.ru/covers/19933.jpg","фото на сайте")</f>
        <v/>
      </c>
    </row>
    <row r="4065" ht="50.1" customHeight="1" s="3">
      <c r="A4065" s="23" t="inlineStr">
        <is>
          <t>Н</t>
        </is>
      </c>
      <c r="B4065" s="24" t="inlineStr">
        <is>
          <t>21853</t>
        </is>
      </c>
      <c r="C4065" s="23" t="inlineStr">
        <is>
          <t>ОИ РОСС</t>
        </is>
      </c>
      <c r="D4065" s="23" t="inlineStr">
        <is>
          <t>Балакшин П.П.</t>
        </is>
      </c>
      <c r="E4065" s="23" t="inlineStr">
        <is>
          <t>Финал в Китае: Возникновение, развитие и исчезновение белой эмиграции на Дальнем Востоке</t>
        </is>
      </c>
      <c r="F4065" s="23" t="inlineStr">
        <is>
          <t>        </t>
        </is>
      </c>
      <c r="G4065" s="27" t="n">
        <v>1775</v>
      </c>
      <c r="H4065" s="23" t="n">
        <v>10</v>
      </c>
      <c r="I4065" s="23" t="n">
        <v>4</v>
      </c>
      <c r="J4065" s="23" t="inlineStr">
        <is>
          <t>978-5-227-10875-3</t>
        </is>
      </c>
      <c r="K4065" s="23" t="inlineStr">
        <is>
          <t>60x90 1/16</t>
        </is>
      </c>
      <c r="L4065" s="23" t="inlineStr">
        <is>
          <t>тв</t>
        </is>
      </c>
      <c r="M4065" s="23" t="n">
        <v>671</v>
      </c>
      <c r="N4065" s="23" t="n">
        <v>2025</v>
      </c>
      <c r="O4065" s="23" t="n">
        <v>771</v>
      </c>
      <c r="P4065" s="23" t="n"/>
      <c r="Q4065" s="23" t="n"/>
      <c r="R4065" s="25" t="inlineStr">
        <is>
          <t>Петр Петрович Балакшин принадлежит к числу белых эмигрантов, так и не сумевших забыть родину, сохраняя в душе связь с ее историей и культурой. Во время Первой мировой войны восторженным мальчишкой он поступил в военное училище и после краткого трехмесячного курса отправился на фронт с погонами прапорщика… Тяжелые испытания на Румынском фронте, потом революция, Брестский мир, Гражданская война, эмиграция в Маньчжурию… Через несколько лет ему удалось перебраться в США, получить образование, стать журналистом и литератором, но интерес к судьбам русской дальневосточной эмиграции не оставлял его никогда. Он кропотливо, по крупицам собирал сведения о русских, оказавшихся в азиатском изгнании, и посвятил этой теме документальное исследование «Финал в Китае», охватывающее период с 1920-х по 1950-е годы. Этот труд, опубликованный в Сан-Франциско в 1958 году, Балакшин считал делом своей жизни.</t>
        </is>
      </c>
      <c r="S4065" s="26">
        <f>HYPERLINK("http://www.cnpol.ru/covers/21853.jpg","фото на сайте")</f>
        <v/>
      </c>
    </row>
    <row r="4066" ht="50.1" customHeight="1" s="3">
      <c r="A4066" s="23" t="inlineStr">
        <is>
          <t>Н</t>
        </is>
      </c>
      <c r="B4066" s="24" t="inlineStr">
        <is>
          <t>22139</t>
        </is>
      </c>
      <c r="C4066" s="23" t="inlineStr">
        <is>
          <t>ОИ РОСС</t>
        </is>
      </c>
      <c r="D4066" s="23" t="inlineStr">
        <is>
          <t>Волоцкой М.В</t>
        </is>
      </c>
      <c r="E4066" s="23" t="inlineStr">
        <is>
          <t>Хроника рода Достоевского. 1506–1933</t>
        </is>
      </c>
      <c r="F4066" s="23" t="inlineStr">
        <is>
          <t>        </t>
        </is>
      </c>
      <c r="G4066" s="27" t="n">
        <v>1291</v>
      </c>
      <c r="H4066" s="23" t="n">
        <v>10</v>
      </c>
      <c r="I4066" s="23" t="n">
        <v>5</v>
      </c>
      <c r="J4066" s="23" t="inlineStr">
        <is>
          <t>978-5-227-11254-5</t>
        </is>
      </c>
      <c r="K4066" s="23" t="inlineStr">
        <is>
          <t>84x108 1/32</t>
        </is>
      </c>
      <c r="L4066" s="23" t="inlineStr">
        <is>
          <t>тв</t>
        </is>
      </c>
      <c r="M4066" s="23" t="n">
        <v>479</v>
      </c>
      <c r="N4066" s="23" t="n">
        <v>2026</v>
      </c>
      <c r="O4066" s="23" t="n">
        <v>512</v>
      </c>
      <c r="P4066" s="23" t="n"/>
      <c r="Q4066" s="23" t="n"/>
      <c r="R4066" s="25" t="inlineStr">
        <is>
          <t>Антрополог М.В. Волоцкой на страницах своей книги прослеживает судьбы десяти поколений рода Достоевского — от предков со стороны отца и матери до внуков и внучатых племянников писателя. В трехстах очерках собраны биографические данные, сведения о здоровье и творческих способностях каждого из членов семейства. Автор раскрывает малоизвестные факты из жизни Федора Михайловича и его родственников, рассказывает о семейных раздорах, убийствах и скандальных мезальянсах, нашедших отражение в романах гениального прозаика. Исследование включает редкие архивные документы, семейную переписку, воспоминания и литературные опыты наследников писателя, а также поколенную роспись рода Достоевских. В заключительной части книги М.В. Волоцкой анализирует типичные психологические черты и семейные патологии, которые повлияли на формирование личности Ф.М. Достоевского и определили судьбы нескольких поколений его рода.</t>
        </is>
      </c>
      <c r="S4066" s="26">
        <f>HYPERLINK("http://www.cnpol.ru/covers/22139.jpg","фото на сайте")</f>
        <v/>
      </c>
    </row>
    <row r="4067" ht="50.1" customHeight="1" s="3">
      <c r="A4067" s="23" t="inlineStr">
        <is>
          <t>Д</t>
        </is>
      </c>
      <c r="B4067" s="24" t="inlineStr">
        <is>
          <t>21388</t>
        </is>
      </c>
      <c r="C4067" s="23" t="inlineStr">
        <is>
          <t>ОИ РОСС</t>
        </is>
      </c>
      <c r="D4067" s="23" t="inlineStr">
        <is>
          <t>Ольденбург С.С.</t>
        </is>
      </c>
      <c r="E4067" s="23" t="inlineStr">
        <is>
          <t>Царствование императора Николая II</t>
        </is>
      </c>
      <c r="F4067" s="23" t="inlineStr">
        <is>
          <t>        </t>
        </is>
      </c>
      <c r="G4067" s="27" t="n">
        <v>1842</v>
      </c>
      <c r="H4067" s="23" t="n">
        <v>10</v>
      </c>
      <c r="I4067" s="23" t="n">
        <v>4</v>
      </c>
      <c r="J4067" s="23" t="inlineStr">
        <is>
          <t>978-5-227-10777-0</t>
        </is>
      </c>
      <c r="K4067" s="23" t="inlineStr">
        <is>
          <t>60x90 1/16</t>
        </is>
      </c>
      <c r="L4067" s="23" t="inlineStr">
        <is>
          <t>тв</t>
        </is>
      </c>
      <c r="M4067" s="23" t="n">
        <v>654</v>
      </c>
      <c r="N4067" s="23" t="n">
        <v>2025</v>
      </c>
      <c r="O4067" s="23" t="n">
        <v>548</v>
      </c>
      <c r="P4067" s="23" t="n"/>
      <c r="Q4067" s="23" t="n"/>
      <c r="R4067" s="25" t="inlineStr">
        <is>
          <t>Сергей Сергеевич Ольденбург был эрудитом и знатоком истории, и именно поэтому Высший монархический совет поручил ему написать историю царствования императора Николая II. _x000D_
Автор имел доступ к уникальным документам. Копии оригиналов подлинных исторических актов Российской империи в целях предосторожности стали отправлять на хранение в русское посольство в Париже еще задолго до Первой мировой войны. _x000D_
Глубокое исследование истории России конца XIX — начала XX в. создает многогранный законченный образ мощной державы со всеми ее экономическими, политическими, социальными потрясениями.</t>
        </is>
      </c>
      <c r="S4067" s="26">
        <f>HYPERLINK("http://www.cnpol.ru/covers/21388.jpg","фото на сайте")</f>
        <v/>
      </c>
    </row>
    <row r="4068" ht="50.1" customHeight="1" s="3">
      <c r="A4068" s="23" t="inlineStr">
        <is>
          <t>Н</t>
        </is>
      </c>
      <c r="B4068" s="24" t="inlineStr">
        <is>
          <t>21408</t>
        </is>
      </c>
      <c r="C4068" s="23" t="inlineStr">
        <is>
          <t>ОИ РОСС</t>
        </is>
      </c>
      <c r="D4068" s="23" t="inlineStr">
        <is>
          <t>Захарова О.Ю.</t>
        </is>
      </c>
      <c r="E4068" s="23" t="inlineStr">
        <is>
          <t>Церемониалы Российской империи. XVIII — начало XX века</t>
        </is>
      </c>
      <c r="F4068" s="23" t="inlineStr">
        <is>
          <t>        </t>
        </is>
      </c>
      <c r="G4068" s="27" t="n">
        <v>2010</v>
      </c>
      <c r="H4068" s="23" t="n">
        <v>10</v>
      </c>
      <c r="I4068" s="23" t="n">
        <v>10</v>
      </c>
      <c r="J4068" s="23" t="inlineStr">
        <is>
          <t>978-5-227-10768-8</t>
        </is>
      </c>
      <c r="K4068" s="23" t="inlineStr">
        <is>
          <t>84x108 1/32</t>
        </is>
      </c>
      <c r="L4068" s="23" t="inlineStr">
        <is>
          <t>тв</t>
        </is>
      </c>
      <c r="M4068" s="23" t="n">
        <v>382</v>
      </c>
      <c r="N4068" s="23" t="n">
        <v>2025</v>
      </c>
      <c r="O4068" s="23" t="n">
        <v>325</v>
      </c>
      <c r="P4068" s="23" t="n"/>
      <c r="Q4068" s="23" t="n"/>
      <c r="R4068" s="25" t="inlineStr">
        <is>
          <t>Важное место в жизни общества занимает этикет, протокол, различные церемонии. Они сопровождают человека на протяжении всей его жизни. В последние годы увеличилось внимание к истории церемониальной составляющей жизни российского общества. Прежде всего к истории церемоний при императорском дворе, официальным церемониям. Книги Оксаны Юрьевны Захаровой занимают заметное место среди исследований на эту тему. Вы держите в руках новый труд этого автора, раскрывающий очередные страницы истории нашего Отечества._x000D_
Каждая эпоха создает свои церемониальные действа и отражается в них как в зеркале. Для правящей элиты церемониал — это способ преподнести себя миру, продемонстрировать свои представления о должном и почетном, о прекрасном и благородном. Книга посвящена таким явлениям жизни российского общества, как выходы высочайших особ, конные карусели, военные парады, церемониальные марши, придворные балы, дипломатические приемы, коронации, бракосочетания, которые рассматриваются как особые акты общественного представительства. Подчеркивается, что церемониалы в России — сложные, изящные, всегда с подтекстом — представляли собой внешнюю оболочку богатой духовной внутренней природы общественной жизни, отражали уровень нравственности и добродетелей их участников._x000D_
Книга рассчитана на широкий круг читателей, интересующихся отечественной историей, и будет особенно полезна государственным и общественно-политическим деятелям, причастным к формированию национальных идей, доктрин и новых духовных ценностей возрождающейся России.</t>
        </is>
      </c>
      <c r="S4068" s="26">
        <f>HYPERLINK("http://www.cnpol.ru/covers/21408.jpg","фото на сайте")</f>
        <v/>
      </c>
    </row>
    <row r="4069" ht="50.1" customHeight="1" s="3">
      <c r="A4069" s="23" t="n"/>
      <c r="B4069" s="24" t="inlineStr">
        <is>
          <t>20483</t>
        </is>
      </c>
      <c r="C4069" s="23" t="inlineStr">
        <is>
          <t>ОИ РОСС</t>
        </is>
      </c>
      <c r="D4069" s="23" t="inlineStr">
        <is>
          <t>Агабеков Г.С.</t>
        </is>
      </c>
      <c r="E4069" s="23" t="inlineStr">
        <is>
          <t>ЧК за работой. Уникальные свидетельства первого крупного советского разведчика-чекиста, бежавшего на Запад</t>
        </is>
      </c>
      <c r="F4069" s="23" t="inlineStr">
        <is>
          <t>        </t>
        </is>
      </c>
      <c r="G4069" s="27" t="n">
        <v>1009</v>
      </c>
      <c r="H4069" s="23" t="n">
        <v>10</v>
      </c>
      <c r="I4069" s="23" t="n">
        <v>10</v>
      </c>
      <c r="J4069" s="23" t="inlineStr">
        <is>
          <t>978-5-227-10229-4</t>
        </is>
      </c>
      <c r="K4069" s="23" t="inlineStr">
        <is>
          <t>84x108 1/32</t>
        </is>
      </c>
      <c r="L4069" s="23" t="inlineStr">
        <is>
          <t>тв</t>
        </is>
      </c>
      <c r="M4069" s="23" t="n">
        <v>318</v>
      </c>
      <c r="N4069" s="23" t="n">
        <v>2023</v>
      </c>
      <c r="O4069" s="23" t="n">
        <v>272</v>
      </c>
      <c r="P4069" s="23" t="n"/>
      <c r="Q4069" s="23" t="n"/>
      <c r="R4069" s="25" t="inlineStr">
        <is>
          <t>Долгое время имя Георгия Сергеевича Агабекова находилось под запретом. Автор книги — один из первых высокопоставленных сотрудников ОГПУ, порвавших со сталинским режимом и совершивших побег из СССР на Запад. Будучи резидентом в Турции, в 1930 году перестал выходить на связь и перебрался в Париж. В течение семи лет Агабеков находился в бегах и за это время написал несколько книг, в которых рассказал о методах работы советской разведки. Попытки уничтожить предателя в 1931 и 1934 годах успехом не увенчались; пользуясь своими знаниями работы ВЧК ОГПУ, предатель смог избежать ликвидации. Однако в 1937 году был устранен спецгруппой НКВД во Франции. В предлагаемой книге Агабеков рассказывает свою историю работы в ЧК, а также предлагает собственную версию событий, толкнувших его на предательство.</t>
        </is>
      </c>
      <c r="S4069" s="26">
        <f>HYPERLINK("http://www.cnpol.ru/covers/20483.jpg","фото на сайте")</f>
        <v/>
      </c>
    </row>
    <row r="4070" ht="50.1" customHeight="1" s="3">
      <c r="A4070" s="23" t="inlineStr">
        <is>
          <t>Н</t>
        </is>
      </c>
      <c r="B4070" s="24" t="inlineStr">
        <is>
          <t>22135</t>
        </is>
      </c>
      <c r="C4070" s="23" t="inlineStr">
        <is>
          <t>ОИ РОСС</t>
        </is>
      </c>
      <c r="D4070" s="23" t="inlineStr">
        <is>
          <t>Карабчевский Н.П.</t>
        </is>
      </c>
      <c r="E4070" s="23" t="inlineStr">
        <is>
          <t>Что глаза мои видели. Свидетельства очевидца важнейших событий российской истории между двух революций</t>
        </is>
      </c>
      <c r="F4070" s="23" t="inlineStr">
        <is>
          <t>        </t>
        </is>
      </c>
      <c r="G4070" s="27" t="n">
        <v>1157</v>
      </c>
      <c r="H4070" s="23" t="n">
        <v>10</v>
      </c>
      <c r="I4070" s="23" t="n">
        <v>10</v>
      </c>
      <c r="J4070" s="23" t="inlineStr">
        <is>
          <t>978-5-227-10929-3</t>
        </is>
      </c>
      <c r="K4070" s="23" t="inlineStr">
        <is>
          <t>84x108 1/32</t>
        </is>
      </c>
      <c r="L4070" s="23" t="inlineStr">
        <is>
          <t>тв</t>
        </is>
      </c>
      <c r="M4070" s="23" t="n">
        <v>383</v>
      </c>
      <c r="N4070" s="23" t="n">
        <v>2026</v>
      </c>
      <c r="O4070" s="23" t="n">
        <v>435</v>
      </c>
      <c r="P4070" s="23" t="n"/>
      <c r="Q4070" s="23" t="n"/>
      <c r="R4070" s="25" t="inlineStr">
        <is>
          <t>Один из самых знаменитых российских адвокатов, Николай Платонович Карабчевский, опубликовал свои мемуары после всех революционных потрясений, в 1921 году в Берлине, под названием «Что глаза мои видели». В своем повествовании автор опирается на личные впечатления, но два тома его воспоминаний кажутся совершенно разными по тематике и стилю. Первый том воспоминаний имеет подзаголовок «В детстве», второй — «Революция и Россия». Начинает мемуарист действительно с детства и рисует жизнь провинциального дворянского семейства с ностальгической грустью. А вот второй том его воспоминаний совсем о другом… Преуспевающий петербургский адвокат, участник громких политических процессов, он защищает террористов, эсеров-боевиков, революционеров и жертв националистов; по долгу службы или из приятельских чувств общается с виднейшими адвокатами, министрами, депутатами Думы… Его выбирают председателем Петербургского Совета присяжных поверенных, а это очень почетный пост в адвокатском сообществе… Падение Российской империи и начало Гражданской войны Карабчевский воспринял как страшную драму и винил в ней, прежде всего, интеллигенцию, увлекшуюся ниспровержением режима, не имея представления о том, как следует строить новое общество. Революция, по его мнению, «явилась сочетанием внешних вражеских усилий и слепорожденного самомнения нашей интеллигенции». Увы, прозрение пришло к Карабчевскому, как и ко многим эмигрантам, слишком</t>
        </is>
      </c>
      <c r="S4070" s="26">
        <f>HYPERLINK("http://www.cnpol.ru/covers/22135.jpg","фото на сайте")</f>
        <v/>
      </c>
    </row>
    <row r="4071" ht="50.1" customHeight="1" s="3">
      <c r="A4071" s="23" t="n"/>
      <c r="B4071" s="24" t="inlineStr">
        <is>
          <t>18969</t>
        </is>
      </c>
      <c r="C4071" s="23" t="inlineStr">
        <is>
          <t>ОИ РОСС</t>
        </is>
      </c>
      <c r="D4071" s="23" t="inlineStr">
        <is>
          <t>Волков С.В.</t>
        </is>
      </c>
      <c r="E4071" s="23" t="inlineStr">
        <is>
          <t>Штаб­офицеры и генералы белых армий. Энциклопедический словарь участников Гражданской войны</t>
        </is>
      </c>
      <c r="F4071" s="23" t="inlineStr">
        <is>
          <t>        </t>
        </is>
      </c>
      <c r="G4071" s="27" t="n">
        <v>3790</v>
      </c>
      <c r="H4071" s="23" t="n">
        <v>10</v>
      </c>
      <c r="I4071" s="23" t="n">
        <v>2</v>
      </c>
      <c r="J4071" s="23" t="inlineStr">
        <is>
          <t>978-5-227-07168-2</t>
        </is>
      </c>
      <c r="K4071" s="23" t="inlineStr">
        <is>
          <t>84x108 1/16</t>
        </is>
      </c>
      <c r="L4071" s="23" t="inlineStr">
        <is>
          <t>тв</t>
        </is>
      </c>
      <c r="M4071" s="23" t="n">
        <v>992</v>
      </c>
      <c r="N4071" s="23" t="n">
        <v>2019</v>
      </c>
      <c r="O4071" s="23" t="n">
        <v>1520</v>
      </c>
      <c r="P4071" s="23" t="n"/>
      <c r="Q4071" s="23" t="n"/>
      <c r="R4071" s="25" t="n"/>
      <c r="S4071" s="26">
        <f>HYPERLINK("http://www.cnpol.ru/covers/18969.jpg","фото на сайте")</f>
        <v/>
      </c>
    </row>
    <row r="4072" ht="50.1" customHeight="1" s="3">
      <c r="A4072" s="23" t="inlineStr">
        <is>
          <t>Н</t>
        </is>
      </c>
      <c r="B4072" s="24" t="inlineStr">
        <is>
          <t>22009</t>
        </is>
      </c>
      <c r="C4072" s="23" t="inlineStr">
        <is>
          <t>ОИ РОСС</t>
        </is>
      </c>
      <c r="D4072" s="23" t="inlineStr">
        <is>
          <t>Кисин С.В</t>
        </is>
      </c>
      <c r="E4072" s="23" t="inlineStr">
        <is>
          <t>Эпоха перемен. Век трагедий и побед России. 1900—2020</t>
        </is>
      </c>
      <c r="F4072" s="23" t="inlineStr">
        <is>
          <t>        </t>
        </is>
      </c>
      <c r="G4072" s="27" t="n">
        <v>1057</v>
      </c>
      <c r="H4072" s="23" t="n">
        <v>10</v>
      </c>
      <c r="I4072" s="23" t="n">
        <v>10</v>
      </c>
      <c r="J4072" s="23" t="inlineStr">
        <is>
          <t>978-5-227-11223-1</t>
        </is>
      </c>
      <c r="K4072" s="23" t="inlineStr">
        <is>
          <t>84x108 1/32</t>
        </is>
      </c>
      <c r="L4072" s="23" t="inlineStr">
        <is>
          <t>тв</t>
        </is>
      </c>
      <c r="M4072" s="23" t="n">
        <v>351</v>
      </c>
      <c r="N4072" s="23" t="n">
        <v>2026</v>
      </c>
      <c r="O4072" s="23" t="n">
        <v>400</v>
      </c>
      <c r="P4072" s="23" t="n"/>
      <c r="Q4072" s="23" t="n"/>
      <c r="R4072" s="25" t="inlineStr">
        <is>
          <t>Книга посвящена истории России периода с 1900 по 2020 год. Возможно, это одновременно самый драматический, трагический и героический этап отечественной истории, который нуждается в пристальном изучении, анализе, сопоставлении. Чтобы перенимать оттуда самое лучшее, учиться на предыдущих ошибках и не повторять «хождение по граблям» прошлого в настоящем и будущем. За минувший век Россия столько раз меняла и видоизменяла свой политический и социальный облик, столько раз находилась под реальной угрозой распада, что только ее духовная составляющая и громадный запас исторических нравственных сил позволил стране противостоять всем катаклизмам и сохранить свою самоидентичность. Другого подобного века в истории России еще не было и, надеемся, не будет.</t>
        </is>
      </c>
      <c r="S4072" s="26">
        <f>HYPERLINK("http://www.cnpol.ru/covers/22009.jpg","фото на сайте")</f>
        <v/>
      </c>
    </row>
    <row r="4073" ht="50.1" customHeight="1" s="3">
      <c r="A4073" s="23" t="n"/>
      <c r="B4073" s="24" t="inlineStr">
        <is>
          <t>17689</t>
        </is>
      </c>
      <c r="C4073" s="23" t="inlineStr">
        <is>
          <t>ОИ РУК</t>
        </is>
      </c>
      <c r="D4073" s="23" t="inlineStr">
        <is>
          <t>Андреев А.Р., Андреев М.А.</t>
        </is>
      </c>
      <c r="E4073" s="23" t="inlineStr">
        <is>
          <t>Создай свою родословную. Как самому без больших затрат времени и средств найти своих предков и написать историю собственного рода</t>
        </is>
      </c>
      <c r="F4073" s="23" t="inlineStr">
        <is>
          <t>        </t>
        </is>
      </c>
      <c r="G4073" s="23" t="n">
        <v>554</v>
      </c>
      <c r="H4073" s="23" t="n">
        <v>10</v>
      </c>
      <c r="I4073" s="23" t="n">
        <v>16</v>
      </c>
      <c r="J4073" s="23" t="inlineStr">
        <is>
          <t>978-5-227-05778-5</t>
        </is>
      </c>
      <c r="K4073" s="23" t="inlineStr">
        <is>
          <t>84x108 1/32</t>
        </is>
      </c>
      <c r="L4073" s="23" t="inlineStr">
        <is>
          <t>тв</t>
        </is>
      </c>
      <c r="M4073" s="23" t="n">
        <v>256</v>
      </c>
      <c r="N4073" s="23" t="n">
        <v>2017</v>
      </c>
      <c r="O4073" s="23" t="n">
        <v>234</v>
      </c>
      <c r="P4073" s="23" t="n"/>
      <c r="Q4073" s="23" t="n"/>
      <c r="R4073" s="25" t="n"/>
      <c r="S4073" s="26">
        <f>HYPERLINK("http://www.cnpol.ru/covers/17689.jpg","фото на сайте")</f>
        <v/>
      </c>
    </row>
    <row r="4074" ht="50.1" customHeight="1" s="3">
      <c r="A4074" s="23" t="inlineStr">
        <is>
          <t>Н</t>
        </is>
      </c>
      <c r="B4074" s="24" t="inlineStr">
        <is>
          <t>21838</t>
        </is>
      </c>
      <c r="C4074" s="23" t="inlineStr">
        <is>
          <t>ОИ СЗП</t>
        </is>
      </c>
      <c r="D4074" s="23" t="inlineStr">
        <is>
          <t>Харрисон Д.</t>
        </is>
      </c>
      <c r="E4074" s="23" t="inlineStr">
        <is>
          <t>Волк. Ложное воспоминание</t>
        </is>
      </c>
      <c r="F4074" s="23" t="inlineStr">
        <is>
          <t>        </t>
        </is>
      </c>
      <c r="G4074" s="23" t="n">
        <v>835</v>
      </c>
      <c r="H4074" s="23" t="n">
        <v>10</v>
      </c>
      <c r="I4074" s="23" t="n">
        <v>10</v>
      </c>
      <c r="J4074" s="23" t="inlineStr">
        <is>
          <t>978-5-9524-6528-2</t>
        </is>
      </c>
      <c r="K4074" s="23" t="inlineStr">
        <is>
          <t>84x108 1/32</t>
        </is>
      </c>
      <c r="L4074" s="23" t="inlineStr">
        <is>
          <t>тв</t>
        </is>
      </c>
      <c r="M4074" s="23" t="n">
        <v>223</v>
      </c>
      <c r="N4074" s="23" t="n">
        <v>2025</v>
      </c>
      <c r="O4074" s="23" t="n">
        <v>147</v>
      </c>
      <c r="P4074" s="23" t="n"/>
      <c r="Q4074" s="23" t="n"/>
      <c r="R4074" s="25" t="inlineStr">
        <is>
          <t>В романе одного из самых признанных, как читателями, так и критиками, современных американских писателей рассказана история потомка эмигрантов из Швеции, который отправляется в дикий лес Северного Мичигана в надежде увидеть последнего в здешних местах волка. Главный герой разочаровался в жизни, ничто не доставляет ему удовольствия: ни женщины, ни общение с друзьями, ни хмельные компании. Он понимает абсурдность своего существования и ищет выход.</t>
        </is>
      </c>
      <c r="S4074" s="26">
        <f>HYPERLINK("http://www.cnpol.ru/covers/21838.jpg","фото на сайте")</f>
        <v/>
      </c>
    </row>
    <row r="4075" ht="50.1" customHeight="1" s="3">
      <c r="A4075" s="23" t="inlineStr">
        <is>
          <t>Н</t>
        </is>
      </c>
      <c r="B4075" s="24" t="inlineStr">
        <is>
          <t>21731</t>
        </is>
      </c>
      <c r="C4075" s="23" t="inlineStr">
        <is>
          <t>ОИ СЗП</t>
        </is>
      </c>
      <c r="D4075" s="23" t="inlineStr">
        <is>
          <t>Форстер Э.</t>
        </is>
      </c>
      <c r="E4075" s="23" t="inlineStr">
        <is>
          <t>Говардс-Энд</t>
        </is>
      </c>
      <c r="F4075" s="23" t="inlineStr">
        <is>
          <t>        </t>
        </is>
      </c>
      <c r="G4075" s="27" t="n">
        <v>1009</v>
      </c>
      <c r="H4075" s="23" t="n">
        <v>10</v>
      </c>
      <c r="I4075" s="23" t="n">
        <v>8</v>
      </c>
      <c r="J4075" s="23" t="inlineStr">
        <is>
          <t>978-5-9524-6441-4</t>
        </is>
      </c>
      <c r="K4075" s="23" t="inlineStr">
        <is>
          <t>84x108 1/32</t>
        </is>
      </c>
      <c r="L4075" s="23" t="inlineStr">
        <is>
          <t>тв</t>
        </is>
      </c>
      <c r="M4075" s="23" t="n">
        <v>319</v>
      </c>
      <c r="N4075" s="23" t="n">
        <v>2025</v>
      </c>
      <c r="O4075" s="23" t="n">
        <v>355</v>
      </c>
      <c r="P4075" s="23" t="n"/>
      <c r="Q4075" s="23" t="n"/>
      <c r="R4075" s="25" t="inlineStr">
        <is>
          <t>Сестры Шлегель — героини романа английского писателя Э.М. Форстера (1879—1970) — получают приглашение погостить в загородном доме преуспевающих промышленников Уилкоксов. Поездка Хелен в Говардс-Энд едва не заканчивается помолвкой, что приводит к неразберихе и охлаждению отношений между семьями. Со временем миссис Уилкокс и старшая из сестер возобновляют дружбу. Стремительно угасающая Рут видит в разумной добросердечной Маргарет родственную душу и решает оставить Говардс-Энд именно ей. Генри уничтожает завещание покойной супруги, однако чувство вины заставляет его искать встречи с Маргарет снова и снова. Тем временем бунтарка Хелен сближается с Ленардом Бастом, молодым банковским служащим. Ленард беден и не свободен, но вспыхнувшая между ними страсть непреодолима и способна погубить их обоих…</t>
        </is>
      </c>
      <c r="S4075" s="26">
        <f>HYPERLINK("http://www.cnpol.ru/covers/21731.jpg","фото на сайте")</f>
        <v/>
      </c>
    </row>
    <row r="4076" ht="50.1" customHeight="1" s="3">
      <c r="A4076" s="23" t="inlineStr">
        <is>
          <t>Н</t>
        </is>
      </c>
      <c r="B4076" s="24" t="inlineStr">
        <is>
          <t>21733</t>
        </is>
      </c>
      <c r="C4076" s="23" t="inlineStr">
        <is>
          <t>ОИ СЗП</t>
        </is>
      </c>
      <c r="D4076" s="23" t="inlineStr">
        <is>
          <t>Сакурадзака Хироси</t>
        </is>
      </c>
      <c r="E4076" s="23" t="inlineStr">
        <is>
          <t>Грань будущего</t>
        </is>
      </c>
      <c r="F4076" s="23" t="inlineStr">
        <is>
          <t>        </t>
        </is>
      </c>
      <c r="G4076" s="23" t="n">
        <v>849</v>
      </c>
      <c r="H4076" s="23" t="n">
        <v>10</v>
      </c>
      <c r="I4076" s="23" t="n">
        <v>10</v>
      </c>
      <c r="J4076" s="23" t="inlineStr">
        <is>
          <t>978-5-9524-6453-7</t>
        </is>
      </c>
      <c r="K4076" s="23" t="inlineStr">
        <is>
          <t>84x108 1/32</t>
        </is>
      </c>
      <c r="L4076" s="23" t="inlineStr">
        <is>
          <t>тв</t>
        </is>
      </c>
      <c r="M4076" s="23" t="n">
        <v>255</v>
      </c>
      <c r="N4076" s="23" t="n">
        <v>2025</v>
      </c>
      <c r="O4076" s="23" t="n">
        <v>445</v>
      </c>
      <c r="P4076" s="23" t="n"/>
      <c r="Q4076" s="23" t="n"/>
      <c r="R4076" s="25" t="inlineStr">
        <is>
          <t>"Инопланетные монстры, которых земляне прозвали мимиками, безжалостно оккупируют планету — разрушают крупные города, губят миллионы человеческих жизней. Армии всех стран объединили силы, чтобы вступить в решающую схватку с бесчисленными полчищами агрессоров. Новобранца Кэйдзи Кирию, неподготовленного и плохо снаряженного, как и многих его товарищей, бросили в самую гущу боя, фактически обрекая на смерть. Однако, погибая, Кэйдзи забирает и жизнь пришельца. И случается невероятное — Кирия вновь оказывается накануне того адского дня и, замкнув временную петлю, вынужден теперь сражаться и умирать, раз за разом отправляясь в тот самый бой. Но с каждым возвращением Кэйдж становится более жестоким, более умелым, сражаясь бок о бок с прославленным бойцом спецназа Ритой Вратаски, уничтожившей больше врагов, чем кто-либо другой на Земле. И каждое повторяющееся сражение приближает их к разгадке того, как одолеть инопланетных захватчиков и вырваться из временного плена. Что ждет их с таинственной союзницей — спасение или окончательная смерть?
По роману снят фантастический боевик с Томом Крузом и Эмили Блант в главных ролях."</t>
        </is>
      </c>
      <c r="S4076" s="26">
        <f>HYPERLINK("http://www.cnpol.ru/covers/21733.jpg","фото на сайте")</f>
        <v/>
      </c>
    </row>
    <row r="4077" ht="50.1" customHeight="1" s="3">
      <c r="A4077" s="23" t="n"/>
      <c r="B4077" s="24" t="inlineStr">
        <is>
          <t>15193</t>
        </is>
      </c>
      <c r="C4077" s="23" t="inlineStr">
        <is>
          <t>ОИ СЗП</t>
        </is>
      </c>
      <c r="D4077" s="23" t="inlineStr">
        <is>
          <t>Александер Э.</t>
        </is>
      </c>
      <c r="E4077" s="23" t="inlineStr">
        <is>
          <t>Доказательство рая</t>
        </is>
      </c>
      <c r="F4077" s="23" t="inlineStr">
        <is>
          <t>        </t>
        </is>
      </c>
      <c r="G4077" s="23" t="n">
        <v>615</v>
      </c>
      <c r="H4077" s="23" t="n">
        <v>10</v>
      </c>
      <c r="I4077" s="23" t="n">
        <v>18</v>
      </c>
      <c r="J4077" s="23" t="inlineStr">
        <is>
          <t>978-5-227-05224-7</t>
        </is>
      </c>
      <c r="K4077" s="23" t="inlineStr">
        <is>
          <t>82x100 1/32</t>
        </is>
      </c>
      <c r="L4077" s="23" t="inlineStr">
        <is>
          <t>тв</t>
        </is>
      </c>
      <c r="M4077" s="23" t="n">
        <v>254</v>
      </c>
      <c r="N4077" s="23" t="n">
        <v>2014</v>
      </c>
      <c r="O4077" s="23" t="n">
        <v>230</v>
      </c>
      <c r="P4077" s="23" t="n"/>
      <c r="Q4077" s="23" t="n"/>
      <c r="R4077" s="25" t="inlineStr">
        <is>
          <t>В этой книге доктор Эбен Александер, нейрохирург с 25-летним стажем, профессор, преподававший в Гарвардской медицинской школе и других крупных американских университетах, делится с читателем впечатлениями о своем путешествии на тот свет. _x000D_
Его случай уникален. Пораженный внезапной и необъяснимой формой бактериального менингита, он чудесным образом исцелился после семидневной комы. Высокообразованный медик с огромным практическим опытом, который прежде не только не верил в загробную жизнь, но и мысли о ней не допускал, испытал перемещение своего «я» в высшие миры и столкнулся там с такими поразительными явлениями и откровениями, что, вернувшись к земной жизни, счел своим долгом ученого и врачевателя поведать о них всему миру.</t>
        </is>
      </c>
      <c r="S4077" s="26">
        <f>HYPERLINK("http://www.cnpol.ru/covers/15193.jpg","фото на сайте")</f>
        <v/>
      </c>
    </row>
    <row r="4078" ht="50.1" customHeight="1" s="3">
      <c r="A4078" s="23" t="inlineStr">
        <is>
          <t>Д</t>
        </is>
      </c>
      <c r="B4078" s="24" t="inlineStr">
        <is>
          <t>22224</t>
        </is>
      </c>
      <c r="C4078" s="23" t="inlineStr">
        <is>
          <t>ОИ СЗП</t>
        </is>
      </c>
      <c r="D4078" s="23" t="inlineStr">
        <is>
          <t>Александер Э.</t>
        </is>
      </c>
      <c r="E4078" s="23" t="inlineStr">
        <is>
          <t>Доказательство Рая. Реальный опыт нейрохирурга</t>
        </is>
      </c>
      <c r="F4078" s="23" t="inlineStr">
        <is>
          <t>        </t>
        </is>
      </c>
      <c r="G4078" s="23" t="n">
        <v>933</v>
      </c>
      <c r="H4078" s="23" t="n">
        <v>10</v>
      </c>
      <c r="I4078" s="23" t="n">
        <v>10</v>
      </c>
      <c r="J4078" s="23" t="inlineStr">
        <is>
          <t>978-5-227-11360-3</t>
        </is>
      </c>
      <c r="K4078" s="23" t="inlineStr">
        <is>
          <t>84x108 1/32</t>
        </is>
      </c>
      <c r="L4078" s="23" t="inlineStr">
        <is>
          <t>тв</t>
        </is>
      </c>
      <c r="M4078" s="23" t="n">
        <v>254</v>
      </c>
      <c r="N4078" s="23" t="n">
        <v>2017</v>
      </c>
      <c r="O4078" s="23" t="n">
        <v>322</v>
      </c>
      <c r="P4078" s="23" t="n"/>
      <c r="Q4078" s="23" t="n"/>
      <c r="R4078" s="25" t="inlineStr">
        <is>
          <t>В этой книге доктор Эбен Александер, нейрохирург с 25-летним стажем, профессор, преподававший в Гарвардской медицинской школе и других крупных американских университетах, делится с читателем впечатлениями о своем путешествии на тот свет. 
Его случай уникален. Пораженный внезапной и необъяснимой формой бактериального менингита, он чудесным образом исцелился после семидневной комы. Высокообразованный медик с огромным практическим опытом, который прежде не только не верил в загробную жизнь, но и мысли о ней не допускал, испытал перемещение своего «я» в высшие миры и столкнулся там с такими поразительными явлениями и откровениями, что, вернувшись к земной жизни, счел своим долгом ученого и врачевателя поведать о них всему миру.</t>
        </is>
      </c>
      <c r="S4078" s="26">
        <f>HYPERLINK("http://www.cnpol.ru/covers/22224.jpg","фото на сайте")</f>
        <v/>
      </c>
    </row>
    <row r="4079" ht="50.1" customHeight="1" s="3">
      <c r="A4079" s="23" t="inlineStr">
        <is>
          <t>Д</t>
        </is>
      </c>
      <c r="B4079" s="24" t="inlineStr">
        <is>
          <t>22027</t>
        </is>
      </c>
      <c r="C4079" s="23" t="inlineStr">
        <is>
          <t>ОИ СЗП</t>
        </is>
      </c>
      <c r="D4079" s="23" t="inlineStr">
        <is>
          <t>Лоу К.</t>
        </is>
      </c>
      <c r="E4079" s="23" t="inlineStr">
        <is>
          <t>Жестокий континент. Европа после Второй мировой войны</t>
        </is>
      </c>
      <c r="F4079" s="23" t="inlineStr">
        <is>
          <t>        </t>
        </is>
      </c>
      <c r="G4079" s="27" t="n">
        <v>1286</v>
      </c>
      <c r="H4079" s="23" t="n">
        <v>10</v>
      </c>
      <c r="I4079" s="23" t="n">
        <v>8</v>
      </c>
      <c r="J4079" s="23" t="inlineStr">
        <is>
          <t>978-5-227-04126-5</t>
        </is>
      </c>
      <c r="K4079" s="23" t="inlineStr">
        <is>
          <t>84x108 1/32</t>
        </is>
      </c>
      <c r="L4079" s="23" t="inlineStr">
        <is>
          <t>тв</t>
        </is>
      </c>
      <c r="M4079" s="23" t="n">
        <v>477</v>
      </c>
      <c r="N4079" s="23" t="n">
        <v>2013</v>
      </c>
      <c r="O4079" s="23" t="n">
        <v>500</v>
      </c>
      <c r="P4079" s="23" t="n"/>
      <c r="Q4079" s="23" t="n"/>
      <c r="R4079" s="25" t="inlineStr">
        <is>
          <t>Вторая мировая война, самая разрушительная в истории человечества, не только разорила народы, но и посеяла недоверие между странами. И то, что Европа сумела выбраться из послевоенной разрухи и стать процветающим толерантным обществом, выглядит настоящим чудом. Историки, политики и экономисты отмечали, что окончание войны стало не только концом репрессий и насилия, но и духовным, нравственным и экономическим возрождением целого континента. В своей книге Кит Лоу совершил попытку пролить свет на истинные, иногда ужасающие события, происходящие в послевоенной Европе, и на то влияние, которое они оказали на ее дальнейшее развитие.</t>
        </is>
      </c>
      <c r="S4079" s="26">
        <f>HYPERLINK("http://www.cnpol.ru/covers/22027.jpg","фото на сайте")</f>
        <v/>
      </c>
    </row>
    <row r="4080" ht="50.1" customHeight="1" s="3">
      <c r="A4080" s="23" t="n"/>
      <c r="B4080" s="24" t="inlineStr">
        <is>
          <t>16395</t>
        </is>
      </c>
      <c r="C4080" s="23" t="inlineStr">
        <is>
          <t>ОИ СЗП</t>
        </is>
      </c>
      <c r="D4080" s="23" t="inlineStr">
        <is>
          <t>Александер Э.</t>
        </is>
      </c>
      <c r="E4080" s="23" t="inlineStr">
        <is>
          <t>Карта рая</t>
        </is>
      </c>
      <c r="F4080" s="23" t="inlineStr">
        <is>
          <t>        </t>
        </is>
      </c>
      <c r="G4080" s="23" t="n">
        <v>615</v>
      </c>
      <c r="H4080" s="23" t="n">
        <v>10</v>
      </c>
      <c r="I4080" s="23" t="n">
        <v>12</v>
      </c>
      <c r="J4080" s="23" t="inlineStr">
        <is>
          <t>978-5-227-06284-0</t>
        </is>
      </c>
      <c r="K4080" s="23" t="inlineStr">
        <is>
          <t>82x100 1/32</t>
        </is>
      </c>
      <c r="L4080" s="23" t="inlineStr">
        <is>
          <t>тв</t>
        </is>
      </c>
      <c r="M4080" s="23" t="n">
        <v>224</v>
      </c>
      <c r="N4080" s="23" t="n">
        <v>2015</v>
      </c>
      <c r="O4080" s="23" t="n">
        <v>235</v>
      </c>
      <c r="P4080" s="23" t="n"/>
      <c r="Q4080" s="23" t="n"/>
      <c r="R4080" s="25" t="inlineStr">
        <is>
          <t>«Карта рая» — своего рода продолжение получившей широкую известность книги нейрохирурга Эбена Александера «Доказательство рая». Высокообразованный медик с огромным практическим опытом, который прежде не только не верил в загробную жизнь, но и мысли о ней не допускал, испытал во время тяжелой болезни перемещение своего «я» в Высшие миры и столкнулся там с такими поразительными явлениями и откровениями, что, вернувшись к земной жизни, счел своим долгом ученого и врачевателя поведать о них всему миру. Сегодняшние исследования доктора Э. Александера посвящены усовершенствованию метода освобождения и расширения сознания. Этот метод позволяет ему неоднократно испытывать тот же опыт общения с Высшими мирами, который он имел, находясь в коме.</t>
        </is>
      </c>
      <c r="S4080" s="26">
        <f>HYPERLINK("http://www.cnpol.ru/covers/16395.jpg","фото на сайте")</f>
        <v/>
      </c>
    </row>
    <row r="4081" ht="50.1" customHeight="1" s="3">
      <c r="A4081" s="23" t="inlineStr">
        <is>
          <t>Н</t>
        </is>
      </c>
      <c r="B4081" s="24" t="inlineStr">
        <is>
          <t>22133</t>
        </is>
      </c>
      <c r="C4081" s="23" t="inlineStr">
        <is>
          <t>ОИ СЗП</t>
        </is>
      </c>
      <c r="D4081" s="23" t="inlineStr">
        <is>
          <t>Гордон Г. Гордон М.</t>
        </is>
      </c>
      <c r="E4081" s="23" t="inlineStr">
        <is>
          <t>Кот — агент ФБР</t>
        </is>
      </c>
      <c r="F4081" s="23" t="inlineStr">
        <is>
          <t>        </t>
        </is>
      </c>
      <c r="G4081" s="23" t="n">
        <v>782</v>
      </c>
      <c r="H4081" s="23" t="n">
        <v>10</v>
      </c>
      <c r="I4081" s="23" t="n">
        <v>10</v>
      </c>
      <c r="J4081" s="23" t="inlineStr">
        <is>
          <t>978-5-9524-6639-5</t>
        </is>
      </c>
      <c r="K4081" s="23" t="inlineStr">
        <is>
          <t>84x108 1/32</t>
        </is>
      </c>
      <c r="L4081" s="23" t="inlineStr">
        <is>
          <t>тв</t>
        </is>
      </c>
      <c r="M4081" s="23" t="n">
        <v>191</v>
      </c>
      <c r="N4081" s="23" t="n">
        <v>2026</v>
      </c>
      <c r="O4081" s="23" t="n">
        <v>260</v>
      </c>
      <c r="P4081" s="23" t="n"/>
      <c r="Q4081" s="23" t="n"/>
      <c r="R4081" s="25" t="inlineStr">
        <is>
          <t>Домашний питомец семейства Рэндаллов возвращается с прогулки с дамскими часиками, застегнутыми на шее. Майк Рэндалл припоминает, что подобные часы видел на фото в газете, на запястье сотрудницы банка, похищенной грабителями, и его сестра сообщает о находке в криминальный отдел. Агент Зик Келсо относится к заявлению со всей серьезностью, ведь это первая зацепка в деле. Так черный кот по имени Чок становится тайным информатором и самым засекреченным агентом ФБР…</t>
        </is>
      </c>
      <c r="S4081" s="26">
        <f>HYPERLINK("http://www.cnpol.ru/covers/22133.jpg","фото на сайте")</f>
        <v/>
      </c>
    </row>
    <row r="4082" ht="50.1" customHeight="1" s="3">
      <c r="A4082" s="23" t="inlineStr">
        <is>
          <t>Н</t>
        </is>
      </c>
      <c r="B4082" s="24" t="inlineStr">
        <is>
          <t>21984</t>
        </is>
      </c>
      <c r="C4082" s="23" t="inlineStr">
        <is>
          <t>ОИ СЗП</t>
        </is>
      </c>
      <c r="D4082" s="23" t="inlineStr">
        <is>
          <t>Джордж М.</t>
        </is>
      </c>
      <c r="E4082" s="23" t="inlineStr">
        <is>
          <t>Мария — королева Шотландии. Т. 1</t>
        </is>
      </c>
      <c r="F4082" s="23" t="n">
        <v>1</v>
      </c>
      <c r="G4082" s="27" t="n">
        <v>1466</v>
      </c>
      <c r="H4082" s="23" t="n">
        <v>10</v>
      </c>
      <c r="I4082" s="23" t="n">
        <v>10</v>
      </c>
      <c r="J4082" s="23" t="inlineStr">
        <is>
          <t>978-5-9524-6611-1</t>
        </is>
      </c>
      <c r="K4082" s="23" t="inlineStr">
        <is>
          <t>84x108 1/32</t>
        </is>
      </c>
      <c r="L4082" s="23" t="inlineStr">
        <is>
          <t>тв</t>
        </is>
      </c>
      <c r="M4082" s="23" t="n">
        <v>575</v>
      </c>
      <c r="N4082" s="23" t="n">
        <v>2026</v>
      </c>
      <c r="O4082" s="23" t="n">
        <v>590</v>
      </c>
      <c r="P4082" s="23" t="n"/>
      <c r="Q4082" s="23" t="n"/>
      <c r="R4082" s="25" t="inlineStr">
        <is>
          <t>"Захватывающий роман американской писательницы Маргарет Джордж — это подлинная история Марии Стюарт, жизнь которой стала величайшей трагедией, не померкшей в веках. Правление прекраснейшей из королев, стремившейся к миру и процветанию, стало временем мятежей и заговоров, а ее законное право на английскую корону привело к распре с Елизаветой Тюдор, многолетнему заточению и гибели на эшафоте.
В первом томе описаны ранние годы Марии Стюарт — детство и юность во Франции, роскошная жизнь в качестве невесты дофина при дворе Генриха II, недолгий брак с юным королем Франциском и возвращение в Шотландию, где ей предстояло отстоять свое право на власть, объединить страну и впервые полюбить."</t>
        </is>
      </c>
      <c r="S4082" s="26">
        <f>HYPERLINK("http://www.cnpol.ru/covers/21984.jpg","фото на сайте")</f>
        <v/>
      </c>
    </row>
    <row r="4083" ht="50.1" customHeight="1" s="3">
      <c r="A4083" s="23" t="inlineStr">
        <is>
          <t>Н</t>
        </is>
      </c>
      <c r="B4083" s="24" t="inlineStr">
        <is>
          <t>21985</t>
        </is>
      </c>
      <c r="C4083" s="23" t="inlineStr">
        <is>
          <t>ОИ СЗП</t>
        </is>
      </c>
      <c r="D4083" s="23" t="inlineStr">
        <is>
          <t>Джордж М.</t>
        </is>
      </c>
      <c r="E4083" s="23" t="inlineStr">
        <is>
          <t>Мария — королева Шотландии. Т. 2</t>
        </is>
      </c>
      <c r="F4083" s="23" t="n">
        <v>2</v>
      </c>
      <c r="G4083" s="27" t="n">
        <v>1466</v>
      </c>
      <c r="H4083" s="23" t="n">
        <v>10</v>
      </c>
      <c r="I4083" s="23" t="n">
        <v>5</v>
      </c>
      <c r="J4083" s="23" t="inlineStr">
        <is>
          <t>978-5-9524-6612-8</t>
        </is>
      </c>
      <c r="K4083" s="23" t="inlineStr">
        <is>
          <t>84x108 1/32</t>
        </is>
      </c>
      <c r="L4083" s="23" t="inlineStr">
        <is>
          <t>тв</t>
        </is>
      </c>
      <c r="M4083" s="23" t="n">
        <v>575</v>
      </c>
      <c r="N4083" s="23" t="n">
        <v>2026</v>
      </c>
      <c r="O4083" s="23" t="n">
        <v>582</v>
      </c>
      <c r="P4083" s="23" t="n"/>
      <c r="Q4083" s="23" t="n"/>
      <c r="R4083" s="25" t="inlineStr">
        <is>
          <t>"Захватывающий роман американской писательницы Маргарет Джордж — это подлинная история Марии Стюарт, жизнь которой стала величайшей трагедией, не померкшей в веках. Правление прекраснейшей из королев стало временем мятежей и заговоров, а ее законное право на английскую корону привело к распре с Елизаветой Тюдор, многолетнему заточению и гибели на эшафоте.
Во втором томе молодая правительница продолжает борьбу за свою страну, проводит политику веротерпимости, пытаясь примирить подданных, теряет друзей и обретает новых сторонников. Брак с лордом Дарнли дает трещину, и королева находит утешение в объятиях графа Босуэлла. Преданная ближайшим окружением и обвиненная в прелюбодействе, Мария вынуждена бежать и просить защиты у королевы Англии. Она еще не ведает, что убежище, предоставленное могущественной кузиной, окажется пленом, из которого лишь один выход…"</t>
        </is>
      </c>
      <c r="S4083" s="26">
        <f>HYPERLINK("http://www.cnpol.ru/covers/21985.jpg","фото на сайте")</f>
        <v/>
      </c>
    </row>
    <row r="4084" ht="50.1" customHeight="1" s="3">
      <c r="A4084" s="23" t="inlineStr">
        <is>
          <t>Н</t>
        </is>
      </c>
      <c r="B4084" s="24" t="inlineStr">
        <is>
          <t>21403</t>
        </is>
      </c>
      <c r="C4084" s="23" t="inlineStr">
        <is>
          <t>ОИ СЗП</t>
        </is>
      </c>
      <c r="D4084" s="23" t="inlineStr">
        <is>
          <t>Ла Мюр П.</t>
        </is>
      </c>
      <c r="E4084" s="23" t="inlineStr">
        <is>
          <t>Мулен Руж</t>
        </is>
      </c>
      <c r="F4084" s="23" t="inlineStr">
        <is>
          <t>        </t>
        </is>
      </c>
      <c r="G4084" s="27" t="n">
        <v>1304</v>
      </c>
      <c r="H4084" s="23" t="n">
        <v>10</v>
      </c>
      <c r="I4084" s="23" t="n">
        <v>8</v>
      </c>
      <c r="J4084" s="23" t="inlineStr">
        <is>
          <t>978-5-227-10859-3</t>
        </is>
      </c>
      <c r="K4084" s="23" t="inlineStr">
        <is>
          <t>84x108 1/32</t>
        </is>
      </c>
      <c r="L4084" s="23" t="inlineStr">
        <is>
          <t>тв</t>
        </is>
      </c>
      <c r="M4084" s="23" t="n">
        <v>479</v>
      </c>
      <c r="N4084" s="23" t="n">
        <v>2025</v>
      </c>
      <c r="O4084" s="23" t="n">
        <v>508</v>
      </c>
      <c r="P4084" s="23" t="n"/>
      <c r="Q4084" s="23" t="n"/>
      <c r="R4084" s="25" t="inlineStr">
        <is>
          <t>Одаренный художник, единственный наследник древнего аристократического рода Анри де Тулуз-Лотрек унаследовал от предков не только титул, но и наследственный недуг. Обладая поразительным жизнелюбием и неоспоримым талантом, «маленький граф с Монмартра» с одинаковой страстью постигал тайны живописи и предавался кутежу. Знавший богемную жизнь Парижа как никто другой, Лотрек запечатлел на своих холстах и многочисленных рисунках парижские кабаре, прославил в веках блистательный «Мулен Руж». Портреты танцовщиц, дам полусвета и уличных девиц снискали ему скандальную славу, признание и успех, однако познать счастье искренней взаимной любви коротышке Анри было не суждено… Роман Пьера Ла Мюра — это больше чем описание жизни Тулуз-Лотрека, это — исследование мятущейся души художника, чье пылкое сердце до последнего дня жаждало любви…</t>
        </is>
      </c>
      <c r="S4084" s="26">
        <f>HYPERLINK("http://www.cnpol.ru/covers/21403.jpg","фото на сайте")</f>
        <v/>
      </c>
    </row>
    <row r="4085" ht="50.1" customHeight="1" s="3">
      <c r="A4085" s="23" t="inlineStr">
        <is>
          <t>Н</t>
        </is>
      </c>
      <c r="B4085" s="24" t="inlineStr">
        <is>
          <t>21799</t>
        </is>
      </c>
      <c r="C4085" s="23" t="inlineStr">
        <is>
          <t>ОИ СЗП</t>
        </is>
      </c>
      <c r="D4085" s="23" t="inlineStr">
        <is>
          <t>Керш Д.</t>
        </is>
      </c>
      <c r="E4085" s="23" t="inlineStr">
        <is>
          <t>Ночь и город</t>
        </is>
      </c>
      <c r="F4085" s="23" t="inlineStr">
        <is>
          <t>        </t>
        </is>
      </c>
      <c r="G4085" s="27" t="n">
        <v>1057</v>
      </c>
      <c r="H4085" s="23" t="n">
        <v>10</v>
      </c>
      <c r="I4085" s="23" t="n">
        <v>5</v>
      </c>
      <c r="J4085" s="23" t="inlineStr">
        <is>
          <t>978-5-9524-6510-7</t>
        </is>
      </c>
      <c r="K4085" s="23" t="inlineStr">
        <is>
          <t>84x108 1/32</t>
        </is>
      </c>
      <c r="L4085" s="23" t="inlineStr">
        <is>
          <t>тв</t>
        </is>
      </c>
      <c r="M4085" s="23" t="n">
        <v>339</v>
      </c>
      <c r="N4085" s="23" t="n">
        <v>2025</v>
      </c>
      <c r="O4085" s="23" t="n">
        <v>384</v>
      </c>
      <c r="P4085" s="23" t="n"/>
      <c r="Q4085" s="23" t="n"/>
      <c r="R4085" s="25" t="inlineStr">
        <is>
          <t>Жизнь Гарри Фабиана, альфонса и гениального изобретателя, проходит в вечном поиске внезапного богатства. Все его мечты и идеи не могут никого ввести в заблуждение и привести к какой-либо выгоде. Он постоянно рисуется и не может ни на чем сосредоточиться. Он мог бы достичь многого, если бы не стремление выглядеть круче, пустые мечтания и лень.</t>
        </is>
      </c>
      <c r="S4085" s="26">
        <f>HYPERLINK("http://www.cnpol.ru/covers/21799.jpg","фото на сайте")</f>
        <v/>
      </c>
    </row>
    <row r="4086" ht="50.1" customHeight="1" s="3">
      <c r="A4086" s="23" t="inlineStr">
        <is>
          <t>Д</t>
        </is>
      </c>
      <c r="B4086" s="24" t="inlineStr">
        <is>
          <t>22024</t>
        </is>
      </c>
      <c r="C4086" s="23" t="inlineStr">
        <is>
          <t>ОИ СЗП</t>
        </is>
      </c>
      <c r="D4086" s="23" t="inlineStr">
        <is>
          <t>Робб Г.</t>
        </is>
      </c>
      <c r="E4086" s="23" t="inlineStr">
        <is>
          <t>Открытие Франции. Увлекательное путешествие длиной 20 000 километров по сокровенным уголкам самой интересной страны мира</t>
        </is>
      </c>
      <c r="F4086" s="23" t="inlineStr">
        <is>
          <t>        </t>
        </is>
      </c>
      <c r="G4086" s="27" t="n">
        <v>1721</v>
      </c>
      <c r="H4086" s="23" t="n">
        <v>10</v>
      </c>
      <c r="I4086" s="23" t="n">
        <v>6</v>
      </c>
      <c r="J4086" s="23" t="inlineStr">
        <is>
          <t>978-5-227-04695-6</t>
        </is>
      </c>
      <c r="K4086" s="23" t="inlineStr">
        <is>
          <t>84x108 1/32</t>
        </is>
      </c>
      <c r="L4086" s="23" t="inlineStr">
        <is>
          <t>тв</t>
        </is>
      </c>
      <c r="M4086" s="23" t="n">
        <v>575</v>
      </c>
      <c r="N4086" s="23" t="n">
        <v>2013</v>
      </c>
      <c r="O4086" s="23" t="n">
        <v>607</v>
      </c>
      <c r="P4086" s="23" t="n"/>
      <c r="Q4086" s="23" t="n"/>
      <c r="R4086" s="25" t="inlineStr">
        <is>
          <t>Автор этой книги — знаменитый историк и биограф, страстно любящий Францию и посвятивший ее изучению многие годы. Большинство историков фокусировали свое внимание на Париже — столице централизованного государства, сконцентрировавшей все политические, экономические и культурные достижения. Г. Робб увлечен иной задачей. Объехав Францию вдоль и поперек, побывав в самых дальних ее уголках, он меняет привычные представления о стране с помощью огромного исследовательского материала, начиная с доримской Галлии и завершая началом XX в., — и все это в форме увлекательных новелл о малоизвестных и прославленных на весь мир исторических событиях и персонажах. Он блестяще достигает поставленной цели — открыть читателю неизвестную прежде Францию.</t>
        </is>
      </c>
      <c r="S4086" s="26">
        <f>HYPERLINK("http://www.cnpol.ru/covers/22024.jpg","фото на сайте")</f>
        <v/>
      </c>
    </row>
    <row r="4087" ht="50.1" customHeight="1" s="3">
      <c r="A4087" s="23" t="inlineStr">
        <is>
          <t>Н</t>
        </is>
      </c>
      <c r="B4087" s="24" t="inlineStr">
        <is>
          <t>21423</t>
        </is>
      </c>
      <c r="C4087" s="23" t="inlineStr">
        <is>
          <t>ОИ СЗП</t>
        </is>
      </c>
      <c r="D4087" s="23" t="inlineStr">
        <is>
          <t>Робб Г.</t>
        </is>
      </c>
      <c r="E4087" s="23" t="inlineStr">
        <is>
          <t>Парижане. История приключений в Париже</t>
        </is>
      </c>
      <c r="F4087" s="23" t="inlineStr">
        <is>
          <t>        </t>
        </is>
      </c>
      <c r="G4087" s="27" t="n">
        <v>1814</v>
      </c>
      <c r="H4087" s="23" t="n">
        <v>10</v>
      </c>
      <c r="I4087" s="23" t="n">
        <v>8</v>
      </c>
      <c r="J4087" s="23" t="inlineStr">
        <is>
          <t>978-5-9524-6288-5</t>
        </is>
      </c>
      <c r="K4087" s="23" t="inlineStr">
        <is>
          <t>84x108 1/32</t>
        </is>
      </c>
      <c r="L4087" s="23" t="inlineStr">
        <is>
          <t>тв</t>
        </is>
      </c>
      <c r="M4087" s="23" t="n">
        <v>511</v>
      </c>
      <c r="N4087" s="23" t="n">
        <v>2025</v>
      </c>
      <c r="O4087" s="23" t="n">
        <v>406</v>
      </c>
      <c r="P4087" s="23" t="n"/>
      <c r="Q4087" s="23" t="n"/>
      <c r="R4087" s="25" t="inlineStr">
        <is>
          <t>Удостоенный наград биограф, историк, страстный франкофил и талантливый рассказчик, Г. Робб приглашает читателя в познавательное путешествие сквозь века парижской истории, начиная с 1750 года и до наших дней. Книга представляет собой серию увлекательных новелл, основанных на реальных событиях из жизни самых разных жителей французской столицы — знаменитостей с мировым именем и людей совсем неизвестных: прелюбодеев, полицейских, убийц, проституток, революционеров, поэтов, солдат, шпионов. Фоном и главным действующим лицом в них является Париж — прославленный город, который автор показывает в непривычных ракурсах, чтобы читатель увидел его по-новому и открыл для себя заново.</t>
        </is>
      </c>
      <c r="S4087" s="26">
        <f>HYPERLINK("http://www.cnpol.ru/covers/21423.jpg","фото на сайте")</f>
        <v/>
      </c>
    </row>
    <row r="4088" ht="50.1" customHeight="1" s="3">
      <c r="A4088" s="23" t="inlineStr">
        <is>
          <t>Н</t>
        </is>
      </c>
      <c r="B4088" s="24" t="inlineStr">
        <is>
          <t>22097</t>
        </is>
      </c>
      <c r="C4088" s="23" t="inlineStr">
        <is>
          <t>ОИ СЗП</t>
        </is>
      </c>
      <c r="D4088" s="23" t="inlineStr">
        <is>
          <t>Харрисон С.</t>
        </is>
      </c>
      <c r="E4088" s="23" t="inlineStr">
        <is>
          <t>Полевые цветы</t>
        </is>
      </c>
      <c r="F4088" s="23" t="inlineStr">
        <is>
          <t>        </t>
        </is>
      </c>
      <c r="G4088" s="27" t="n">
        <v>1581</v>
      </c>
      <c r="H4088" s="23" t="n">
        <v>10</v>
      </c>
      <c r="I4088" s="23" t="n">
        <v>5</v>
      </c>
      <c r="J4088" s="23" t="inlineStr">
        <is>
          <t>978-5-9524-6675-3</t>
        </is>
      </c>
      <c r="K4088" s="23" t="inlineStr">
        <is>
          <t>84x108 1/32</t>
        </is>
      </c>
      <c r="L4088" s="23" t="inlineStr">
        <is>
          <t>тв</t>
        </is>
      </c>
      <c r="M4088" s="23" t="n">
        <v>639</v>
      </c>
      <c r="N4088" s="23" t="n">
        <v>2026</v>
      </c>
      <c r="O4088" s="23" t="n">
        <v>637</v>
      </c>
      <c r="P4088" s="23" t="n"/>
      <c r="Q4088" s="23" t="n"/>
      <c r="R4088" s="25" t="inlineStr">
        <is>
          <t>Теа Теннант, старшая дочь богатого промышленника и прекрасной женщины-аристократки, не готова следовать традиционному пути, предписанному ей по рождению, она хочет посвятить себя настоящему делу. Зато ее красивая, легкомысленная сестра Далси думает только об удовольствиях, о плотских — не в последнюю очередь. С началом войны жизнь семьи Теннант круто изменяется: сын уходит на фронт, Теа начинает работать. И для их горничной Примми, как это случается в пору суровых событий, открываются новые возможности, которыми она полна решимости воспользоваться. На фоне жестокостей Первой мировой войны, которая станет испытанием для всех героев романа, — жителей сельских мест и британской столицы, — раскрываются яркие живые характеры.</t>
        </is>
      </c>
      <c r="S4088" s="26">
        <f>HYPERLINK("http://www.cnpol.ru/covers/22097.jpg","фото на сайте")</f>
        <v/>
      </c>
    </row>
    <row r="4089" ht="50.1" customHeight="1" s="3">
      <c r="A4089" s="23" t="inlineStr">
        <is>
          <t>Н</t>
        </is>
      </c>
      <c r="B4089" s="24" t="inlineStr">
        <is>
          <t>22088</t>
        </is>
      </c>
      <c r="C4089" s="23" t="inlineStr">
        <is>
          <t>ОИ СЗП</t>
        </is>
      </c>
      <c r="D4089" s="23" t="inlineStr">
        <is>
          <t>Болдуин М.</t>
        </is>
      </c>
      <c r="E4089" s="23" t="inlineStr">
        <is>
          <t>Разорение Лангедока</t>
        </is>
      </c>
      <c r="F4089" s="23" t="inlineStr">
        <is>
          <t>        </t>
        </is>
      </c>
      <c r="G4089" s="27" t="n">
        <v>1533</v>
      </c>
      <c r="H4089" s="23" t="n">
        <v>10</v>
      </c>
      <c r="I4089" s="23" t="n">
        <v>5</v>
      </c>
      <c r="J4089" s="23" t="inlineStr">
        <is>
          <t>978-5-9524-6655-5</t>
        </is>
      </c>
      <c r="K4089" s="23" t="inlineStr">
        <is>
          <t>84x108 1/32</t>
        </is>
      </c>
      <c r="L4089" s="23" t="inlineStr">
        <is>
          <t>тв</t>
        </is>
      </c>
      <c r="M4089" s="23" t="n">
        <v>607</v>
      </c>
      <c r="N4089" s="23" t="n">
        <v>2026</v>
      </c>
      <c r="O4089" s="23" t="n">
        <v>634</v>
      </c>
      <c r="P4089" s="23" t="n"/>
      <c r="Q4089" s="23" t="n"/>
      <c r="R4089" s="25" t="inlineStr">
        <is>
          <t>Действие исторической эпопеи разворачивается во времена крестового похода Симона де Монфора против еретиков Южной Франции. Главная героиня — прекрасная молодая девушка, чьи успехи в сражениях позволяют считать ее Жанной д’Арк Лангедока. Сложное переплетение реальных исторических фактов и вымысла влечет за собой развитие событий, предвидеть которое невозможно.</t>
        </is>
      </c>
      <c r="S4089" s="26">
        <f>HYPERLINK("http://www.cnpol.ru/covers/22088.jpg","фото на сайте")</f>
        <v/>
      </c>
    </row>
    <row r="4090" ht="50.1" customHeight="1" s="3">
      <c r="A4090" s="23" t="n"/>
      <c r="B4090" s="24" t="inlineStr">
        <is>
          <t>12109</t>
        </is>
      </c>
      <c r="C4090" s="23" t="inlineStr">
        <is>
          <t>ОИ СЗП</t>
        </is>
      </c>
      <c r="D4090" s="23" t="inlineStr">
        <is>
          <t>Парей И.</t>
        </is>
      </c>
      <c r="E4090" s="23" t="inlineStr">
        <is>
          <t>Сумрак</t>
        </is>
      </c>
      <c r="F4090" s="23" t="inlineStr">
        <is>
          <t>        </t>
        </is>
      </c>
      <c r="G4090" s="23" t="n">
        <v>534</v>
      </c>
      <c r="H4090" s="23" t="n">
        <v>10</v>
      </c>
      <c r="I4090" s="23" t="n">
        <v>24</v>
      </c>
      <c r="J4090" s="23" t="inlineStr">
        <is>
          <t>978-5-227-02266-0</t>
        </is>
      </c>
      <c r="K4090" s="23" t="inlineStr">
        <is>
          <t>82x100 1/32</t>
        </is>
      </c>
      <c r="L4090" s="23" t="inlineStr">
        <is>
          <t>тв</t>
        </is>
      </c>
      <c r="M4090" s="23" t="n">
        <v>191</v>
      </c>
      <c r="N4090" s="23" t="n">
        <v>2010</v>
      </c>
      <c r="O4090" s="23" t="n">
        <v>196</v>
      </c>
      <c r="P4090" s="23" t="n"/>
      <c r="Q4090" s="23" t="n"/>
      <c r="R4090" s="25" t="n"/>
      <c r="S4090" s="26">
        <f>HYPERLINK("http://www.cnpol.ru/covers/12109.jpg","фото на сайте")</f>
        <v/>
      </c>
    </row>
    <row r="4091" ht="50.1" customHeight="1" s="3">
      <c r="A4091" s="23" t="n"/>
      <c r="B4091" s="24" t="inlineStr">
        <is>
          <t>12168</t>
        </is>
      </c>
      <c r="C4091" s="23" t="inlineStr">
        <is>
          <t>ОИ СЗП</t>
        </is>
      </c>
      <c r="D4091" s="23" t="inlineStr">
        <is>
          <t>Энцлер Ив</t>
        </is>
      </c>
      <c r="E4091" s="23" t="inlineStr">
        <is>
          <t>Я- эмоциональное создание</t>
        </is>
      </c>
      <c r="F4091" s="23" t="inlineStr">
        <is>
          <t>        </t>
        </is>
      </c>
      <c r="G4091" s="23" t="n">
        <v>534</v>
      </c>
      <c r="H4091" s="23" t="n">
        <v>10</v>
      </c>
      <c r="I4091" s="23" t="n">
        <v>24</v>
      </c>
      <c r="J4091" s="23" t="inlineStr">
        <is>
          <t>978-5-227-02335-3</t>
        </is>
      </c>
      <c r="K4091" s="23" t="inlineStr">
        <is>
          <t>84x108 1/32</t>
        </is>
      </c>
      <c r="L4091" s="23" t="inlineStr">
        <is>
          <t>тв</t>
        </is>
      </c>
      <c r="M4091" s="23" t="n">
        <v>159</v>
      </c>
      <c r="N4091" s="23" t="n">
        <v>2010</v>
      </c>
      <c r="O4091" s="23" t="n">
        <v>212</v>
      </c>
      <c r="P4091" s="23" t="n"/>
      <c r="Q4091" s="23" t="n"/>
      <c r="R4091" s="25" t="n"/>
      <c r="S4091" s="26">
        <f>HYPERLINK("http://www.cnpol.ru/covers/12168.jpg","фото на сайте")</f>
        <v/>
      </c>
    </row>
    <row r="4092" ht="50.1" customHeight="1" s="3">
      <c r="A4092" s="23" t="n"/>
      <c r="B4092" s="24" t="inlineStr">
        <is>
          <t>20130</t>
        </is>
      </c>
      <c r="C4092" s="23" t="inlineStr">
        <is>
          <t>ОИ УВЛ</t>
        </is>
      </c>
      <c r="D4092" s="23" t="inlineStr">
        <is>
          <t>Аллен Р. Х.</t>
        </is>
      </c>
      <c r="E4092" s="23" t="inlineStr">
        <is>
          <t>Звезды. Легенды и научные факты о происхождении астрономических имен</t>
        </is>
      </c>
      <c r="F4092" s="23" t="inlineStr">
        <is>
          <t>        </t>
        </is>
      </c>
      <c r="G4092" s="27" t="n">
        <v>1466</v>
      </c>
      <c r="H4092" s="23" t="n">
        <v>10</v>
      </c>
      <c r="I4092" s="23" t="n">
        <v>8</v>
      </c>
      <c r="J4092" s="23" t="inlineStr">
        <is>
          <t>978-5-9524-5719-5</t>
        </is>
      </c>
      <c r="K4092" s="23" t="inlineStr">
        <is>
          <t>84x108 1/32</t>
        </is>
      </c>
      <c r="L4092" s="23" t="inlineStr">
        <is>
          <t>тв</t>
        </is>
      </c>
      <c r="M4092" s="23" t="n">
        <v>575</v>
      </c>
      <c r="N4092" s="23" t="n">
        <v>2022</v>
      </c>
      <c r="O4092" s="23" t="n">
        <v>428</v>
      </c>
      <c r="P4092" s="23" t="n"/>
      <c r="Q4092" s="23" t="n"/>
      <c r="R4092" s="25" t="inlineStr">
        <is>
          <t>Это необычная книга для тех, кто интересуется красотой и чудесами звездного неба. Изучив труды древних авторов, Аллен написал увлекательную историю о том, как люди разных культур давали имена созвездиям, как в течение многих веков их описывали в литературе и устных преданиях, о том, какие невероятные ассоциации вызывали звезды у античных народов. Автор рассказал, как появились солнечный и лунный зодиаки, что сказано о звездах в Библии и других священных книгах, в поэзии и прозе, поведал о появлении изображений созвездий. Аллен также останавливается на вопросах астрологии и описывает, каким образом предсказывали будущее по звездам.</t>
        </is>
      </c>
      <c r="S4092" s="26">
        <f>HYPERLINK("http://www.cnpol.ru/covers/20130.jpg","фото на сайте")</f>
        <v/>
      </c>
    </row>
    <row r="4093" ht="50.1" customHeight="1" s="3">
      <c r="A4093" s="23" t="n"/>
      <c r="B4093" s="24" t="inlineStr">
        <is>
          <t>12536</t>
        </is>
      </c>
      <c r="C4093" s="23" t="inlineStr">
        <is>
          <t>ОИ УВЛ</t>
        </is>
      </c>
      <c r="D4093" s="23" t="inlineStr">
        <is>
          <t>Халявин В.</t>
        </is>
      </c>
      <c r="E4093" s="23" t="inlineStr">
        <is>
          <t>Похалявим в Интернете? Бесплатно: качай, слушай, смотри...</t>
        </is>
      </c>
      <c r="F4093" s="23" t="inlineStr">
        <is>
          <t>        </t>
        </is>
      </c>
      <c r="G4093" s="23" t="n">
        <v>123</v>
      </c>
      <c r="H4093" s="23" t="n">
        <v>10</v>
      </c>
      <c r="I4093" s="23" t="n">
        <v>32</v>
      </c>
      <c r="J4093" s="23" t="inlineStr">
        <is>
          <t>978-5-9524-4951-0</t>
        </is>
      </c>
      <c r="K4093" s="23" t="inlineStr">
        <is>
          <t>60x90 1/16</t>
        </is>
      </c>
      <c r="L4093" s="23" t="inlineStr">
        <is>
          <t>мяг</t>
        </is>
      </c>
      <c r="M4093" s="23" t="n">
        <v>174</v>
      </c>
      <c r="N4093" s="23" t="n">
        <v>2011</v>
      </c>
      <c r="O4093" s="23" t="n">
        <v>140</v>
      </c>
      <c r="P4093" s="23" t="n"/>
      <c r="Q4093" s="23" t="n"/>
      <c r="R4093" s="25" t="n"/>
      <c r="S4093" s="26">
        <f>HYPERLINK("http://www.cnpol.ru/covers/12536.jpg","фото на сайте")</f>
        <v/>
      </c>
    </row>
    <row r="4094" ht="50.1" customHeight="1" s="3">
      <c r="A4094" s="23" t="n"/>
      <c r="B4094" s="24" t="inlineStr">
        <is>
          <t>12918</t>
        </is>
      </c>
      <c r="C4094" s="23" t="inlineStr">
        <is>
          <t>ОИ УВЛ</t>
        </is>
      </c>
      <c r="D4094" s="23" t="inlineStr">
        <is>
          <t>Халявин В.</t>
        </is>
      </c>
      <c r="E4094" s="23" t="inlineStr">
        <is>
          <t>Похалявим в Интернете? Бесплатно: качай, слушай, смотри...</t>
        </is>
      </c>
      <c r="F4094" s="23" t="inlineStr">
        <is>
          <t>        </t>
        </is>
      </c>
      <c r="G4094" s="23" t="n">
        <v>115</v>
      </c>
      <c r="H4094" s="23" t="n">
        <v>10</v>
      </c>
      <c r="I4094" s="23" t="n">
        <v>32</v>
      </c>
      <c r="J4094" s="23" t="inlineStr">
        <is>
          <t>978-5-9524-4951-0</t>
        </is>
      </c>
      <c r="K4094" s="23" t="inlineStr">
        <is>
          <t>60x90 1/16</t>
        </is>
      </c>
      <c r="L4094" s="23" t="inlineStr">
        <is>
          <t>мяг</t>
        </is>
      </c>
      <c r="M4094" s="23" t="n">
        <v>174</v>
      </c>
      <c r="N4094" s="23" t="n">
        <v>2011</v>
      </c>
      <c r="O4094" s="23" t="n">
        <v>130</v>
      </c>
      <c r="P4094" s="23" t="n"/>
      <c r="Q4094" s="23" t="n"/>
      <c r="R4094" s="25" t="n"/>
      <c r="S4094" s="26">
        <f>HYPERLINK("http://www.cnpol.ru/covers/12918.jpg","фото на сайте")</f>
        <v/>
      </c>
    </row>
    <row r="4095" ht="50.1" customHeight="1" s="3">
      <c r="A4095" s="23" t="n"/>
      <c r="B4095" s="24" t="inlineStr">
        <is>
          <t>12055</t>
        </is>
      </c>
      <c r="C4095" s="23" t="inlineStr">
        <is>
          <t>ОИ ФЭНТЕЗИ</t>
        </is>
      </c>
      <c r="D4095" s="23" t="inlineStr">
        <is>
          <t>Хаер Р.</t>
        </is>
      </c>
      <c r="E4095" s="23" t="inlineStr">
        <is>
          <t>Бравая служба</t>
        </is>
      </c>
      <c r="F4095" s="23" t="inlineStr">
        <is>
          <t>        </t>
        </is>
      </c>
      <c r="G4095" s="23" t="n">
        <v>428</v>
      </c>
      <c r="H4095" s="23" t="n">
        <v>10</v>
      </c>
      <c r="I4095" s="23" t="n">
        <v>14</v>
      </c>
      <c r="J4095" s="23" t="inlineStr">
        <is>
          <t>978-5-227-02192-2</t>
        </is>
      </c>
      <c r="K4095" s="23" t="inlineStr">
        <is>
          <t>84x108 1/32</t>
        </is>
      </c>
      <c r="L4095" s="23" t="inlineStr">
        <is>
          <t>тв</t>
        </is>
      </c>
      <c r="M4095" s="23" t="n">
        <v>351</v>
      </c>
      <c r="N4095" s="23" t="n">
        <v>2010</v>
      </c>
      <c r="O4095" s="23" t="n">
        <v>290</v>
      </c>
      <c r="P4095" s="23" t="n"/>
      <c r="Q4095" s="23" t="n"/>
      <c r="R4095" s="25" t="inlineStr">
        <is>
          <t>Бравого джисталкера Тима снова ждет яростный и веселый мир Ворк. Он реализует глобальный проект века, и всюду готовятся к грандиозным переменам. По милости джисталкера всякие там энергетические потоки да и мысли обитателей двух миров будут теперь течь в направлении, угодном Тиму. Всемогущий маг может устроить Большую охоту на тираннозавра величиной с американский небоскреб и победить его, как соседского петуха. Однако и такую могучесть можно легко пробить двумя слезинками родной дочки и довести до исступления очаровательной глупостью миленькой офисной курицы.</t>
        </is>
      </c>
      <c r="S4095" s="26">
        <f>HYPERLINK("http://www.cnpol.ru/covers/12055.jpg","фото на сайте")</f>
        <v/>
      </c>
    </row>
    <row r="4096" ht="50.1" customHeight="1" s="3">
      <c r="A4096" s="23" t="n"/>
      <c r="B4096" s="24" t="inlineStr">
        <is>
          <t>11490</t>
        </is>
      </c>
      <c r="C4096" s="23" t="inlineStr">
        <is>
          <t>ОИ ФЭНТЕЗИ</t>
        </is>
      </c>
      <c r="D4096" s="23" t="inlineStr">
        <is>
          <t>Хаер Р.</t>
        </is>
      </c>
      <c r="E4096" s="23" t="inlineStr">
        <is>
          <t>Идеальное дело</t>
        </is>
      </c>
      <c r="F4096" s="23" t="inlineStr">
        <is>
          <t>        </t>
        </is>
      </c>
      <c r="G4096" s="23" t="n">
        <v>428</v>
      </c>
      <c r="H4096" s="23" t="n">
        <v>10</v>
      </c>
      <c r="I4096" s="23" t="n">
        <v>12</v>
      </c>
      <c r="J4096" s="23" t="inlineStr">
        <is>
          <t>978-5-9524-4569-7</t>
        </is>
      </c>
      <c r="K4096" s="23" t="inlineStr">
        <is>
          <t>84x108 1/32</t>
        </is>
      </c>
      <c r="L4096" s="23" t="inlineStr">
        <is>
          <t>тв</t>
        </is>
      </c>
      <c r="M4096" s="23" t="n">
        <v>382</v>
      </c>
      <c r="N4096" s="23" t="n">
        <v>2009</v>
      </c>
      <c r="O4096" s="23" t="n">
        <v>314</v>
      </c>
      <c r="P4096" s="23" t="n"/>
      <c r="Q4096" s="23" t="n"/>
      <c r="R4096" s="25" t="inlineStr">
        <is>
          <t>В комфортабельной Москве недалекого будущего все снова спокойно, как в древней Монголии до рождения Чингисхана. Но как можно наслаждаться покоем, если твоя профессия - джисталкер? Опять же друзья-компаньоны, бывшие одноклассники, маются от безделья и предлагают проекты - нелепее некуда. Выход один - ухватиться за первое попавшееся задание, которое выглядит более или менее приемлемым. А о том, куда оно в результате приведет неугомонного джисталкера, можно подумать и позже, ведь если что - друг, рыжий кот-телепат, будет рядом и всегда поможет. Хотя, признаться честно, путь лежит туда, куда идти немного страшновато, ведь дело придется иметь с орками, троллями и гоблинами..</t>
        </is>
      </c>
      <c r="S4096" s="26">
        <f>HYPERLINK("http://www.cnpol.ru/covers/11490.jpg","фото на сайте")</f>
        <v/>
      </c>
    </row>
    <row r="4097" ht="50.1" customHeight="1" s="3">
      <c r="A4097" s="23" t="n"/>
      <c r="B4097" s="24" t="inlineStr">
        <is>
          <t>12236</t>
        </is>
      </c>
      <c r="C4097" s="23" t="inlineStr">
        <is>
          <t>ОП</t>
        </is>
      </c>
      <c r="D4097" s="23" t="inlineStr">
        <is>
          <t>Берсеньева</t>
        </is>
      </c>
      <c r="E4097" s="23" t="inlineStr">
        <is>
          <t>Всё о свадьбе.Как подготовить и сыграть незабываемую свадьбу</t>
        </is>
      </c>
      <c r="F4097" s="23" t="inlineStr">
        <is>
          <t>        </t>
        </is>
      </c>
      <c r="G4097" s="23" t="n">
        <v>389</v>
      </c>
      <c r="H4097" s="23" t="n">
        <v>10</v>
      </c>
      <c r="I4097" s="23" t="n">
        <v>20</v>
      </c>
      <c r="J4097" s="23" t="inlineStr">
        <is>
          <t>978-5-227-02103-8</t>
        </is>
      </c>
      <c r="K4097" s="23" t="inlineStr">
        <is>
          <t>84x108 1/32</t>
        </is>
      </c>
      <c r="L4097" s="23" t="inlineStr">
        <is>
          <t>тв</t>
        </is>
      </c>
      <c r="M4097" s="23" t="n">
        <v>239</v>
      </c>
      <c r="N4097" s="23" t="n">
        <v>2010</v>
      </c>
      <c r="O4097" s="23" t="n">
        <v>230</v>
      </c>
      <c r="P4097" s="23" t="n"/>
      <c r="Q4097" s="23" t="n"/>
      <c r="R4097" s="25" t="inlineStr">
        <is>
          <t>В этой книге вы найдете описание старинных русских свадебных обрядов, правила подготовки к венчанию в церкви и все юридические тонкости оформления современного брака от составления заявления о регистрации до образцов брачных договоров и контрактов.</t>
        </is>
      </c>
      <c r="S4097" s="26">
        <f>HYPERLINK("http://www.cnpol.ru/covers/12236.jpg","фото на сайте")</f>
        <v/>
      </c>
    </row>
    <row r="4098" ht="50.1" customHeight="1" s="3">
      <c r="A4098" s="23" t="n"/>
      <c r="B4098" s="24" t="inlineStr">
        <is>
          <t>10029</t>
        </is>
      </c>
      <c r="C4098" s="23" t="inlineStr">
        <is>
          <t>ОП</t>
        </is>
      </c>
      <c r="D4098" s="23" t="inlineStr">
        <is>
          <t>Берсеньева</t>
        </is>
      </c>
      <c r="E4098" s="23" t="inlineStr">
        <is>
          <t>Свадьба Как организовать торжество</t>
        </is>
      </c>
      <c r="F4098" s="23" t="inlineStr">
        <is>
          <t>        </t>
        </is>
      </c>
      <c r="G4098" s="23" t="n">
        <v>320</v>
      </c>
      <c r="H4098" s="23" t="n">
        <v>10</v>
      </c>
      <c r="I4098" s="23" t="n">
        <v>18</v>
      </c>
      <c r="J4098" s="23" t="inlineStr">
        <is>
          <t>978-5-9524-3255-0</t>
        </is>
      </c>
      <c r="K4098" s="23" t="inlineStr">
        <is>
          <t>84x108 1/32</t>
        </is>
      </c>
      <c r="L4098" s="23" t="inlineStr">
        <is>
          <t>тв</t>
        </is>
      </c>
      <c r="M4098" s="23" t="n">
        <v>239</v>
      </c>
      <c r="N4098" s="23" t="n">
        <v>2008</v>
      </c>
      <c r="O4098" s="23" t="n">
        <v>222</v>
      </c>
      <c r="P4098" s="23" t="n"/>
      <c r="Q4098" s="23" t="n"/>
      <c r="R4098" s="25" t="n"/>
      <c r="S4098" s="26">
        <f>HYPERLINK("http://www.cnpol.ru/covers/10029.jpg","фото на сайте")</f>
        <v/>
      </c>
    </row>
    <row r="4099" ht="50.1" customHeight="1" s="3">
      <c r="A4099" s="23" t="n"/>
      <c r="B4099" s="24" t="inlineStr">
        <is>
          <t>7949</t>
        </is>
      </c>
      <c r="C4099" s="23" t="inlineStr">
        <is>
          <t>ОП</t>
        </is>
      </c>
      <c r="D4099" s="23" t="inlineStr">
        <is>
          <t>Берсеньева</t>
        </is>
      </c>
      <c r="E4099" s="23" t="inlineStr">
        <is>
          <t>Энциклопедия подарков и поздравлений</t>
        </is>
      </c>
      <c r="F4099" s="23" t="inlineStr">
        <is>
          <t>        </t>
        </is>
      </c>
      <c r="G4099" s="23" t="n">
        <v>419</v>
      </c>
      <c r="H4099" s="23" t="n">
        <v>10</v>
      </c>
      <c r="I4099" s="23" t="n">
        <v>10</v>
      </c>
      <c r="J4099" s="23" t="inlineStr">
        <is>
          <t>978-5-9524-2778-5</t>
        </is>
      </c>
      <c r="K4099" s="23" t="inlineStr">
        <is>
          <t>70x100 1/32</t>
        </is>
      </c>
      <c r="L4099" s="23" t="inlineStr">
        <is>
          <t>тв</t>
        </is>
      </c>
      <c r="M4099" s="23" t="n">
        <v>283</v>
      </c>
      <c r="N4099" s="23" t="n">
        <v>2008</v>
      </c>
      <c r="O4099" s="23" t="n">
        <v>518</v>
      </c>
      <c r="P4099" s="23" t="n"/>
      <c r="Q4099" s="23" t="n"/>
      <c r="R4099" s="25" t="n"/>
      <c r="S4099" s="26">
        <f>HYPERLINK("http://www.cnpol.ru/covers/7949.jpg","фото на сайте")</f>
        <v/>
      </c>
    </row>
    <row r="4100" ht="50.1" customHeight="1" s="3">
      <c r="A4100" s="23" t="inlineStr">
        <is>
          <t>Н</t>
        </is>
      </c>
      <c r="B4100" s="24" t="inlineStr">
        <is>
          <t>22215</t>
        </is>
      </c>
      <c r="C4100" s="23" t="inlineStr">
        <is>
          <t>ОРУЖИЕ НОВ</t>
        </is>
      </c>
      <c r="D4100" s="23" t="inlineStr">
        <is>
          <t>Чиполла К.</t>
        </is>
      </c>
      <c r="E4100" s="23" t="inlineStr">
        <is>
          <t>Артиллерия и парусный флот</t>
        </is>
      </c>
      <c r="F4100" s="23" t="inlineStr">
        <is>
          <t>        </t>
        </is>
      </c>
      <c r="G4100" s="23" t="n">
        <v>835</v>
      </c>
      <c r="H4100" s="23" t="n">
        <v>10</v>
      </c>
      <c r="I4100" s="23" t="n">
        <v>10</v>
      </c>
      <c r="J4100" s="23" t="inlineStr">
        <is>
          <t>978-5-9524-5760-7</t>
        </is>
      </c>
      <c r="K4100" s="23" t="inlineStr">
        <is>
          <t>84x108 1/32</t>
        </is>
      </c>
      <c r="L4100" s="23" t="inlineStr">
        <is>
          <t>тв</t>
        </is>
      </c>
      <c r="M4100" s="23" t="n">
        <v>224</v>
      </c>
      <c r="N4100" s="23" t="n">
        <v>2026</v>
      </c>
      <c r="O4100" s="23" t="n">
        <v>301</v>
      </c>
      <c r="P4100" s="23" t="n"/>
      <c r="Q4100" s="23" t="n"/>
      <c r="R4100" s="25" t="inlineStr">
        <is>
          <t>В своем исследовании известный итальянский ученый Карло Чиполла знакомит с историей европейской экспансии XV—XVIII веков. На основе богатого фактического материала показана роль артиллерии и парусного флота как важнейших факторов, которые позволили европейцам успешно противостоять угрозе с Востока и установить свое господство на море. Написанная живым, доступным языком, книга представляет интерес для самого широкого круга читателей.</t>
        </is>
      </c>
      <c r="S4100" s="26">
        <f>HYPERLINK("http://www.cnpol.ru/covers/22215.jpg","фото на сайте")</f>
        <v/>
      </c>
    </row>
    <row r="4101" ht="50.1" customHeight="1" s="3">
      <c r="A4101" s="23" t="inlineStr">
        <is>
          <t>Д</t>
        </is>
      </c>
      <c r="B4101" s="24" t="inlineStr">
        <is>
          <t>21278</t>
        </is>
      </c>
      <c r="C4101" s="23" t="inlineStr">
        <is>
          <t>ОРУЖИЕ НОВ</t>
        </is>
      </c>
      <c r="D4101" s="23" t="inlineStr">
        <is>
          <t>Окшотт Э.</t>
        </is>
      </c>
      <c r="E4101" s="23" t="inlineStr">
        <is>
          <t>Археология оружия. От бронзового века до эпохи Ренессанса</t>
        </is>
      </c>
      <c r="F4101" s="23" t="inlineStr">
        <is>
          <t>        </t>
        </is>
      </c>
      <c r="G4101" s="27" t="n">
        <v>1192</v>
      </c>
      <c r="H4101" s="23" t="n">
        <v>10</v>
      </c>
      <c r="I4101" s="23" t="n">
        <v>10</v>
      </c>
      <c r="J4101" s="23" t="inlineStr">
        <is>
          <t>978-5-9524-6205-2</t>
        </is>
      </c>
      <c r="K4101" s="23" t="inlineStr">
        <is>
          <t>84x108 1/32</t>
        </is>
      </c>
      <c r="L4101" s="23" t="inlineStr">
        <is>
          <t>тв</t>
        </is>
      </c>
      <c r="M4101" s="23" t="n">
        <v>389</v>
      </c>
      <c r="N4101" s="23" t="n">
        <v>2024</v>
      </c>
      <c r="O4101" s="23" t="n">
        <v>420</v>
      </c>
      <c r="P4101" s="23" t="n"/>
      <c r="Q4101" s="23" t="n"/>
      <c r="R4101" s="25" t="inlineStr">
        <is>
          <t>Эварт Окшотт — признанный во всем мире ученый, специализирующийся по истории оружия. В этой книге автор подробно описывает многие виды мечей, копий и кинжалов, особое внимание уделяя периоду Средневековья. Издание снабжено большим количеством иллюстраций, выполненных рукой автора. Книга предназначена не только для специалистов, но и для тех, кто хотел бы ближе познакомиться с историей возникновения и совершенствования оружия и доспехов.</t>
        </is>
      </c>
      <c r="S4101" s="26">
        <f>HYPERLINK("http://www.cnpol.ru/covers/21278.jpg","фото на сайте")</f>
        <v/>
      </c>
    </row>
    <row r="4102" ht="50.1" customHeight="1" s="3">
      <c r="A4102" s="23" t="n"/>
      <c r="B4102" s="24" t="inlineStr">
        <is>
          <t>20096</t>
        </is>
      </c>
      <c r="C4102" s="23" t="inlineStr">
        <is>
          <t>ОРУЖИЕ НОВ</t>
        </is>
      </c>
      <c r="D4102" s="23" t="inlineStr">
        <is>
          <t>Робинсон Р.</t>
        </is>
      </c>
      <c r="E4102" s="23" t="inlineStr">
        <is>
          <t>Доспехи народов Востока. История оборонительного вооружения</t>
        </is>
      </c>
      <c r="F4102" s="23" t="inlineStr">
        <is>
          <t>        </t>
        </is>
      </c>
      <c r="G4102" s="27" t="n">
        <v>1009</v>
      </c>
      <c r="H4102" s="23" t="n">
        <v>10</v>
      </c>
      <c r="I4102" s="23" t="n">
        <v>14</v>
      </c>
      <c r="J4102" s="23" t="inlineStr">
        <is>
          <t>978-5-9524-5667-9</t>
        </is>
      </c>
      <c r="K4102" s="23" t="inlineStr">
        <is>
          <t>84x108 1/32</t>
        </is>
      </c>
      <c r="L4102" s="23" t="inlineStr">
        <is>
          <t>тв</t>
        </is>
      </c>
      <c r="M4102" s="23" t="n">
        <v>280</v>
      </c>
      <c r="N4102" s="23" t="n">
        <v>2022</v>
      </c>
      <c r="O4102" s="23" t="n">
        <v>182</v>
      </c>
      <c r="P4102" s="23" t="n"/>
      <c r="Q4102" s="23" t="n"/>
      <c r="R4102" s="25" t="inlineStr">
        <is>
          <t>Английский историк Р. Робинсон рассказывает о разнообразных формах восточных доспехов X—XVII веков и представляет обширный материал из прошлого восточных народов, рассеянный по музеям всего мира. В книге подробно рассказывается о средствах личной защиты от оружия ближнего и дальнего боя. О том, как применение самострелов и камнеметов способствовало преобразованию защитной одежды. Вы узнаете о пластинчатой и трехслойной кольчужной броне, чешуйчатых доспехах и стеганых панцирях. Доспехи воинов Индии, Персии, Китая и Японии предстанут перед вами во всем блеске и многообразии.</t>
        </is>
      </c>
      <c r="S4102" s="26">
        <f>HYPERLINK("http://www.cnpol.ru/covers/20096.jpg","фото на сайте")</f>
        <v/>
      </c>
    </row>
    <row r="4103" ht="50.1" customHeight="1" s="3">
      <c r="A4103" s="23" t="inlineStr">
        <is>
          <t>Н</t>
        </is>
      </c>
      <c r="B4103" s="24" t="inlineStr">
        <is>
          <t>21213</t>
        </is>
      </c>
      <c r="C4103" s="23" t="inlineStr">
        <is>
          <t>ОРУЖИЕ НОВ</t>
        </is>
      </c>
      <c r="D4103" s="23" t="inlineStr">
        <is>
          <t>Эгертон Э</t>
        </is>
      </c>
      <c r="E4103" s="23" t="inlineStr">
        <is>
          <t>Индийское и восточное оружие. От державы Маурьев до империи Великих Моголов</t>
        </is>
      </c>
      <c r="F4103" s="23" t="inlineStr">
        <is>
          <t>        </t>
        </is>
      </c>
      <c r="G4103" s="23" t="n">
        <v>976</v>
      </c>
      <c r="H4103" s="23" t="n">
        <v>10</v>
      </c>
      <c r="I4103" s="23" t="n">
        <v>12</v>
      </c>
      <c r="J4103" s="23" t="inlineStr">
        <is>
          <t>978-5-9524-5728-7</t>
        </is>
      </c>
      <c r="K4103" s="23" t="inlineStr">
        <is>
          <t>84x108 1/32</t>
        </is>
      </c>
      <c r="L4103" s="23" t="inlineStr">
        <is>
          <t>тв</t>
        </is>
      </c>
      <c r="M4103" s="23" t="n">
        <v>294</v>
      </c>
      <c r="N4103" s="23" t="n">
        <v>2024</v>
      </c>
      <c r="O4103" s="23" t="n">
        <v>358</v>
      </c>
      <c r="P4103" s="23" t="n"/>
      <c r="Q4103" s="23" t="n"/>
      <c r="R4103" s="25" t="inlineStr">
        <is>
          <t>Книга лорда Эгертона, написанная в ХIХ веке, до сих пор является наиболее полным и подробным описанием вооружения Востока и Индии. Она дополнена превосходными иллюстрациями и каталогом. Раздел, посвященный художественному оформлению и изготовлению оружия, — одна из самых важных частей книги, поскольку дает краткое, но емкое описание технических приемов, используемых на территории всей Индии. Эгертон рассказывает также об оружии Персии, Афганистана и Китая. В основу авторской классификации был положен этнологический принцип; таким образом, можно наглядно проследить эволюцию искусства и цивилизации на примере эволюции вооружения.</t>
        </is>
      </c>
      <c r="S4103" s="26">
        <f>HYPERLINK("http://www.cnpol.ru/covers/21213.jpg","фото на сайте")</f>
        <v/>
      </c>
    </row>
    <row r="4104" ht="50.1" customHeight="1" s="3">
      <c r="A4104" s="23" t="inlineStr">
        <is>
          <t>Д</t>
        </is>
      </c>
      <c r="B4104" s="24" t="inlineStr">
        <is>
          <t>21153</t>
        </is>
      </c>
      <c r="C4104" s="23" t="inlineStr">
        <is>
          <t>ОРУЖИЕ НОВ</t>
        </is>
      </c>
      <c r="D4104" s="23" t="inlineStr">
        <is>
          <t>Келли Ф., Швабе Р.</t>
        </is>
      </c>
      <c r="E4104" s="23" t="inlineStr">
        <is>
          <t>История костюма и доспехов. От крестоносцев до придворных щеголей</t>
        </is>
      </c>
      <c r="F4104" s="23" t="inlineStr">
        <is>
          <t>        </t>
        </is>
      </c>
      <c r="G4104" s="23" t="n">
        <v>976</v>
      </c>
      <c r="H4104" s="23" t="n">
        <v>10</v>
      </c>
      <c r="I4104" s="23" t="n">
        <v>12</v>
      </c>
      <c r="J4104" s="23" t="inlineStr">
        <is>
          <t>978-5-9524-6142-0</t>
        </is>
      </c>
      <c r="K4104" s="23" t="inlineStr">
        <is>
          <t>84x108 1/32</t>
        </is>
      </c>
      <c r="L4104" s="23" t="inlineStr">
        <is>
          <t>тв</t>
        </is>
      </c>
      <c r="M4104" s="23" t="n">
        <v>216</v>
      </c>
      <c r="N4104" s="23" t="n">
        <v>2024</v>
      </c>
      <c r="O4104" s="23" t="n">
        <v>360</v>
      </c>
      <c r="P4104" s="23" t="n"/>
      <c r="Q4104" s="23" t="n"/>
      <c r="R4104" s="25" t="inlineStr">
        <is>
          <t>Авторы рассматривают историю развития костюма и военного облачения в Англии и Западной Европе со времен Крестовых походов до начала XIX столетия. Вы получите представление как о доспехах, в которые были облачены воины в битве при Гастингсе в 1066 году, так и о пышных английских нарядах эпохи Регентства. Тенденции развития гражданского костюма прослеживаются на примере одежды представителей высшего света, а эволюция боевых доспехов на примере рыцарского облачения. Авторы создали настоящую картинную галерею прошлого, прогулка по которой доставит удовольствие читателю, интересующемуся историей костюма и доспехов.</t>
        </is>
      </c>
      <c r="S4104" s="26">
        <f>HYPERLINK("http://www.cnpol.ru/covers/21153.jpg","фото на сайте")</f>
        <v/>
      </c>
    </row>
    <row r="4105" ht="50.1" customHeight="1" s="3">
      <c r="A4105" s="23" t="inlineStr">
        <is>
          <t>Д</t>
        </is>
      </c>
      <c r="B4105" s="24" t="inlineStr">
        <is>
          <t>22005</t>
        </is>
      </c>
      <c r="C4105" s="23" t="inlineStr">
        <is>
          <t>ОРУЖИЕ НОВ</t>
        </is>
      </c>
      <c r="D4105" s="23" t="inlineStr">
        <is>
          <t>Карман У.</t>
        </is>
      </c>
      <c r="E4105" s="23" t="inlineStr">
        <is>
          <t>История огнестрельного оружия. С древнейших времен до XX века</t>
        </is>
      </c>
      <c r="F4105" s="23" t="inlineStr">
        <is>
          <t>        </t>
        </is>
      </c>
      <c r="G4105" s="23" t="n">
        <v>865</v>
      </c>
      <c r="H4105" s="23" t="n">
        <v>10</v>
      </c>
      <c r="I4105" s="23" t="n">
        <v>15</v>
      </c>
      <c r="J4105" s="23" t="inlineStr">
        <is>
          <t>978-5-9524-6623-4</t>
        </is>
      </c>
      <c r="K4105" s="23" t="inlineStr">
        <is>
          <t>84x108 1/32</t>
        </is>
      </c>
      <c r="L4105" s="23" t="inlineStr">
        <is>
          <t>тв</t>
        </is>
      </c>
      <c r="M4105" s="23" t="n">
        <v>299</v>
      </c>
      <c r="N4105" s="23" t="n">
        <v>2026</v>
      </c>
      <c r="O4105" s="23" t="n">
        <v>356</v>
      </c>
      <c r="P4105" s="23" t="n"/>
      <c r="Q4105" s="23" t="n"/>
      <c r="R4105" s="25" t="inlineStr">
        <is>
          <t>Книга Уильяма Кармана — уникальное справочное исследование по истории огнестрельного оружия. Автор рассказывает о строении и модификации пушек, мушкетов, винтовок, карабинов, пистолей, мин, гранат и ракет и дает подробный обзор развития огнестрельного оружия, охватывая период от древних ассирийцев и греков до начала XX века.</t>
        </is>
      </c>
      <c r="S4105" s="26">
        <f>HYPERLINK("http://www.cnpol.ru/covers/22005.jpg","фото на сайте")</f>
        <v/>
      </c>
    </row>
    <row r="4106" ht="50.1" customHeight="1" s="3">
      <c r="A4106" s="23" t="inlineStr">
        <is>
          <t>Н</t>
        </is>
      </c>
      <c r="B4106" s="24" t="inlineStr">
        <is>
          <t>21797</t>
        </is>
      </c>
      <c r="C4106" s="23" t="inlineStr">
        <is>
          <t>ОРУЖИЕ НОВ</t>
        </is>
      </c>
      <c r="D4106" s="23" t="inlineStr">
        <is>
          <t>Коэн Г.</t>
        </is>
      </c>
      <c r="E4106" s="23" t="inlineStr">
        <is>
          <t>История рыцарства во Франции. Этикет, турниры, поединки</t>
        </is>
      </c>
      <c r="F4106" s="23" t="inlineStr">
        <is>
          <t>        </t>
        </is>
      </c>
      <c r="G4106" s="23" t="n">
        <v>714</v>
      </c>
      <c r="H4106" s="23" t="n">
        <v>10</v>
      </c>
      <c r="I4106" s="23" t="n">
        <v>10</v>
      </c>
      <c r="J4106" s="23" t="inlineStr">
        <is>
          <t>978-5-9524-6459-9</t>
        </is>
      </c>
      <c r="K4106" s="23" t="inlineStr">
        <is>
          <t>84x108 1/32</t>
        </is>
      </c>
      <c r="L4106" s="23" t="inlineStr">
        <is>
          <t>тв</t>
        </is>
      </c>
      <c r="M4106" s="23" t="n">
        <v>159</v>
      </c>
      <c r="N4106" s="23" t="n">
        <v>2025</v>
      </c>
      <c r="O4106" s="23" t="n">
        <v>240</v>
      </c>
      <c r="P4106" s="23" t="n"/>
      <c r="Q4106" s="23" t="n"/>
      <c r="R4106" s="25" t="inlineStr">
        <is>
          <t>Гюстав Коэн, известный специалист по истории Средних веков, в своей книге подробно исследует понятие и происхождение рыцарства, его кодекс и традиции, моральные качества и профессионализм средневекового воина. Подчеркивая важную роль рыцарства как института феодального общества, автор рассматривает историю возникновения и характер рыцарских орденов — госпитальеров, тамплиеров и других. Особое внимание Коэн уделяет образу рыцаря в героическом эпосе.</t>
        </is>
      </c>
      <c r="S4106" s="26">
        <f>HYPERLINK("http://www.cnpol.ru/covers/21797.jpg","фото на сайте")</f>
        <v/>
      </c>
    </row>
    <row r="4107" ht="50.1" customHeight="1" s="3">
      <c r="A4107" s="23" t="inlineStr">
        <is>
          <t>Н</t>
        </is>
      </c>
      <c r="B4107" s="24" t="inlineStr">
        <is>
          <t>21928</t>
        </is>
      </c>
      <c r="C4107" s="23" t="inlineStr">
        <is>
          <t>ОРУЖИЕ НОВ</t>
        </is>
      </c>
      <c r="D4107" s="23" t="inlineStr">
        <is>
          <t>Петерсон Г.</t>
        </is>
      </c>
      <c r="E4107" s="23" t="inlineStr">
        <is>
          <t>Кинжалы и боевые ножи Западной Европы. От каменного века до Нового времени</t>
        </is>
      </c>
      <c r="F4107" s="23" t="inlineStr">
        <is>
          <t>        </t>
        </is>
      </c>
      <c r="G4107" s="23" t="n">
        <v>672</v>
      </c>
      <c r="H4107" s="23" t="n">
        <v>10</v>
      </c>
      <c r="I4107" s="23" t="n">
        <v>10</v>
      </c>
      <c r="J4107" s="23" t="inlineStr">
        <is>
          <t>978-5-9524-6575-6</t>
        </is>
      </c>
      <c r="K4107" s="23" t="inlineStr">
        <is>
          <t>84x108 1/32</t>
        </is>
      </c>
      <c r="L4107" s="23" t="inlineStr">
        <is>
          <t>тв</t>
        </is>
      </c>
      <c r="M4107" s="23" t="n">
        <v>143</v>
      </c>
      <c r="N4107" s="23" t="n">
        <v>2026</v>
      </c>
      <c r="O4107" s="23" t="n">
        <v>245</v>
      </c>
      <c r="P4107" s="23" t="n"/>
      <c r="Q4107" s="23" t="n"/>
      <c r="R4107" s="25" t="inlineStr">
        <is>
          <t>В книге ведущего американского исследователя Гарольда Петерсона содержится краткая история кинжалов и боевых ножей Западной Европы начиная с эпохи каменного века до середины XIX века. Автор дает полную картину становления и совершенствования различных форм холодного оружия средних и малых размеров. Это уникальное издание может служить справочником и классификатором благодаря редким иллюстрациям и точным описаниям.</t>
        </is>
      </c>
      <c r="S4107" s="26">
        <f>HYPERLINK("http://www.cnpol.ru/covers/21928.jpg","фото на сайте")</f>
        <v/>
      </c>
    </row>
    <row r="4108" ht="50.1" customHeight="1" s="3">
      <c r="A4108" s="23" t="inlineStr">
        <is>
          <t>Д</t>
        </is>
      </c>
      <c r="B4108" s="24" t="inlineStr">
        <is>
          <t>21419</t>
        </is>
      </c>
      <c r="C4108" s="23" t="inlineStr">
        <is>
          <t>ОРУЖИЕ НОВ</t>
        </is>
      </c>
      <c r="D4108" s="23" t="inlineStr">
        <is>
          <t>Пейн-Голлуэй Р.</t>
        </is>
      </c>
      <c r="E4108" s="23" t="inlineStr">
        <is>
          <t>Книга арбалетов. История средневекового метательного оружия</t>
        </is>
      </c>
      <c r="F4108" s="23" t="inlineStr">
        <is>
          <t>        </t>
        </is>
      </c>
      <c r="G4108" s="27" t="n">
        <v>1184</v>
      </c>
      <c r="H4108" s="23" t="n">
        <v>10</v>
      </c>
      <c r="I4108" s="23" t="n">
        <v>5</v>
      </c>
      <c r="J4108" s="23" t="inlineStr">
        <is>
          <t>978-5-9524-6315-8</t>
        </is>
      </c>
      <c r="K4108" s="23" t="inlineStr">
        <is>
          <t>84x108 1/32</t>
        </is>
      </c>
      <c r="L4108" s="23" t="inlineStr">
        <is>
          <t>тв</t>
        </is>
      </c>
      <c r="M4108" s="23" t="n">
        <v>416</v>
      </c>
      <c r="N4108" s="23" t="n">
        <v>2025</v>
      </c>
      <c r="O4108" s="23" t="n">
        <v>427</v>
      </c>
      <c r="P4108" s="23" t="n"/>
      <c r="Q4108" s="23" t="n"/>
      <c r="R4108" s="25" t="inlineStr">
        <is>
          <t>Эта книга является наиболее полным изложением истории арбалета и его предшественников, а также подробным описанием устройств осадных метательных машин и луков. От тяжелых осадных орудий арбалет отличался мобильностью, от лука — силой удара. Он оказался востребованным орудием и пользовался популярностью, особенно после того, как в Третьем крестовом походе Ричард Львиное Сердце с помощью арбалетчиков разгромил сарацин в битве при Арсуфе. В книге представлены многочисленные иллюстрации, среди которых подробные чертежи и средневековые батальные картины. Она будет интересна историкам, спортсменам и любителям оружия.</t>
        </is>
      </c>
      <c r="S4108" s="26">
        <f>HYPERLINK("http://www.cnpol.ru/covers/21419.jpg","фото на сайте")</f>
        <v/>
      </c>
    </row>
    <row r="4109" ht="50.1" customHeight="1" s="3">
      <c r="A4109" s="23" t="inlineStr">
        <is>
          <t>Д</t>
        </is>
      </c>
      <c r="B4109" s="24" t="inlineStr">
        <is>
          <t>21117</t>
        </is>
      </c>
      <c r="C4109" s="23" t="inlineStr">
        <is>
          <t>ОРУЖИЕ НОВ</t>
        </is>
      </c>
      <c r="D4109" s="23" t="inlineStr">
        <is>
          <t>Бертон Р.</t>
        </is>
      </c>
      <c r="E4109" s="23" t="inlineStr">
        <is>
          <t>Книга мечей. Холодное оружие сквозь тысячелетия</t>
        </is>
      </c>
      <c r="F4109" s="23" t="inlineStr">
        <is>
          <t>        </t>
        </is>
      </c>
      <c r="G4109" s="27" t="n">
        <v>1152</v>
      </c>
      <c r="H4109" s="23" t="n">
        <v>10</v>
      </c>
      <c r="I4109" s="23" t="n">
        <v>10</v>
      </c>
      <c r="J4109" s="23" t="inlineStr">
        <is>
          <t>978-5-9524-6133-8</t>
        </is>
      </c>
      <c r="K4109" s="23" t="inlineStr">
        <is>
          <t>84x108 1/32</t>
        </is>
      </c>
      <c r="L4109" s="23" t="inlineStr">
        <is>
          <t>тв</t>
        </is>
      </c>
      <c r="M4109" s="23" t="n">
        <v>400</v>
      </c>
      <c r="N4109" s="23" t="n">
        <v>2024</v>
      </c>
      <c r="O4109" s="23" t="n">
        <v>437</v>
      </c>
      <c r="P4109" s="23" t="n"/>
      <c r="Q4109" s="23" t="n"/>
      <c r="R4109" s="25" t="inlineStr">
        <is>
          <t>Ричард Бёртон — автор этого фундаментального исследования, путешествуя по странам Ближнего Востока, Африки и Америки, собрал множество интересных сведений о древнем оружии. В своей книге он рассказывает о происхождении и многовековом совершенствовании оружия, царем которого с незапамятных времен является меч.</t>
        </is>
      </c>
      <c r="S4109" s="26">
        <f>HYPERLINK("http://www.cnpol.ru/covers/21117.jpg","фото на сайте")</f>
        <v/>
      </c>
    </row>
    <row r="4110" ht="50.1" customHeight="1" s="3">
      <c r="A4110" s="23" t="inlineStr">
        <is>
          <t>Д</t>
        </is>
      </c>
      <c r="B4110" s="24" t="inlineStr">
        <is>
          <t>21120</t>
        </is>
      </c>
      <c r="C4110" s="23" t="inlineStr">
        <is>
          <t>ОРУЖИЕ НОВ</t>
        </is>
      </c>
      <c r="D4110" s="23" t="inlineStr">
        <is>
          <t>Виолле­ле­Дюк Э.Э.</t>
        </is>
      </c>
      <c r="E4110" s="23" t="inlineStr">
        <is>
          <t>Крепости и осадные орудия. Средства ведения войны в Средние века</t>
        </is>
      </c>
      <c r="F4110" s="23" t="inlineStr">
        <is>
          <t>        </t>
        </is>
      </c>
      <c r="G4110" s="23" t="n">
        <v>888</v>
      </c>
      <c r="H4110" s="23" t="n">
        <v>10</v>
      </c>
      <c r="I4110" s="23" t="n">
        <v>14</v>
      </c>
      <c r="J4110" s="23" t="inlineStr">
        <is>
          <t>978-5-9524-6132-1</t>
        </is>
      </c>
      <c r="K4110" s="23" t="inlineStr">
        <is>
          <t>84x108 1/32</t>
        </is>
      </c>
      <c r="L4110" s="23" t="inlineStr">
        <is>
          <t>тв</t>
        </is>
      </c>
      <c r="M4110" s="23" t="n">
        <v>256</v>
      </c>
      <c r="N4110" s="23" t="n">
        <v>2024</v>
      </c>
      <c r="O4110" s="23" t="n">
        <v>316</v>
      </c>
      <c r="P4110" s="23" t="n"/>
      <c r="Q4110" s="23" t="n"/>
      <c r="R4110" s="25" t="inlineStr">
        <is>
          <t>Известный французский архитектор и знаток искусства Виолле-ле-Дюк в своем труде о средствах ведения войны в Средние века использовал не только знание принципов строительства, огромный опыт зодчего, но и результаты проведенных им исследований в области истории. Последовательно прослеживая смену и устройство средств обороны и наступления на примере знаменитых европейских замков и крепостей, автор объясняет важные эпизоды истории, особенно во время войн между Англией и Францией.</t>
        </is>
      </c>
      <c r="S4110" s="26">
        <f>HYPERLINK("http://www.cnpol.ru/covers/21120.jpg","фото на сайте")</f>
        <v/>
      </c>
    </row>
    <row r="4111" ht="50.1" customHeight="1" s="3">
      <c r="A4111" s="23" t="inlineStr">
        <is>
          <t>Д</t>
        </is>
      </c>
      <c r="B4111" s="24" t="inlineStr">
        <is>
          <t>21967</t>
        </is>
      </c>
      <c r="C4111" s="23" t="inlineStr">
        <is>
          <t>ОРУЖИЕ НОВ</t>
        </is>
      </c>
      <c r="D4111" s="23" t="inlineStr">
        <is>
          <t>Окшотт Э.</t>
        </is>
      </c>
      <c r="E4111" s="23" t="inlineStr">
        <is>
          <t>Меч в век рыцарства. Классификация, типология, описание</t>
        </is>
      </c>
      <c r="F4111" s="23" t="inlineStr">
        <is>
          <t>        </t>
        </is>
      </c>
      <c r="G4111" s="23" t="n">
        <v>835</v>
      </c>
      <c r="H4111" s="23" t="n">
        <v>10</v>
      </c>
      <c r="I4111" s="23" t="n">
        <v>10</v>
      </c>
      <c r="J4111" s="23" t="inlineStr">
        <is>
          <t>978-5-9524-6597-8</t>
        </is>
      </c>
      <c r="K4111" s="23" t="inlineStr">
        <is>
          <t>84x108 1/32</t>
        </is>
      </c>
      <c r="L4111" s="23" t="inlineStr">
        <is>
          <t>тв</t>
        </is>
      </c>
      <c r="M4111" s="23" t="n">
        <v>176</v>
      </c>
      <c r="N4111" s="23" t="n">
        <v>2026</v>
      </c>
      <c r="O4111" s="23" t="n">
        <v>286</v>
      </c>
      <c r="P4111" s="23" t="n"/>
      <c r="Q4111" s="23" t="n"/>
      <c r="R4111" s="25" t="inlineStr">
        <is>
          <t>В основу книги легло четвертьвековое изучение средневекового меча, а именно европейского оружия 1100—1500­х годов, не только как археологического артефакта, но и как благородного вида оружия практического назначения. Вы узнаете, что рыцарский меч произошел от длинных железных мечей древних кельтов, о скандинавских прародителях рыцарского оружия и много других интересных исторических фактов. Автор приводит классификацию типов мечей, разновидностей форм наверший, указывает особенности рукоятей и ножен, описывает стили украшения крестовых гард.</t>
        </is>
      </c>
      <c r="S4111" s="26">
        <f>HYPERLINK("http://www.cnpol.ru/covers/21967.jpg","фото на сайте")</f>
        <v/>
      </c>
    </row>
    <row r="4112" ht="50.1" customHeight="1" s="3">
      <c r="A4112" s="23" t="inlineStr">
        <is>
          <t>Д</t>
        </is>
      </c>
      <c r="B4112" s="24" t="inlineStr">
        <is>
          <t>21010</t>
        </is>
      </c>
      <c r="C4112" s="23" t="inlineStr">
        <is>
          <t>ОРУЖИЕ НОВ</t>
        </is>
      </c>
      <c r="D4112" s="23" t="inlineStr">
        <is>
          <t>Хаттон А.</t>
        </is>
      </c>
      <c r="E4112" s="23" t="inlineStr">
        <is>
          <t>Меч сквозь столетия. Искусство владения оружием</t>
        </is>
      </c>
      <c r="F4112" s="23" t="inlineStr">
        <is>
          <t>        </t>
        </is>
      </c>
      <c r="G4112" s="27" t="n">
        <v>1031</v>
      </c>
      <c r="H4112" s="23" t="n">
        <v>10</v>
      </c>
      <c r="I4112" s="23" t="n">
        <v>12</v>
      </c>
      <c r="J4112" s="23" t="inlineStr">
        <is>
          <t>978-5-9524-6099-7</t>
        </is>
      </c>
      <c r="K4112" s="23" t="inlineStr">
        <is>
          <t>84x108 1/32</t>
        </is>
      </c>
      <c r="L4112" s="23" t="inlineStr">
        <is>
          <t>тв</t>
        </is>
      </c>
      <c r="M4112" s="23" t="n">
        <v>334</v>
      </c>
      <c r="N4112" s="23" t="n">
        <v>2024</v>
      </c>
      <c r="O4112" s="23" t="n">
        <v>380</v>
      </c>
      <c r="P4112" s="23" t="n"/>
      <c r="Q4112" s="23" t="n"/>
      <c r="R4112" s="25" t="inlineStr">
        <is>
          <t>Автор повествует об истории фехтования и развития клинкового оружия, охватывая период от Средневековья до XIX века. Вы узнаете о двуручном мече, рапире, кинжале, сабле, палаше и дуэльной шпаге. Книгу дополняют фрагменты древних манускриптов.</t>
        </is>
      </c>
      <c r="S4112" s="26">
        <f>HYPERLINK("http://www.cnpol.ru/covers/21010.jpg","фото на сайте")</f>
        <v/>
      </c>
    </row>
    <row r="4113" ht="50.1" customHeight="1" s="3">
      <c r="A4113" s="23" t="inlineStr">
        <is>
          <t>Н</t>
        </is>
      </c>
      <c r="B4113" s="24" t="inlineStr">
        <is>
          <t>21578</t>
        </is>
      </c>
      <c r="C4113" s="23" t="inlineStr">
        <is>
          <t>ОРУЖИЕ НОВ</t>
        </is>
      </c>
      <c r="D4113" s="23" t="inlineStr">
        <is>
          <t>Коггинс Д.</t>
        </is>
      </c>
      <c r="E4113" s="23" t="inlineStr">
        <is>
          <t>Оружие времен Античности. Вооружение и оснащение армий скифов, египтян, персов, греков и римлян</t>
        </is>
      </c>
      <c r="F4113" s="23" t="inlineStr">
        <is>
          <t>        </t>
        </is>
      </c>
      <c r="G4113" s="23" t="n">
        <v>835</v>
      </c>
      <c r="H4113" s="23" t="n">
        <v>10</v>
      </c>
      <c r="I4113" s="23" t="n">
        <v>10</v>
      </c>
      <c r="J4113" s="23" t="inlineStr">
        <is>
          <t>978-5-9524-6359-2</t>
        </is>
      </c>
      <c r="K4113" s="23" t="inlineStr">
        <is>
          <t>84x108 1/32</t>
        </is>
      </c>
      <c r="L4113" s="23" t="inlineStr">
        <is>
          <t>тв</t>
        </is>
      </c>
      <c r="M4113" s="23" t="n">
        <v>220</v>
      </c>
      <c r="N4113" s="23" t="n">
        <v>2025</v>
      </c>
      <c r="O4113" s="23" t="n">
        <v>144</v>
      </c>
      <c r="P4113" s="23" t="n"/>
      <c r="Q4113" s="23" t="n"/>
      <c r="R4113" s="25" t="inlineStr">
        <is>
          <t>Исследование Джека Коггинса охватывает период ранней Античности, вплоть до Пунических войн. Анализ тактики и стратегии ведения боя, традиционных для Египта, Рима, Греции, Фив, Македонии и других древних цивилизаций, дополняется подробным описанием видов оружия и обмундирования. Автор уделяет особое внимание военным рангам — колесничие, лучники, щитоносцы, копьеносцы — и типам построения войска — роты, легионы, корпуса, фаланги, — отмечая их достоинства и недостатки. Каждое из военных сражений предстает в книге важным звеном, формирующим мощную движущую силу эволюции истории.</t>
        </is>
      </c>
      <c r="S4113" s="26">
        <f>HYPERLINK("http://www.cnpol.ru/covers/21578.jpg","фото на сайте")</f>
        <v/>
      </c>
    </row>
    <row r="4114" ht="50.1" customHeight="1" s="3">
      <c r="A4114" s="23" t="inlineStr">
        <is>
          <t>Н</t>
        </is>
      </c>
      <c r="B4114" s="24" t="inlineStr">
        <is>
          <t>22279</t>
        </is>
      </c>
      <c r="C4114" s="23" t="inlineStr">
        <is>
          <t>ОРУЖИЕ НОВ</t>
        </is>
      </c>
      <c r="D4114" s="23" t="inlineStr">
        <is>
          <t>Гамильтон Дж.</t>
        </is>
      </c>
      <c r="E4114" s="23" t="inlineStr">
        <is>
          <t>Оружие и правила дуэлей. Искусство ведения поединков</t>
        </is>
      </c>
      <c r="F4114" s="23" t="inlineStr">
        <is>
          <t>        </t>
        </is>
      </c>
      <c r="G4114" s="23" t="n">
        <v>936</v>
      </c>
      <c r="H4114" s="23" t="n">
        <v>10</v>
      </c>
      <c r="I4114" s="23" t="n">
        <v>10</v>
      </c>
      <c r="J4114" s="23" t="inlineStr">
        <is>
          <t>978-5-9524-6715-6</t>
        </is>
      </c>
      <c r="K4114" s="23" t="inlineStr">
        <is>
          <t>84x108 1/32</t>
        </is>
      </c>
      <c r="L4114" s="23" t="inlineStr">
        <is>
          <t>тв</t>
        </is>
      </c>
      <c r="M4114" s="23" t="n">
        <v>217</v>
      </c>
      <c r="N4114" s="23" t="n">
        <v>2026</v>
      </c>
      <c r="O4114" s="23" t="n">
        <v>290</v>
      </c>
      <c r="P4114" s="23" t="n"/>
      <c r="Q4114" s="23" t="n"/>
      <c r="R4114" s="25" t="inlineStr">
        <is>
          <t>Труд Дж. Гамильтона представляет собой уникальное историческое исследование конфликтов между представителями высших сословий. Автор систематизировал все виды вооруженного разрешения ссор и споров, основываясь на специальной документации судебных процессов, связанных с дуэлями, которые долгие годы считались наиболее адекватным средством защиты против оскорбления. В книге подробно описаны правила организации поединков, приведен кодекс чести, которого испокон веков придерживались соперники. Кроме того, в книгу вошли любопытные описания поединков знаменитых дуэлянтов — Петра I, Наполеона, Генриха IV и других известных персон.</t>
        </is>
      </c>
      <c r="S4114" s="26">
        <f>HYPERLINK("http://www.cnpol.ru/covers/22279.jpg","фото на сайте")</f>
        <v/>
      </c>
    </row>
    <row r="4115" ht="50.1" customHeight="1" s="3">
      <c r="A4115" s="23" t="inlineStr">
        <is>
          <t>Н</t>
        </is>
      </c>
      <c r="B4115" s="24" t="inlineStr">
        <is>
          <t>21619</t>
        </is>
      </c>
      <c r="C4115" s="23" t="inlineStr">
        <is>
          <t>ОРУЖИЕ НОВ</t>
        </is>
      </c>
      <c r="D4115" s="23" t="inlineStr">
        <is>
          <t>Вернер Э.</t>
        </is>
      </c>
      <c r="E4115" s="23" t="inlineStr">
        <is>
          <t>Оружие Китая. Традиционное древнее снаряжение для нападения и защиты</t>
        </is>
      </c>
      <c r="F4115" s="23" t="inlineStr">
        <is>
          <t>        </t>
        </is>
      </c>
      <c r="G4115" s="23" t="n">
        <v>714</v>
      </c>
      <c r="H4115" s="23" t="n">
        <v>10</v>
      </c>
      <c r="I4115" s="23" t="n">
        <v>20</v>
      </c>
      <c r="J4115" s="23" t="inlineStr">
        <is>
          <t>978-5-9524-6358-5</t>
        </is>
      </c>
      <c r="K4115" s="23" t="inlineStr">
        <is>
          <t>84x108 1/32</t>
        </is>
      </c>
      <c r="L4115" s="23" t="inlineStr">
        <is>
          <t>тв</t>
        </is>
      </c>
      <c r="M4115" s="23" t="n">
        <v>157</v>
      </c>
      <c r="N4115" s="23" t="n">
        <v>2025</v>
      </c>
      <c r="O4115" s="23" t="n">
        <v>201</v>
      </c>
      <c r="P4115" s="23" t="n"/>
      <c r="Q4115" s="23" t="n"/>
      <c r="R4115" s="25" t="inlineStr">
        <is>
          <t>Уникальная книга Эдварда Вернера посвящена формированию различных видов оружия в Китае. Вернер, основываясь на древних трактатах, исследует такие виды оружия, как дубины, булавы, боевые топоры, копья, пики, мечи, луки, арбалеты, баллисты, ружья, материалы, из которых они изготавливались, их применение в бою, а также защитные доспехи. Автор уводит читателя в мир военного искусства китайской культуры, отмечая разнообразные нюансы отличий подвидов китайского оружия.</t>
        </is>
      </c>
      <c r="S4115" s="26">
        <f>HYPERLINK("http://www.cnpol.ru/covers/21619.jpg","фото на сайте")</f>
        <v/>
      </c>
    </row>
    <row r="4116" ht="50.1" customHeight="1" s="3">
      <c r="A4116" s="23" t="n"/>
      <c r="B4116" s="24" t="inlineStr">
        <is>
          <t>20279</t>
        </is>
      </c>
      <c r="C4116" s="23" t="inlineStr">
        <is>
          <t>ОРУЖИЕ НОВ</t>
        </is>
      </c>
      <c r="D4116" s="23" t="inlineStr">
        <is>
          <t>Виолле­ле­Дюк Э.Э.</t>
        </is>
      </c>
      <c r="E4116" s="23" t="inlineStr">
        <is>
          <t>Осада и оборона крепостей. Двадцать два столетия осадного вооружения</t>
        </is>
      </c>
      <c r="F4116" s="23" t="inlineStr">
        <is>
          <t>        </t>
        </is>
      </c>
      <c r="G4116" s="27" t="n">
        <v>1170</v>
      </c>
      <c r="H4116" s="23" t="n">
        <v>10</v>
      </c>
      <c r="I4116" s="23" t="n">
        <v>12</v>
      </c>
      <c r="J4116" s="23" t="inlineStr">
        <is>
          <t>978-5-9524-5838-3</t>
        </is>
      </c>
      <c r="K4116" s="23" t="inlineStr">
        <is>
          <t>84x108 1/32</t>
        </is>
      </c>
      <c r="L4116" s="23" t="inlineStr">
        <is>
          <t>тв</t>
        </is>
      </c>
      <c r="M4116" s="23" t="n">
        <v>378</v>
      </c>
      <c r="N4116" s="23" t="n">
        <v>2022</v>
      </c>
      <c r="O4116" s="23" t="n">
        <v>360</v>
      </c>
      <c r="P4116" s="23" t="n"/>
      <c r="Q4116" s="23" t="n"/>
      <c r="R4116" s="25" t="n"/>
      <c r="S4116" s="26">
        <f>HYPERLINK("http://www.cnpol.ru/covers/20279.jpg","фото на сайте")</f>
        <v/>
      </c>
    </row>
    <row r="4117" ht="50.1" customHeight="1" s="3">
      <c r="A4117" s="23" t="n"/>
      <c r="B4117" s="24" t="inlineStr">
        <is>
          <t>19970</t>
        </is>
      </c>
      <c r="C4117" s="23" t="inlineStr">
        <is>
          <t>ОРУЖИЕ НОВ</t>
        </is>
      </c>
      <c r="D4117" s="23" t="inlineStr">
        <is>
          <t>Блэкмор Г.Л.</t>
        </is>
      </c>
      <c r="E4117" s="23" t="inlineStr">
        <is>
          <t>Охотничье оружие. От Средних веков до двадцатого столетия</t>
        </is>
      </c>
      <c r="F4117" s="23" t="inlineStr">
        <is>
          <t>        </t>
        </is>
      </c>
      <c r="G4117" s="27" t="n">
        <v>1278</v>
      </c>
      <c r="H4117" s="23" t="n">
        <v>10</v>
      </c>
      <c r="I4117" s="23" t="n">
        <v>10</v>
      </c>
      <c r="J4117" s="23" t="inlineStr">
        <is>
          <t>978-5-9524-5623-5</t>
        </is>
      </c>
      <c r="K4117" s="23" t="inlineStr">
        <is>
          <t>84x108 1/32</t>
        </is>
      </c>
      <c r="L4117" s="23" t="inlineStr">
        <is>
          <t>тв</t>
        </is>
      </c>
      <c r="M4117" s="23" t="n">
        <v>432</v>
      </c>
      <c r="N4117" s="23" t="n">
        <v>2022</v>
      </c>
      <c r="O4117" s="23" t="n">
        <v>363</v>
      </c>
      <c r="P4117" s="23" t="n"/>
      <c r="Q4117" s="23" t="n"/>
      <c r="R4117" s="25" t="n"/>
      <c r="S4117" s="26">
        <f>HYPERLINK("http://www.cnpol.ru/covers/19970.jpg","фото на сайте")</f>
        <v/>
      </c>
    </row>
    <row r="4118" ht="50.1" customHeight="1" s="3">
      <c r="A4118" s="23" t="inlineStr">
        <is>
          <t>Д</t>
        </is>
      </c>
      <c r="B4118" s="24" t="inlineStr">
        <is>
          <t>21311</t>
        </is>
      </c>
      <c r="C4118" s="23" t="inlineStr">
        <is>
          <t>ОРУЖИЕ НОВ</t>
        </is>
      </c>
      <c r="D4118" s="23" t="inlineStr">
        <is>
          <t>Блэр К.</t>
        </is>
      </c>
      <c r="E4118" s="23" t="inlineStr">
        <is>
          <t>Рыцарские доспехи Европы. Универсальный обзор музейных коллекций</t>
        </is>
      </c>
      <c r="F4118" s="23" t="inlineStr">
        <is>
          <t>        </t>
        </is>
      </c>
      <c r="G4118" s="23" t="n">
        <v>928</v>
      </c>
      <c r="H4118" s="23" t="n">
        <v>10</v>
      </c>
      <c r="I4118" s="23" t="n">
        <v>14</v>
      </c>
      <c r="J4118" s="23" t="inlineStr">
        <is>
          <t>978-5-9524-6228-1</t>
        </is>
      </c>
      <c r="K4118" s="23" t="inlineStr">
        <is>
          <t>84x108 1/32</t>
        </is>
      </c>
      <c r="L4118" s="23" t="inlineStr">
        <is>
          <t>тв</t>
        </is>
      </c>
      <c r="M4118" s="23" t="n">
        <v>260</v>
      </c>
      <c r="N4118" s="23" t="n">
        <v>2024</v>
      </c>
      <c r="O4118" s="23" t="n">
        <v>241</v>
      </c>
      <c r="P4118" s="23" t="n"/>
      <c r="Q4118" s="23" t="n"/>
      <c r="R4118" s="25" t="inlineStr">
        <is>
          <t>"Книга посвящена истории защитного вооружения средневековой Европы. Автор приводит обзор развития защитного воинского облачения с 1066 года, когда только начиналась эпоха кольчуги, по 1700 год, когда рыцарские доспехи обрели декоративный характер.
Автор подробно прослеживает эволюцию кольчуги, шлема, лат, рукавиц, наплечников и других элементов рыцарского снаряжения, объясняет значение терминов, употребляемых коллекционерами, дает представление о стилях и школах итальянских, германских и французских оружейников. Текст сопровождается многочисленными фотографиями и рисунками образцов защитного вооружения, хранящихся в?крупнейших музеях мира."</t>
        </is>
      </c>
      <c r="S4118" s="26">
        <f>HYPERLINK("http://www.cnpol.ru/covers/21311.jpg","фото на сайте")</f>
        <v/>
      </c>
    </row>
    <row r="4119" ht="50.1" customHeight="1" s="3">
      <c r="A4119" s="23" t="inlineStr">
        <is>
          <t>Д</t>
        </is>
      </c>
      <c r="B4119" s="24" t="inlineStr">
        <is>
          <t>21860</t>
        </is>
      </c>
      <c r="C4119" s="23" t="inlineStr">
        <is>
          <t>ОРУЖИЕ НОВ</t>
        </is>
      </c>
      <c r="D4119" s="23" t="inlineStr">
        <is>
          <t>Клифан К.</t>
        </is>
      </c>
      <c r="E4119" s="23" t="inlineStr">
        <is>
          <t>Рыцарский турнир. Турнирный этикет, доспехи и вооружение</t>
        </is>
      </c>
      <c r="F4119" s="23" t="inlineStr">
        <is>
          <t>        </t>
        </is>
      </c>
      <c r="G4119" s="23" t="n">
        <v>888</v>
      </c>
      <c r="H4119" s="23" t="n">
        <v>10</v>
      </c>
      <c r="I4119" s="23" t="n">
        <v>10</v>
      </c>
      <c r="J4119" s="23" t="inlineStr">
        <is>
          <t>978-5-9524-6549-7</t>
        </is>
      </c>
      <c r="K4119" s="23" t="inlineStr">
        <is>
          <t>84x108 1/32</t>
        </is>
      </c>
      <c r="L4119" s="23" t="inlineStr">
        <is>
          <t>тв</t>
        </is>
      </c>
      <c r="M4119" s="23" t="n">
        <v>238</v>
      </c>
      <c r="N4119" s="23" t="n">
        <v>2025</v>
      </c>
      <c r="O4119" s="23" t="n">
        <v>317</v>
      </c>
      <c r="P4119" s="23" t="n"/>
      <c r="Q4119" s="23" t="n"/>
      <c r="R4119" s="25" t="inlineStr">
        <is>
          <t>Клифан Колтман в своей уникальной книге «Рыцарский турнир» рассказывает о тонкостях проведения ристалищных сражений во Франции, Германии, Англии, Италии. Предмет исследования рассматривается с различных точек зрения, привлекается огромное количество информации из германских источников. Автор передает подлинную атмосферу Средневековья, в ярких красках демонстрирует самые знаменитые поединки тех времен, детально касается всех особенностей латного облачения и вооружения рыцарей.</t>
        </is>
      </c>
      <c r="S4119" s="26">
        <f>HYPERLINK("http://www.cnpol.ru/covers/21860.jpg","фото на сайте")</f>
        <v/>
      </c>
    </row>
    <row r="4120" ht="50.1" customHeight="1" s="3">
      <c r="A4120" s="23" t="inlineStr">
        <is>
          <t>Д</t>
        </is>
      </c>
      <c r="B4120" s="24" t="inlineStr">
        <is>
          <t>21682</t>
        </is>
      </c>
      <c r="C4120" s="23" t="inlineStr">
        <is>
          <t>ОРУЖИЕ НОВ</t>
        </is>
      </c>
      <c r="D4120" s="23" t="inlineStr">
        <is>
          <t>Окшотт Э.</t>
        </is>
      </c>
      <c r="E4120" s="23" t="inlineStr">
        <is>
          <t>Рыцарь и его доспехи. Латное облачение и вооружение</t>
        </is>
      </c>
      <c r="F4120" s="23" t="inlineStr">
        <is>
          <t>        </t>
        </is>
      </c>
      <c r="G4120" s="23" t="n">
        <v>902</v>
      </c>
      <c r="H4120" s="23" t="n">
        <v>10</v>
      </c>
      <c r="I4120" s="23" t="n">
        <v>18</v>
      </c>
      <c r="J4120" s="23" t="inlineStr">
        <is>
          <t>978-5-9524-6434-6</t>
        </is>
      </c>
      <c r="K4120" s="23" t="inlineStr">
        <is>
          <t>84x108 1/32</t>
        </is>
      </c>
      <c r="L4120" s="23" t="inlineStr">
        <is>
          <t>тв</t>
        </is>
      </c>
      <c r="M4120" s="23" t="n">
        <v>187</v>
      </c>
      <c r="N4120" s="23" t="n">
        <v>2025</v>
      </c>
      <c r="O4120" s="23" t="n">
        <v>250</v>
      </c>
      <c r="P4120" s="23" t="n"/>
      <c r="Q4120" s="23" t="n"/>
      <c r="R4120" s="25" t="inlineStr">
        <is>
          <t>Окшотт, известный историк и знаток Средневековья, рассказывает о вооружении и доспехах рыцаря — визитной карточке воина, демонстри­рующей его место в обществе, степень богатства и опыт в военном деле. Автор рассказывает о производстве латного облачения, перечисляет все известные типы мечей, кинжалов и многие другие виды оружия для средневековых поединков.</t>
        </is>
      </c>
      <c r="S4120" s="26">
        <f>HYPERLINK("http://www.cnpol.ru/covers/21682.jpg","фото на сайте")</f>
        <v/>
      </c>
    </row>
    <row r="4121" ht="50.1" customHeight="1" s="3">
      <c r="A4121" s="23" t="inlineStr">
        <is>
          <t>Д</t>
        </is>
      </c>
      <c r="B4121" s="24" t="inlineStr">
        <is>
          <t>21742</t>
        </is>
      </c>
      <c r="C4121" s="23" t="inlineStr">
        <is>
          <t>ОРУЖИЕ НОВ</t>
        </is>
      </c>
      <c r="D4121" s="23" t="inlineStr">
        <is>
          <t>Окшотт Э.</t>
        </is>
      </c>
      <c r="E4121" s="23" t="inlineStr">
        <is>
          <t>Рыцарь и его замок. Средневековые крепости и осадные сооружения</t>
        </is>
      </c>
      <c r="F4121" s="23" t="inlineStr">
        <is>
          <t>        </t>
        </is>
      </c>
      <c r="G4121" s="23" t="n">
        <v>802</v>
      </c>
      <c r="H4121" s="23" t="n">
        <v>10</v>
      </c>
      <c r="I4121" s="23" t="n">
        <v>10</v>
      </c>
      <c r="J4121" s="23" t="inlineStr">
        <is>
          <t>978-5-9524-6471-1</t>
        </is>
      </c>
      <c r="K4121" s="23" t="inlineStr">
        <is>
          <t>84x108 1/32</t>
        </is>
      </c>
      <c r="L4121" s="23" t="inlineStr">
        <is>
          <t>тв</t>
        </is>
      </c>
      <c r="M4121" s="23" t="n">
        <v>206</v>
      </c>
      <c r="N4121" s="23" t="n">
        <v>2025</v>
      </c>
      <c r="O4121" s="23" t="n">
        <v>273</v>
      </c>
      <c r="P4121" s="23" t="n"/>
      <c r="Q4121" s="23" t="n"/>
      <c r="R4121" s="25" t="inlineStr">
        <is>
          <t>Окшотт, известный историк и знаток Средневековья, рассказывает о разновидностях средневековых поместий, представляющих собой сложную систему крепостных укреплений и осадных сооружений. Замок рыцаря — его личная вселенная, и Окшотт детально воссоздает эпоху феодализма, показывая, как менялось время, а вместе с ним менялось отношение человека к жилищу и всему, что его окружает.</t>
        </is>
      </c>
      <c r="S4121" s="26">
        <f>HYPERLINK("http://www.cnpol.ru/covers/21742.jpg","фото на сайте")</f>
        <v/>
      </c>
    </row>
    <row r="4122" ht="50.1" customHeight="1" s="3">
      <c r="A4122" s="23" t="inlineStr">
        <is>
          <t>Н</t>
        </is>
      </c>
      <c r="B4122" s="24" t="inlineStr">
        <is>
          <t>22011</t>
        </is>
      </c>
      <c r="C4122" s="23" t="inlineStr">
        <is>
          <t>ОРУЖИЕ НОВ</t>
        </is>
      </c>
      <c r="D4122" s="23" t="inlineStr">
        <is>
          <t>Нитобэ И., Норман Ф.</t>
        </is>
      </c>
      <c r="E4122" s="23" t="inlineStr">
        <is>
          <t>Самурай. Нравственные принципы и боевые навыки японского воина</t>
        </is>
      </c>
      <c r="F4122" s="23" t="inlineStr">
        <is>
          <t>        </t>
        </is>
      </c>
      <c r="G4122" s="23" t="n">
        <v>745</v>
      </c>
      <c r="H4122" s="23" t="n">
        <v>10</v>
      </c>
      <c r="I4122" s="23" t="n">
        <v>10</v>
      </c>
      <c r="J4122" s="23" t="inlineStr">
        <is>
          <t>978-5-9524-6626-5</t>
        </is>
      </c>
      <c r="K4122" s="23" t="inlineStr">
        <is>
          <t>84x108 1/32</t>
        </is>
      </c>
      <c r="L4122" s="23" t="inlineStr">
        <is>
          <t>тв</t>
        </is>
      </c>
      <c r="M4122" s="23" t="n">
        <v>189</v>
      </c>
      <c r="N4122" s="23" t="n">
        <v>2026</v>
      </c>
      <c r="O4122" s="23" t="n">
        <v>279</v>
      </c>
      <c r="P4122" s="23" t="n"/>
      <c r="Q4122" s="23" t="n"/>
      <c r="R4122" s="25" t="inlineStr">
        <is>
          <t>"Первая часть этой книги посвящена бусидо — этическому кодексу поведения самурая в средневековой Японии. Именно бусидо дало начало традиционным японским ценностям, рассмотренным в контексте буддизма, синтоизма, конфуцианства, моральных принципов самураев и японских мудрецов; проведены параллели с традициями средневекового рыцарства, христианским и античным мировоззрениями.
Во второй части рассказывается об истории формирования армии Японии, военных традициях страны, видах военных искусств, которыми владели японские воины: кэндзюцу, сумо, джиу-джитсу. Книга будет интересна не только специалистам, но и широкому кругу читателей."</t>
        </is>
      </c>
      <c r="S4122" s="26">
        <f>HYPERLINK("http://www.cnpol.ru/covers/22011.jpg","фото на сайте")</f>
        <v/>
      </c>
    </row>
    <row r="4123" ht="50.1" customHeight="1" s="3">
      <c r="A4123" s="23" t="inlineStr">
        <is>
          <t>Д</t>
        </is>
      </c>
      <c r="B4123" s="24" t="inlineStr">
        <is>
          <t>21976</t>
        </is>
      </c>
      <c r="C4123" s="23" t="inlineStr">
        <is>
          <t>ОРУЖИЕ НОВ</t>
        </is>
      </c>
      <c r="D4123" s="23" t="inlineStr">
        <is>
          <t>Фолкс Ч.</t>
        </is>
      </c>
      <c r="E4123" s="23" t="inlineStr">
        <is>
          <t>Средневековые доспехи. Мастера оружейного дела</t>
        </is>
      </c>
      <c r="F4123" s="23" t="inlineStr">
        <is>
          <t>        </t>
        </is>
      </c>
      <c r="G4123" s="23" t="n">
        <v>855</v>
      </c>
      <c r="H4123" s="23" t="n">
        <v>10</v>
      </c>
      <c r="I4123" s="23" t="n">
        <v>10</v>
      </c>
      <c r="J4123" s="23" t="inlineStr">
        <is>
          <t>978-5-9524-6610-4</t>
        </is>
      </c>
      <c r="K4123" s="23" t="inlineStr">
        <is>
          <t>84x108 1/32</t>
        </is>
      </c>
      <c r="L4123" s="23" t="inlineStr">
        <is>
          <t>тв</t>
        </is>
      </c>
      <c r="M4123" s="23" t="n">
        <v>207</v>
      </c>
      <c r="N4123" s="23" t="n">
        <v>2026</v>
      </c>
      <c r="O4123" s="23" t="n">
        <v>290</v>
      </c>
      <c r="P4123" s="23" t="n"/>
      <c r="Q4123" s="23" t="n"/>
      <c r="R4123" s="25" t="inlineStr">
        <is>
          <t>Автор книги, Чарльз Фолкс, один из первых осветивший историю создания и развития оружейного ремесла в Европе, рассказывает о различных типах доспехов, процессе их изготовления, применяемых при этом материалах и инструментах, чистке, починке, стоимости и весе. В книгу включены фрагменты подлинных средневековых документов, а текст дополнен многочисленными иллюстрациями.</t>
        </is>
      </c>
      <c r="S4123" s="26">
        <f>HYPERLINK("http://www.cnpol.ru/covers/21976.jpg","фото на сайте")</f>
        <v/>
      </c>
    </row>
    <row r="4124" ht="50.1" customHeight="1" s="3">
      <c r="A4124" s="23" t="inlineStr">
        <is>
          <t>Н</t>
        </is>
      </c>
      <c r="B4124" s="24" t="inlineStr">
        <is>
          <t>21878</t>
        </is>
      </c>
      <c r="C4124" s="23" t="inlineStr">
        <is>
          <t>ОРУЖИЕ НОВ</t>
        </is>
      </c>
      <c r="D4124" s="23" t="inlineStr">
        <is>
          <t>Норман А.</t>
        </is>
      </c>
      <c r="E4124" s="23" t="inlineStr">
        <is>
          <t>Средневековый воин. Вооружение времен Карла Великого и Крестовых походов</t>
        </is>
      </c>
      <c r="F4124" s="23" t="inlineStr">
        <is>
          <t>        </t>
        </is>
      </c>
      <c r="G4124" s="23" t="n">
        <v>976</v>
      </c>
      <c r="H4124" s="23" t="n">
        <v>10</v>
      </c>
      <c r="I4124" s="23" t="n">
        <v>10</v>
      </c>
      <c r="J4124" s="23" t="inlineStr">
        <is>
          <t>978-5-9524-6460-5</t>
        </is>
      </c>
      <c r="K4124" s="23" t="inlineStr">
        <is>
          <t>84x108 1/32</t>
        </is>
      </c>
      <c r="L4124" s="23" t="inlineStr">
        <is>
          <t>тв</t>
        </is>
      </c>
      <c r="M4124" s="23" t="n">
        <v>270</v>
      </c>
      <c r="N4124" s="23" t="n">
        <v>2026</v>
      </c>
      <c r="O4124" s="23" t="n">
        <v>335</v>
      </c>
      <c r="P4124" s="23" t="n"/>
      <c r="Q4124" s="23" t="n"/>
      <c r="R4124" s="25" t="inlineStr">
        <is>
          <t>Книга Нормана посвящена истории средневекового воина с начала вторжения варваров в Европу и до последних Крестовых походов. На основе документальных свидетельств эпохи автор прослеживает развитие военной системы от разрозненных отрядов варваров V—VI вв. до прекрасно организованной армии ХII—ХIII вв. Детально рассматривая образ жизни, традиции, кодекс поведения средневекового воина, особое внимание Норман уделяет эволюции его боевого вооружения.</t>
        </is>
      </c>
      <c r="S4124" s="26">
        <f>HYPERLINK("http://www.cnpol.ru/covers/21878.jpg","фото на сайте")</f>
        <v/>
      </c>
    </row>
    <row r="4125" ht="50.1" customHeight="1" s="3">
      <c r="A4125" s="23" t="inlineStr">
        <is>
          <t>Д</t>
        </is>
      </c>
      <c r="B4125" s="24" t="inlineStr">
        <is>
          <t>21979</t>
        </is>
      </c>
      <c r="C4125" s="23" t="inlineStr">
        <is>
          <t>ОРУЖИЕ НОВ</t>
        </is>
      </c>
      <c r="D4125" s="23" t="inlineStr">
        <is>
          <t>Хаттон А.</t>
        </is>
      </c>
      <c r="E4125" s="23" t="inlineStr">
        <is>
          <t>Холодное оружие Европы. Приемы великих мастеров фехтования</t>
        </is>
      </c>
      <c r="F4125" s="23" t="inlineStr">
        <is>
          <t>        </t>
        </is>
      </c>
      <c r="G4125" s="23" t="n">
        <v>835</v>
      </c>
      <c r="H4125" s="23" t="n">
        <v>10</v>
      </c>
      <c r="I4125" s="23" t="n">
        <v>15</v>
      </c>
      <c r="J4125" s="23" t="inlineStr">
        <is>
          <t>978-5-9524-6613-5</t>
        </is>
      </c>
      <c r="K4125" s="23" t="inlineStr">
        <is>
          <t>84x108 1/32</t>
        </is>
      </c>
      <c r="L4125" s="23" t="inlineStr">
        <is>
          <t>тв</t>
        </is>
      </c>
      <c r="M4125" s="23" t="n">
        <v>221</v>
      </c>
      <c r="N4125" s="23" t="n">
        <v>2026</v>
      </c>
      <c r="O4125" s="23" t="n">
        <v>288</v>
      </c>
      <c r="P4125" s="23" t="n"/>
      <c r="Q4125" s="23" t="n"/>
      <c r="R4125" s="25" t="inlineStr">
        <is>
          <t>Книга знаменитого английского фехтовальщика, капитана Альфреда Хаттона, станет ценным подарком любому, кто увлекается историей холодного оружия, а также любителям боя на мечах, рапирах или саблях. Этот классический труд обобщает трехсотлетний опыт искусства фехтования периода XVII—XIX веков. Хаттон создал уникальную систему, включающую как «дуэльное» фехтование, так и военное, а также приемы самообороны без оружия.</t>
        </is>
      </c>
      <c r="S4125" s="26">
        <f>HYPERLINK("http://www.cnpol.ru/covers/21979.jpg","фото на сайте")</f>
        <v/>
      </c>
    </row>
    <row r="4126" ht="50.1" customHeight="1" s="3">
      <c r="A4126" s="23" t="inlineStr">
        <is>
          <t>Д</t>
        </is>
      </c>
      <c r="B4126" s="24" t="inlineStr">
        <is>
          <t>21982</t>
        </is>
      </c>
      <c r="C4126" s="23" t="inlineStr">
        <is>
          <t>ОРУЖИЕ НОВ</t>
        </is>
      </c>
      <c r="D4126" s="23" t="inlineStr">
        <is>
          <t>Кастл Э.</t>
        </is>
      </c>
      <c r="E4126" s="23" t="inlineStr">
        <is>
          <t>Школы и мастера фехтования. Благородное искусство владения клинком</t>
        </is>
      </c>
      <c r="F4126" s="23" t="inlineStr">
        <is>
          <t>        </t>
        </is>
      </c>
      <c r="G4126" s="27" t="n">
        <v>1031</v>
      </c>
      <c r="H4126" s="23" t="n">
        <v>10</v>
      </c>
      <c r="I4126" s="23" t="n">
        <v>10</v>
      </c>
      <c r="J4126" s="23" t="inlineStr">
        <is>
          <t>978-5-9524-6618-0</t>
        </is>
      </c>
      <c r="K4126" s="23" t="inlineStr">
        <is>
          <t>84x108 1/32</t>
        </is>
      </c>
      <c r="L4126" s="23" t="inlineStr">
        <is>
          <t>тв</t>
        </is>
      </c>
      <c r="M4126" s="23" t="n">
        <v>331</v>
      </c>
      <c r="N4126" s="23" t="n">
        <v>2026</v>
      </c>
      <c r="O4126" s="23" t="n">
        <v>300</v>
      </c>
      <c r="P4126" s="23" t="n"/>
      <c r="Q4126" s="23" t="n"/>
      <c r="R4126" s="25" t="inlineStr">
        <is>
          <t>Данное исследование полно самых ценных и разнообразных сведений по развитию фехтовального искусства. Вы узнаете, как со временем менялась форма гард и клинков, о том, сколько поколений практиков потребовалось, чтобы определить основополагающие принципы фехтования, идеально соответствующие возможностям человеческого тела. Книга будет интересна любителям старинного оружия и знатокам фехтования.</t>
        </is>
      </c>
      <c r="S4126" s="26">
        <f>HYPERLINK("http://www.cnpol.ru/covers/21982.jpg","фото на сайте")</f>
        <v/>
      </c>
    </row>
    <row r="4127" ht="50.1" customHeight="1" s="3">
      <c r="A4127" s="23" t="inlineStr">
        <is>
          <t>Н</t>
        </is>
      </c>
      <c r="B4127" s="24" t="inlineStr">
        <is>
          <t>21679</t>
        </is>
      </c>
      <c r="C4127" s="23" t="inlineStr">
        <is>
          <t>ОРУЖИЕ НОВ</t>
        </is>
      </c>
      <c r="D4127" s="23" t="inlineStr">
        <is>
          <t>Коггинс Д.</t>
        </is>
      </c>
      <c r="E4127" s="23" t="inlineStr">
        <is>
          <t>Эволюция вооружения Европы. От походов викингов до Наполеоновских войн</t>
        </is>
      </c>
      <c r="F4127" s="23" t="inlineStr">
        <is>
          <t>        </t>
        </is>
      </c>
      <c r="G4127" s="23" t="n">
        <v>902</v>
      </c>
      <c r="H4127" s="23" t="n">
        <v>10</v>
      </c>
      <c r="I4127" s="23" t="n">
        <v>14</v>
      </c>
      <c r="J4127" s="23" t="inlineStr">
        <is>
          <t>978-5-9524-6375-2</t>
        </is>
      </c>
      <c r="K4127" s="23" t="inlineStr">
        <is>
          <t>84x108 1/32</t>
        </is>
      </c>
      <c r="L4127" s="23" t="inlineStr">
        <is>
          <t>тв</t>
        </is>
      </c>
      <c r="M4127" s="23" t="n">
        <v>254</v>
      </c>
      <c r="N4127" s="23" t="n">
        <v>2025</v>
      </c>
      <c r="O4127" s="23" t="n">
        <v>256</v>
      </c>
      <c r="P4127" s="23" t="n"/>
      <c r="Q4127" s="23" t="n"/>
      <c r="R4127" s="25" t="inlineStr">
        <is>
          <t>Книга известного ученого Джека Коггинса представляет подробнейший обзор эволюции вооружения Европы. Исследование включает историю развития оружия, обмундирования и классификацию военных чинов, характерных для ведущих мировых держав. Применение различных видов оружия рассматривается на примере ведения боя у викингов, испанцев, британцев, шведов и французов._x000D_
Перед читателем возникает целостная картина развития военного дела Европы, важным этапом которого стало появление огнестрельного оружия.</t>
        </is>
      </c>
      <c r="S4127" s="26">
        <f>HYPERLINK("http://www.cnpol.ru/covers/21679.jpg","фото на сайте")</f>
        <v/>
      </c>
    </row>
    <row r="4128" ht="50.1" customHeight="1" s="3">
      <c r="A4128" s="23" t="inlineStr">
        <is>
          <t>Н</t>
        </is>
      </c>
      <c r="B4128" s="24" t="inlineStr">
        <is>
          <t>21628</t>
        </is>
      </c>
      <c r="C4128" s="23" t="inlineStr">
        <is>
          <t>ОТМ</t>
        </is>
      </c>
      <c r="D4128" s="23" t="inlineStr">
        <is>
          <t>Меньшикова К.Е.</t>
        </is>
      </c>
      <c r="E4128" s="23" t="inlineStr">
        <is>
          <t>Руны — оружие воина (цветная). Уникальный магический инструмент для выхода на новый уровень</t>
        </is>
      </c>
      <c r="F4128" s="23" t="inlineStr">
        <is>
          <t>        </t>
        </is>
      </c>
      <c r="G4128" s="27" t="n">
        <v>1954</v>
      </c>
      <c r="H4128" s="23" t="n">
        <v>10</v>
      </c>
      <c r="I4128" s="23" t="n">
        <v>5</v>
      </c>
      <c r="J4128" s="23" t="inlineStr">
        <is>
          <t>978-5-227-10999-6</t>
        </is>
      </c>
      <c r="K4128" s="23" t="inlineStr">
        <is>
          <t>70х90 1/16</t>
        </is>
      </c>
      <c r="L4128" s="23" t="inlineStr">
        <is>
          <t>тв</t>
        </is>
      </c>
      <c r="M4128" s="23" t="n">
        <v>255</v>
      </c>
      <c r="N4128" s="23" t="n">
        <v>2025</v>
      </c>
      <c r="O4128" s="23" t="n">
        <v>288</v>
      </c>
      <c r="P4128" s="23" t="n"/>
      <c r="Q4128" s="23" t="n"/>
      <c r="R4128" s="25" t="inlineStr">
        <is>
          <t>Руны — уникальный магический инструмент, через который можно постичь суть северной магии. Руны могут многое — и исправить, и навредить, это зависит от того, в чьих руках они находятся. Поэтому древние делили людей на касты и следили за тем, чтобы магические инструменты не попали в руки недостойных. Только тот, кто честен, способен слышать шёпот рун. Таковы воины, и руны их оружие. Воин — не профессия, а состояние сознания. С ним либо рождаются, либо воспитывают в себе в течение жизни, становясь тем, кто не способен на ложь, потому что она нарушает законы мира. Предлагаем всем, кто готов встать на путь воина — добровольный путь трансформации и личностного роста, вместе с книгой поработать над собой, догрузить в себя недостающие алгоритмы умений и возможностей, раскрыть скрытое и получить недоступное.</t>
        </is>
      </c>
      <c r="S4128" s="26">
        <f>HYPERLINK("http://www.cnpol.ru/covers/21628.jpg","фото на сайте")</f>
        <v/>
      </c>
    </row>
    <row r="4129" ht="50.1" customHeight="1" s="3">
      <c r="A4129" s="23" t="inlineStr">
        <is>
          <t>Д</t>
        </is>
      </c>
      <c r="B4129" s="24" t="inlineStr">
        <is>
          <t>21827</t>
        </is>
      </c>
      <c r="C4129" s="23" t="inlineStr">
        <is>
          <t>ОТМ</t>
        </is>
      </c>
      <c r="D4129" s="23" t="inlineStr">
        <is>
          <t>Меньшикова К.Е.</t>
        </is>
      </c>
      <c r="E4129" s="23" t="inlineStr">
        <is>
          <t>Руны — оружие воина. Уникальный магический инструмент для выхода на новый уровень</t>
        </is>
      </c>
      <c r="F4129" s="23" t="inlineStr">
        <is>
          <t>        </t>
        </is>
      </c>
      <c r="G4129" s="23" t="n">
        <v>672</v>
      </c>
      <c r="H4129" s="23" t="n">
        <v>10</v>
      </c>
      <c r="I4129" s="23" t="n">
        <v>20</v>
      </c>
      <c r="J4129" s="23" t="inlineStr">
        <is>
          <t>978-5-227-11177-7</t>
        </is>
      </c>
      <c r="K4129" s="23" t="inlineStr">
        <is>
          <t>84x108 1/32</t>
        </is>
      </c>
      <c r="L4129" s="23" t="inlineStr">
        <is>
          <t>тв</t>
        </is>
      </c>
      <c r="M4129" s="23" t="n">
        <v>255</v>
      </c>
      <c r="N4129" s="23" t="n">
        <v>2025</v>
      </c>
      <c r="O4129" s="23" t="n">
        <v>303</v>
      </c>
      <c r="P4129" s="23" t="n"/>
      <c r="Q4129" s="23" t="n"/>
      <c r="R4129" s="25" t="inlineStr">
        <is>
          <t>"Руны — уникальный магический инструмент, через который можно постичь суть северной магии. Древние маги и волхвы, познавая руны, чувствуя через них все грани мироздания, учились изменять эти грани в соответствии с правилами этого мира. Не нарушая его, но исправляя его.
Руны могут многое — и исправить, и навредить, это зависит от того, в чьих руках они находятся. Поэтому древние делили людей на касты и следили за тем, чтобы магические знания и инструменты не попали в руки недостойных. Только тот, кто способен быть честным, способен держать в руках руны и слышать их шёпот. 
Нижние касты — купцы и земледельцы — не способны почувствовать этот мир, как единый организм, но это может человек уровня воина, ведь в его сознании есть жёсткая установка, что ложь — постыдное занятие. Руны — оружие воинов, они не приемлют лжи и лукавства. Руны требуют полной самоотдачи и готовности пройти любые трансформации, которые превратят простого человека в воина. Воин — это не профессия, это состояние сознания, не зависящее от пола, возраста и происхождения. С ним либо рождаются, либо воспитывают в себе в течение жизни, становясь тем, кто не способен на ложь физически, потому что ложь нарушает законы мира.
Предлагаем всем, кто готов встать на путь воина — добровольный путь трансформации и колоссального личностного роста, вместе с этой книгой поработать над собой, догрузить в себя недостающие алгоритмы умений и возможностей, раскрыть скрытое и получить недоступное. В реальной жизни на это уходят годы, руны же могут вывести вас на путь ускорения процессов развития разума, но взамен возьмут концентрированно эмоциями, временем и трудом…"</t>
        </is>
      </c>
      <c r="S4129" s="26">
        <f>HYPERLINK("http://www.cnpol.ru/covers/21827.jpg","фото на сайте")</f>
        <v/>
      </c>
    </row>
    <row r="4130" ht="50.1" customHeight="1" s="3">
      <c r="A4130" s="23" t="inlineStr">
        <is>
          <t>Н</t>
        </is>
      </c>
      <c r="B4130" s="24" t="inlineStr">
        <is>
          <t>21909</t>
        </is>
      </c>
      <c r="C4130" s="23" t="inlineStr">
        <is>
          <t>ОТМ</t>
        </is>
      </c>
      <c r="D4130" s="23" t="inlineStr">
        <is>
          <t>Меньшикова К.Е.</t>
        </is>
      </c>
      <c r="E4130" s="23" t="inlineStr">
        <is>
          <t>Северная магическая система (цветная). Построение реальности</t>
        </is>
      </c>
      <c r="F4130" s="23" t="inlineStr">
        <is>
          <t>        </t>
        </is>
      </c>
      <c r="G4130" s="27" t="n">
        <v>3541</v>
      </c>
      <c r="H4130" s="23" t="n">
        <v>10</v>
      </c>
      <c r="I4130" s="23" t="n">
        <v>4</v>
      </c>
      <c r="J4130" s="23" t="inlineStr">
        <is>
          <t>978-5-227-11020-6</t>
        </is>
      </c>
      <c r="K4130" s="23" t="inlineStr">
        <is>
          <t>70х90 1/16</t>
        </is>
      </c>
      <c r="L4130" s="23" t="inlineStr">
        <is>
          <t>тв</t>
        </is>
      </c>
      <c r="M4130" s="23" t="n">
        <v>479</v>
      </c>
      <c r="N4130" s="23" t="n">
        <v>2025</v>
      </c>
      <c r="O4130" s="23" t="n">
        <v>1030</v>
      </c>
      <c r="P4130" s="23" t="n"/>
      <c r="Q4130" s="23" t="n"/>
      <c r="R4130" s="25" t="inlineStr">
        <is>
          <t>"Открываем новую серию на удивительную и загадочную тему — «Общая Теория Магии». Её задача — сделать понятным неведомое и научить разум не бояться самого себя. Нет ничего печальнее, чем страх перед знанием, нет ничего ущербнее, чем отказ от знаний по причине страха… Здесь будут изложены знания о магии и колдовстве. Такие, какие они есть, — без религиозного налёта, страха и поклонения.
Первая книга серии посвящена Северному пантеону, и постигать магию этой системы мы будем, погружаясь в мифологию и легенды. Часть книги посвящена изучению победных алгоритмов северного проекта — рун и того, как через руны и мифы пробудить в себе или сформировать сызнова структуру сознания воина, наполнить её информационно, убрать низводящие до состояния раба конструкции, защитить сознание и укрепить результат. Руны — уникальный магический инструмент. Они переданы людям богами, и об этом рассказано в легендах и мифах, которые нужно изучать так же глубоко, как и сами руны."</t>
        </is>
      </c>
      <c r="S4130" s="26">
        <f>HYPERLINK("http://www.cnpol.ru/covers/21909.jpg","фото на сайте")</f>
        <v/>
      </c>
    </row>
    <row r="4131" ht="50.1" customHeight="1" s="3">
      <c r="A4131" s="23" t="inlineStr">
        <is>
          <t>Н</t>
        </is>
      </c>
      <c r="B4131" s="24" t="inlineStr">
        <is>
          <t>21574</t>
        </is>
      </c>
      <c r="C4131" s="23" t="inlineStr">
        <is>
          <t>ОТМ</t>
        </is>
      </c>
      <c r="D4131" s="23" t="inlineStr">
        <is>
          <t>Меньшикова К.Е.</t>
        </is>
      </c>
      <c r="E4131" s="23" t="inlineStr">
        <is>
          <t>Северная магическая система. Построение реальности</t>
        </is>
      </c>
      <c r="F4131" s="23" t="inlineStr">
        <is>
          <t>        </t>
        </is>
      </c>
      <c r="G4131" s="23" t="n">
        <v>794</v>
      </c>
      <c r="H4131" s="23" t="n">
        <v>10</v>
      </c>
      <c r="I4131" s="23" t="n">
        <v>10</v>
      </c>
      <c r="J4131" s="23" t="inlineStr">
        <is>
          <t>978-5-227-11002-2</t>
        </is>
      </c>
      <c r="K4131" s="23" t="inlineStr">
        <is>
          <t>84x108 1/32</t>
        </is>
      </c>
      <c r="L4131" s="23" t="inlineStr">
        <is>
          <t>тв</t>
        </is>
      </c>
      <c r="M4131" s="23" t="n">
        <v>479</v>
      </c>
      <c r="N4131" s="23" t="n">
        <v>2025</v>
      </c>
      <c r="O4131" s="23" t="n">
        <v>387</v>
      </c>
      <c r="P4131" s="23" t="n"/>
      <c r="Q4131" s="23" t="n"/>
      <c r="R4131" s="25" t="inlineStr">
        <is>
          <t>Этой книгой автор открывает новую серию на удивительную, пугающую и загадочную тему — «Общая Теория Магии». Её задача — сделать понятным неведомое и научить разум не бояться самого себя. Нет ничего печальнее, чем страх перед знанием, нет ничего ущербнее, чем отказ от знаний по причине страха… Здесь будут изложены знания о магии и колдовстве. Такие, какие они есть — без религиозного налёта, нуменозного экстаза, страха и поклонения._x000D_
Первая книга посвящена Северному пантеону,  и постигать магию этой системы мы будем, глубинно погружаясь в мифологию и легенды. Понять смысл и суть северной магии — это понять её мифы. Миф — это отражение реальности, а реальность — отражение мифа. _x000D_
Часть книги посвящена изучению победных алгоритмов северного проекта — рун и того, как через руны и мифы пробудить в себе или сформировать сызнова структуру сознания воина, наполнить её информационно, убрать лишние и низводящие до состояния раба конструкции и программы, защитить сознание и укрепить результат._x000D_
Руны — уникальный магический инструмент и древняя сила. Гораздо древнее человека современного. Они переданы людям богами, и об этом рассказано в легендах и мифах, которые нужно изучать так же глубоко, как и сами руны.</t>
        </is>
      </c>
      <c r="S4131" s="26">
        <f>HYPERLINK("http://www.cnpol.ru/covers/21574.jpg","фото на сайте")</f>
        <v/>
      </c>
    </row>
    <row r="4132" ht="50.1" customHeight="1" s="3">
      <c r="A4132" s="23" t="n"/>
      <c r="B4132" s="24" t="inlineStr">
        <is>
          <t>9666</t>
        </is>
      </c>
      <c r="C4132" s="23" t="inlineStr">
        <is>
          <t>ПАЗЛЫ</t>
        </is>
      </c>
      <c r="D4132" s="23" t="inlineStr">
        <is>
          <t>Пазлы игрушка</t>
        </is>
      </c>
      <c r="E4132" s="23" t="inlineStr">
        <is>
          <t>Дигимон арт 500 54 эл</t>
        </is>
      </c>
      <c r="F4132" s="23" t="inlineStr">
        <is>
          <t>        </t>
        </is>
      </c>
      <c r="G4132" s="23" t="n">
        <v>34</v>
      </c>
      <c r="H4132" s="23" t="n">
        <v>10</v>
      </c>
      <c r="I4132" s="23" t="n">
        <v>40</v>
      </c>
      <c r="J4132" s="23" t="n">
        <v>2000069530010</v>
      </c>
      <c r="K4132" s="23" t="inlineStr">
        <is>
          <t>70x90 1/12</t>
        </is>
      </c>
      <c r="L4132" s="23" t="inlineStr">
        <is>
          <t>мяг</t>
        </is>
      </c>
      <c r="M4132" s="23" t="inlineStr">
        <is>
          <t>    </t>
        </is>
      </c>
      <c r="N4132" s="23" t="inlineStr">
        <is>
          <t>    </t>
        </is>
      </c>
      <c r="O4132" s="23" t="inlineStr">
        <is>
          <t>     </t>
        </is>
      </c>
      <c r="P4132" s="23" t="n"/>
      <c r="Q4132" s="23" t="n"/>
      <c r="R4132" s="25" t="n"/>
      <c r="S4132" s="26">
        <f>HYPERLINK("http://www.cnpol.ru/covers/9666.jpg","фото на сайте")</f>
        <v/>
      </c>
    </row>
    <row r="4133" ht="50.1" customHeight="1" s="3">
      <c r="A4133" s="23" t="n"/>
      <c r="B4133" s="24" t="inlineStr">
        <is>
          <t>6691</t>
        </is>
      </c>
      <c r="C4133" s="23" t="inlineStr">
        <is>
          <t>ПАЗЛЫ</t>
        </is>
      </c>
      <c r="D4133" s="23" t="inlineStr">
        <is>
          <t>Пазлы игрушка</t>
        </is>
      </c>
      <c r="E4133" s="23" t="inlineStr">
        <is>
          <t>Покемон 285 (80-83) 54 эл</t>
        </is>
      </c>
      <c r="F4133" s="23" t="inlineStr">
        <is>
          <t>        </t>
        </is>
      </c>
      <c r="G4133" s="23" t="n">
        <v>34</v>
      </c>
      <c r="H4133" s="23" t="n">
        <v>10</v>
      </c>
      <c r="I4133" s="23" t="n">
        <v>40</v>
      </c>
      <c r="J4133" s="23" t="n">
        <v>2000069620018</v>
      </c>
      <c r="K4133" s="23" t="inlineStr">
        <is>
          <t>70x90 1/12</t>
        </is>
      </c>
      <c r="L4133" s="23" t="inlineStr">
        <is>
          <t>мяг</t>
        </is>
      </c>
      <c r="M4133" s="23" t="inlineStr">
        <is>
          <t>    </t>
        </is>
      </c>
      <c r="N4133" s="23" t="inlineStr">
        <is>
          <t>    </t>
        </is>
      </c>
      <c r="O4133" s="23" t="inlineStr">
        <is>
          <t>     </t>
        </is>
      </c>
      <c r="P4133" s="23" t="n"/>
      <c r="Q4133" s="23" t="n"/>
      <c r="R4133" s="25" t="n"/>
      <c r="S4133" s="26">
        <f>HYPERLINK("http://www.cnpol.ru/covers/6691.jpg","фото на сайте")</f>
        <v/>
      </c>
    </row>
    <row r="4134" ht="50.1" customHeight="1" s="3">
      <c r="A4134" s="23" t="n"/>
      <c r="B4134" s="24" t="inlineStr">
        <is>
          <t>6692</t>
        </is>
      </c>
      <c r="C4134" s="23" t="inlineStr">
        <is>
          <t>ПАЗЛЫ</t>
        </is>
      </c>
      <c r="D4134" s="23" t="inlineStr">
        <is>
          <t>Пазлы игрушка</t>
        </is>
      </c>
      <c r="E4134" s="23" t="inlineStr">
        <is>
          <t>Покемон 285 (84-87) 54 эл</t>
        </is>
      </c>
      <c r="F4134" s="23" t="inlineStr">
        <is>
          <t>        </t>
        </is>
      </c>
      <c r="G4134" s="23" t="n">
        <v>34</v>
      </c>
      <c r="H4134" s="23" t="n">
        <v>10</v>
      </c>
      <c r="I4134" s="23" t="n">
        <v>40</v>
      </c>
      <c r="J4134" s="23" t="n">
        <v>2000069630017</v>
      </c>
      <c r="K4134" s="23" t="inlineStr">
        <is>
          <t>70x90 1/12</t>
        </is>
      </c>
      <c r="L4134" s="23" t="inlineStr">
        <is>
          <t>мяг</t>
        </is>
      </c>
      <c r="M4134" s="23" t="inlineStr">
        <is>
          <t>    </t>
        </is>
      </c>
      <c r="N4134" s="23" t="inlineStr">
        <is>
          <t>    </t>
        </is>
      </c>
      <c r="O4134" s="23" t="inlineStr">
        <is>
          <t>     </t>
        </is>
      </c>
      <c r="P4134" s="23" t="n"/>
      <c r="Q4134" s="23" t="n"/>
      <c r="R4134" s="25" t="n"/>
      <c r="S4134" s="26">
        <f>HYPERLINK("http://www.cnpol.ru/covers/6692.jpg","фото на сайте")</f>
        <v/>
      </c>
    </row>
    <row r="4135" ht="50.1" customHeight="1" s="3">
      <c r="A4135" s="23" t="n"/>
      <c r="B4135" s="24" t="inlineStr">
        <is>
          <t>6689</t>
        </is>
      </c>
      <c r="C4135" s="23" t="inlineStr">
        <is>
          <t>ПАЗЛЫ</t>
        </is>
      </c>
      <c r="D4135" s="23" t="inlineStr">
        <is>
          <t>Пазлы игрушка</t>
        </is>
      </c>
      <c r="E4135" s="23" t="inlineStr">
        <is>
          <t>Покемон 382 54 эл</t>
        </is>
      </c>
      <c r="F4135" s="23" t="inlineStr">
        <is>
          <t>        </t>
        </is>
      </c>
      <c r="G4135" s="23" t="n">
        <v>34</v>
      </c>
      <c r="H4135" s="23" t="n">
        <v>10</v>
      </c>
      <c r="I4135" s="23" t="n">
        <v>40</v>
      </c>
      <c r="J4135" s="23" t="n">
        <v>2000069630017</v>
      </c>
      <c r="K4135" s="23" t="inlineStr">
        <is>
          <t>70x90 1/12</t>
        </is>
      </c>
      <c r="L4135" s="23" t="inlineStr">
        <is>
          <t>мяг</t>
        </is>
      </c>
      <c r="M4135" s="23" t="inlineStr">
        <is>
          <t>    </t>
        </is>
      </c>
      <c r="N4135" s="23" t="inlineStr">
        <is>
          <t>    </t>
        </is>
      </c>
      <c r="O4135" s="23" t="inlineStr">
        <is>
          <t>     </t>
        </is>
      </c>
      <c r="P4135" s="23" t="n"/>
      <c r="Q4135" s="23" t="n"/>
      <c r="R4135" s="25" t="n"/>
      <c r="S4135" s="26">
        <f>HYPERLINK("http://www.cnpol.ru/covers/6689.jpg","фото на сайте")</f>
        <v/>
      </c>
    </row>
    <row r="4136" ht="50.1" customHeight="1" s="3">
      <c r="A4136" s="23" t="n"/>
      <c r="B4136" s="24" t="inlineStr">
        <is>
          <t>9670</t>
        </is>
      </c>
      <c r="C4136" s="23" t="inlineStr">
        <is>
          <t>ПАЗЛЫ</t>
        </is>
      </c>
      <c r="D4136" s="23" t="inlineStr">
        <is>
          <t>Пазлы игрушка</t>
        </is>
      </c>
      <c r="E4136" s="23" t="inlineStr">
        <is>
          <t>Покемон 80-83 54 эл</t>
        </is>
      </c>
      <c r="F4136" s="23" t="inlineStr">
        <is>
          <t>        </t>
        </is>
      </c>
      <c r="G4136" s="23" t="n">
        <v>34</v>
      </c>
      <c r="H4136" s="23" t="n">
        <v>10</v>
      </c>
      <c r="I4136" s="23" t="n">
        <v>40</v>
      </c>
      <c r="J4136" s="23" t="n">
        <v>2000069680012</v>
      </c>
      <c r="K4136" s="23" t="inlineStr">
        <is>
          <t>70x90 1/12</t>
        </is>
      </c>
      <c r="L4136" s="23" t="inlineStr">
        <is>
          <t>мяг</t>
        </is>
      </c>
      <c r="M4136" s="23" t="inlineStr">
        <is>
          <t>    </t>
        </is>
      </c>
      <c r="N4136" s="23" t="inlineStr">
        <is>
          <t>    </t>
        </is>
      </c>
      <c r="O4136" s="23" t="inlineStr">
        <is>
          <t>     </t>
        </is>
      </c>
      <c r="P4136" s="23" t="n"/>
      <c r="Q4136" s="23" t="n"/>
      <c r="R4136" s="25" t="n"/>
      <c r="S4136" s="26">
        <f>HYPERLINK("http://www.cnpol.ru/covers/9670.jpg","фото на сайте")</f>
        <v/>
      </c>
    </row>
    <row r="4137" ht="50.1" customHeight="1" s="3">
      <c r="A4137" s="23" t="n"/>
      <c r="B4137" s="24" t="inlineStr">
        <is>
          <t>9671</t>
        </is>
      </c>
      <c r="C4137" s="23" t="inlineStr">
        <is>
          <t>ПАЗЛЫ</t>
        </is>
      </c>
      <c r="D4137" s="23" t="inlineStr">
        <is>
          <t>Пазлы игрушка</t>
        </is>
      </c>
      <c r="E4137" s="23" t="inlineStr">
        <is>
          <t>Покемон 84-87 54 эл</t>
        </is>
      </c>
      <c r="F4137" s="23" t="inlineStr">
        <is>
          <t>        </t>
        </is>
      </c>
      <c r="G4137" s="23" t="n">
        <v>34</v>
      </c>
      <c r="H4137" s="23" t="n">
        <v>10</v>
      </c>
      <c r="I4137" s="23" t="n">
        <v>40</v>
      </c>
      <c r="J4137" s="23" t="n">
        <v>2000069680011</v>
      </c>
      <c r="K4137" s="23" t="inlineStr">
        <is>
          <t>70x90 1/12</t>
        </is>
      </c>
      <c r="L4137" s="23" t="inlineStr">
        <is>
          <t>мяг</t>
        </is>
      </c>
      <c r="M4137" s="23" t="inlineStr">
        <is>
          <t>    </t>
        </is>
      </c>
      <c r="N4137" s="23" t="inlineStr">
        <is>
          <t>    </t>
        </is>
      </c>
      <c r="O4137" s="23" t="inlineStr">
        <is>
          <t>     </t>
        </is>
      </c>
      <c r="P4137" s="23" t="n"/>
      <c r="Q4137" s="23" t="n"/>
      <c r="R4137" s="25" t="n"/>
      <c r="S4137" s="26">
        <f>HYPERLINK("http://www.cnpol.ru/covers/9671.jpg","фото на сайте")</f>
        <v/>
      </c>
    </row>
    <row r="4138" ht="50.1" customHeight="1" s="3">
      <c r="A4138" s="23" t="n"/>
      <c r="B4138" s="24" t="inlineStr">
        <is>
          <t>9668</t>
        </is>
      </c>
      <c r="C4138" s="23" t="inlineStr">
        <is>
          <t>ПАЗЛЫ</t>
        </is>
      </c>
      <c r="D4138" s="23" t="inlineStr">
        <is>
          <t>Пазлы игрушка</t>
        </is>
      </c>
      <c r="E4138" s="23" t="inlineStr">
        <is>
          <t>Покемон арт 380 54 эл</t>
        </is>
      </c>
      <c r="F4138" s="23" t="inlineStr">
        <is>
          <t>        </t>
        </is>
      </c>
      <c r="G4138" s="23" t="n">
        <v>34</v>
      </c>
      <c r="H4138" s="23" t="n">
        <v>10</v>
      </c>
      <c r="I4138" s="23" t="n">
        <v>40</v>
      </c>
      <c r="J4138" s="23" t="n">
        <v>2000069740013</v>
      </c>
      <c r="K4138" s="23" t="inlineStr">
        <is>
          <t>70x90 1/12</t>
        </is>
      </c>
      <c r="L4138" s="23" t="inlineStr">
        <is>
          <t>мяг</t>
        </is>
      </c>
      <c r="M4138" s="23" t="inlineStr">
        <is>
          <t>    </t>
        </is>
      </c>
      <c r="N4138" s="23" t="inlineStr">
        <is>
          <t>    </t>
        </is>
      </c>
      <c r="O4138" s="23" t="inlineStr">
        <is>
          <t>     </t>
        </is>
      </c>
      <c r="P4138" s="23" t="n"/>
      <c r="Q4138" s="23" t="n"/>
      <c r="R4138" s="25" t="n"/>
      <c r="S4138" s="26">
        <f>HYPERLINK("http://www.cnpol.ru/covers/9668.jpg","фото на сайте")</f>
        <v/>
      </c>
    </row>
    <row r="4139" ht="50.1" customHeight="1" s="3">
      <c r="A4139" s="23" t="n"/>
      <c r="B4139" s="24" t="inlineStr">
        <is>
          <t>9661</t>
        </is>
      </c>
      <c r="C4139" s="23" t="inlineStr">
        <is>
          <t>ПАЗЛЫ</t>
        </is>
      </c>
      <c r="D4139" s="23" t="inlineStr">
        <is>
          <t>Пазлы</t>
        </is>
      </c>
      <c r="E4139" s="23" t="inlineStr">
        <is>
          <t>Покемон арт 381 54 эл</t>
        </is>
      </c>
      <c r="F4139" s="23" t="inlineStr">
        <is>
          <t>        </t>
        </is>
      </c>
      <c r="G4139" s="23" t="n">
        <v>34</v>
      </c>
      <c r="H4139" s="23" t="n">
        <v>10</v>
      </c>
      <c r="I4139" s="23" t="n">
        <v>40</v>
      </c>
      <c r="J4139" s="23" t="n">
        <v>2000069740013</v>
      </c>
      <c r="K4139" s="23" t="inlineStr">
        <is>
          <t>70x90 1/12</t>
        </is>
      </c>
      <c r="L4139" s="23" t="inlineStr">
        <is>
          <t>мяг</t>
        </is>
      </c>
      <c r="M4139" s="23" t="inlineStr">
        <is>
          <t>    </t>
        </is>
      </c>
      <c r="N4139" s="23" t="inlineStr">
        <is>
          <t>    </t>
        </is>
      </c>
      <c r="O4139" s="23" t="inlineStr">
        <is>
          <t>     </t>
        </is>
      </c>
      <c r="P4139" s="23" t="n"/>
      <c r="Q4139" s="23" t="n"/>
      <c r="R4139" s="25" t="n"/>
      <c r="S4139" s="26">
        <f>HYPERLINK("http://www.cnpol.ru/covers/9661.jpg","фото на сайте")</f>
        <v/>
      </c>
    </row>
    <row r="4140" ht="50.1" customHeight="1" s="3">
      <c r="A4140" s="23" t="n"/>
      <c r="B4140" s="24" t="inlineStr">
        <is>
          <t>9662</t>
        </is>
      </c>
      <c r="C4140" s="23" t="inlineStr">
        <is>
          <t>ПАЗЛЫ</t>
        </is>
      </c>
      <c r="D4140" s="23" t="inlineStr">
        <is>
          <t>Пазлы игрушка</t>
        </is>
      </c>
      <c r="E4140" s="23" t="inlineStr">
        <is>
          <t>Покемон арт 382 54 эл</t>
        </is>
      </c>
      <c r="F4140" s="23" t="inlineStr">
        <is>
          <t>        </t>
        </is>
      </c>
      <c r="G4140" s="23" t="n">
        <v>34</v>
      </c>
      <c r="H4140" s="23" t="n">
        <v>10</v>
      </c>
      <c r="I4140" s="23" t="n">
        <v>40</v>
      </c>
      <c r="J4140" s="23" t="n">
        <v>2000069740013</v>
      </c>
      <c r="K4140" s="23" t="inlineStr">
        <is>
          <t>70x90 1/12</t>
        </is>
      </c>
      <c r="L4140" s="23" t="inlineStr">
        <is>
          <t>мяг</t>
        </is>
      </c>
      <c r="M4140" s="23" t="inlineStr">
        <is>
          <t>    </t>
        </is>
      </c>
      <c r="N4140" s="23" t="inlineStr">
        <is>
          <t>    </t>
        </is>
      </c>
      <c r="O4140" s="23" t="inlineStr">
        <is>
          <t>     </t>
        </is>
      </c>
      <c r="P4140" s="23" t="n"/>
      <c r="Q4140" s="23" t="n"/>
      <c r="R4140" s="25" t="n"/>
      <c r="S4140" s="26">
        <f>HYPERLINK("http://www.cnpol.ru/covers/9662.jpg","фото на сайте")</f>
        <v/>
      </c>
    </row>
    <row r="4141" ht="50.1" customHeight="1" s="3">
      <c r="A4141" s="23" t="n"/>
      <c r="B4141" s="24" t="inlineStr">
        <is>
          <t>9669</t>
        </is>
      </c>
      <c r="C4141" s="23" t="inlineStr">
        <is>
          <t>ПАЗЛЫ</t>
        </is>
      </c>
      <c r="D4141" s="23" t="inlineStr">
        <is>
          <t>Пазлы игрушка</t>
        </is>
      </c>
      <c r="E4141" s="23" t="inlineStr">
        <is>
          <t>Покемон арт 383 54 эл</t>
        </is>
      </c>
      <c r="F4141" s="23" t="inlineStr">
        <is>
          <t>        </t>
        </is>
      </c>
      <c r="G4141" s="23" t="n">
        <v>34</v>
      </c>
      <c r="H4141" s="23" t="n">
        <v>10</v>
      </c>
      <c r="I4141" s="23" t="n">
        <v>40</v>
      </c>
      <c r="J4141" s="23" t="n">
        <v>2000069740013</v>
      </c>
      <c r="K4141" s="23" t="inlineStr">
        <is>
          <t>70x90 1/12</t>
        </is>
      </c>
      <c r="L4141" s="23" t="inlineStr">
        <is>
          <t>мяг</t>
        </is>
      </c>
      <c r="M4141" s="23" t="inlineStr">
        <is>
          <t>    </t>
        </is>
      </c>
      <c r="N4141" s="23" t="inlineStr">
        <is>
          <t>    </t>
        </is>
      </c>
      <c r="O4141" s="23" t="inlineStr">
        <is>
          <t>     </t>
        </is>
      </c>
      <c r="P4141" s="23" t="n"/>
      <c r="Q4141" s="23" t="n"/>
      <c r="R4141" s="25" t="n"/>
      <c r="S4141" s="26">
        <f>HYPERLINK("http://www.cnpol.ru/covers/9669.jpg","фото на сайте")</f>
        <v/>
      </c>
    </row>
    <row r="4142" ht="50.1" customHeight="1" s="3">
      <c r="A4142" s="23" t="n"/>
      <c r="B4142" s="24" t="inlineStr">
        <is>
          <t>9672</t>
        </is>
      </c>
      <c r="C4142" s="23" t="inlineStr">
        <is>
          <t>ПАЗЛЫ</t>
        </is>
      </c>
      <c r="D4142" s="23" t="inlineStr">
        <is>
          <t>Пазлы игрушка</t>
        </is>
      </c>
      <c r="E4142" s="23" t="inlineStr">
        <is>
          <t>Покемон арт 490 54 эл</t>
        </is>
      </c>
      <c r="F4142" s="23" t="inlineStr">
        <is>
          <t>        </t>
        </is>
      </c>
      <c r="G4142" s="23" t="n">
        <v>34</v>
      </c>
      <c r="H4142" s="23" t="n">
        <v>10</v>
      </c>
      <c r="I4142" s="23" t="n">
        <v>40</v>
      </c>
      <c r="J4142" s="23" t="n">
        <v>2000069740013</v>
      </c>
      <c r="K4142" s="23" t="inlineStr">
        <is>
          <t>70x90 1/12</t>
        </is>
      </c>
      <c r="L4142" s="23" t="inlineStr">
        <is>
          <t>мяг</t>
        </is>
      </c>
      <c r="M4142" s="23" t="inlineStr">
        <is>
          <t>    </t>
        </is>
      </c>
      <c r="N4142" s="23" t="inlineStr">
        <is>
          <t>    </t>
        </is>
      </c>
      <c r="O4142" s="23" t="inlineStr">
        <is>
          <t>     </t>
        </is>
      </c>
      <c r="P4142" s="23" t="n"/>
      <c r="Q4142" s="23" t="n"/>
      <c r="R4142" s="25" t="n"/>
      <c r="S4142" s="26">
        <f>HYPERLINK("http://www.cnpol.ru/covers/9672.jpg","фото на сайте")</f>
        <v/>
      </c>
    </row>
    <row r="4143" ht="50.1" customHeight="1" s="3">
      <c r="A4143" s="23" t="n"/>
      <c r="B4143" s="24" t="inlineStr">
        <is>
          <t>2902</t>
        </is>
      </c>
      <c r="C4143" s="23" t="inlineStr">
        <is>
          <t>ПБ</t>
        </is>
      </c>
      <c r="D4143" s="23" t="inlineStr">
        <is>
          <t>Арчер В.</t>
        </is>
      </c>
      <c r="E4143" s="23" t="inlineStr">
        <is>
          <t>Алтарь василиска</t>
        </is>
      </c>
      <c r="F4143" s="23" t="inlineStr">
        <is>
          <t>        </t>
        </is>
      </c>
      <c r="G4143" s="23" t="n">
        <v>260</v>
      </c>
      <c r="H4143" s="23" t="n">
        <v>10</v>
      </c>
      <c r="I4143" s="23" t="n">
        <v>12</v>
      </c>
      <c r="J4143" s="23" t="inlineStr">
        <is>
          <t>5-227-01530-9</t>
        </is>
      </c>
      <c r="K4143" s="23" t="inlineStr">
        <is>
          <t>84x108 1/32</t>
        </is>
      </c>
      <c r="L4143" s="23" t="inlineStr">
        <is>
          <t>тв</t>
        </is>
      </c>
      <c r="M4143" s="23" t="n">
        <v>459</v>
      </c>
      <c r="N4143" s="23" t="n">
        <v>2001</v>
      </c>
      <c r="O4143" s="23" t="n">
        <v>356</v>
      </c>
      <c r="P4143" s="23" t="n"/>
      <c r="Q4143" s="23" t="n"/>
      <c r="R4143" s="25" t="inlineStr">
        <is>
          <t>Ради спасения семейной компании Руби Сиборн готова на все: даже пожертвовать собственным счастьем и выйти замуж за врага. Она и не предполагала, что ненавистный человек вдруг станет любовью всей ее жизни…</t>
        </is>
      </c>
      <c r="S4143" s="26">
        <f>HYPERLINK("http://www.cnpol.ru/covers/2902.jpg","фото на сайте")</f>
        <v/>
      </c>
    </row>
    <row r="4144" ht="50.1" customHeight="1" s="3">
      <c r="A4144" s="23" t="n"/>
      <c r="B4144" s="24" t="inlineStr">
        <is>
          <t>2824</t>
        </is>
      </c>
      <c r="C4144" s="23" t="inlineStr">
        <is>
          <t>ПБ</t>
        </is>
      </c>
      <c r="D4144" s="23" t="inlineStr">
        <is>
          <t>Локхард Дж.</t>
        </is>
      </c>
      <c r="E4144" s="23" t="inlineStr">
        <is>
          <t>Восход черного солнца</t>
        </is>
      </c>
      <c r="F4144" s="23" t="inlineStr">
        <is>
          <t>        </t>
        </is>
      </c>
      <c r="G4144" s="23" t="n">
        <v>260</v>
      </c>
      <c r="H4144" s="23" t="n">
        <v>10</v>
      </c>
      <c r="I4144" s="23" t="n">
        <v>10</v>
      </c>
      <c r="J4144" s="23" t="inlineStr">
        <is>
          <t>5-227-01470-1</t>
        </is>
      </c>
      <c r="K4144" s="23" t="inlineStr">
        <is>
          <t>84x108 1/32</t>
        </is>
      </c>
      <c r="L4144" s="23" t="inlineStr">
        <is>
          <t>тв</t>
        </is>
      </c>
      <c r="M4144" s="23" t="n">
        <v>494</v>
      </c>
      <c r="N4144" s="23" t="n">
        <v>2001</v>
      </c>
      <c r="O4144" s="23" t="n">
        <v>370</v>
      </c>
      <c r="P4144" s="23" t="n"/>
      <c r="Q4144" s="23" t="n"/>
      <c r="R4144" s="25" t="inlineStr">
        <is>
          <t>Монотонно и скучно протекала в средневековом замке жизнь служанки Ри - разумной ящерицы-вэйты. Однако после того, как Ри узнает тайну местонахождения Пояса Богов - древнего оружия, за которым уже давно охотятся эльфийские маги, некромант Дрэкхан и могущественный колдун Наследник, - серые будни сменяются вихрем головокружительных приключений...</t>
        </is>
      </c>
      <c r="S4144" s="26">
        <f>HYPERLINK("http://www.cnpol.ru/covers/2824.jpg","фото на сайте")</f>
        <v/>
      </c>
    </row>
    <row r="4145" ht="50.1" customHeight="1" s="3">
      <c r="A4145" s="23" t="n"/>
      <c r="B4145" s="24" t="inlineStr">
        <is>
          <t>2309</t>
        </is>
      </c>
      <c r="C4145" s="23" t="inlineStr">
        <is>
          <t>ПБ</t>
        </is>
      </c>
      <c r="D4145" s="23" t="inlineStr">
        <is>
          <t>Зорич А.</t>
        </is>
      </c>
      <c r="E4145" s="23" t="inlineStr">
        <is>
          <t>Люби и властвуй</t>
        </is>
      </c>
      <c r="F4145" s="23" t="inlineStr">
        <is>
          <t>        </t>
        </is>
      </c>
      <c r="G4145" s="23" t="n">
        <v>260</v>
      </c>
      <c r="H4145" s="23" t="n">
        <v>10</v>
      </c>
      <c r="I4145" s="23" t="n">
        <v>10</v>
      </c>
      <c r="J4145" s="23" t="inlineStr">
        <is>
          <t>5-227-01095-1</t>
        </is>
      </c>
      <c r="K4145" s="23" t="inlineStr">
        <is>
          <t>84x108 1/32</t>
        </is>
      </c>
      <c r="L4145" s="23" t="inlineStr">
        <is>
          <t>тв</t>
        </is>
      </c>
      <c r="M4145" s="23" t="n">
        <v>489</v>
      </c>
      <c r="N4145" s="23" t="n">
        <v>2001</v>
      </c>
      <c r="O4145" s="23" t="n">
        <v>368</v>
      </c>
      <c r="P4145" s="23" t="n"/>
      <c r="Q4145" s="23" t="n"/>
      <c r="R4145" s="25" t="inlineStr">
        <is>
          <t>Рыцарь Эгин состоит в Своде Равновесия - полувоенном религиозном ордене, выполняющем функции инквизиции в государстве Сармонтазара, где под страхом смерти запрещены любые колдовские действия. Однако именно ему волей судьбы приходится стать обладателем древнего боевого механизма, наделенного огромной магической силой. Колдовская машина для убийств обладает собственной волей и соображениями по поводу того, кого ей нужно ликвидировать. Эгин должен остановить чудовищный механизм, поскольку от этого зависит жизнь его возлюбленной...</t>
        </is>
      </c>
      <c r="S4145" s="26">
        <f>HYPERLINK("http://www.cnpol.ru/covers/2309.jpg","фото на сайте")</f>
        <v/>
      </c>
    </row>
    <row r="4146" ht="50.1" customHeight="1" s="3">
      <c r="A4146" s="23" t="n"/>
      <c r="B4146" s="24" t="inlineStr">
        <is>
          <t>2437</t>
        </is>
      </c>
      <c r="C4146" s="23" t="inlineStr">
        <is>
          <t>ПБ</t>
        </is>
      </c>
      <c r="D4146" s="23" t="inlineStr">
        <is>
          <t>Зорич А.</t>
        </is>
      </c>
      <c r="E4146" s="23" t="inlineStr">
        <is>
          <t>Светлое время ночи</t>
        </is>
      </c>
      <c r="F4146" s="23" t="inlineStr">
        <is>
          <t>        </t>
        </is>
      </c>
      <c r="G4146" s="23" t="n">
        <v>260</v>
      </c>
      <c r="H4146" s="23" t="n">
        <v>10</v>
      </c>
      <c r="I4146" s="23" t="n">
        <v>10</v>
      </c>
      <c r="J4146" s="23" t="inlineStr">
        <is>
          <t>5-227-01219-9</t>
        </is>
      </c>
      <c r="K4146" s="23" t="inlineStr">
        <is>
          <t>84x108 1/32</t>
        </is>
      </c>
      <c r="L4146" s="23" t="inlineStr">
        <is>
          <t>тв</t>
        </is>
      </c>
      <c r="M4146" s="23" t="n">
        <v>491</v>
      </c>
      <c r="N4146" s="23" t="n">
        <v>2001</v>
      </c>
      <c r="O4146" s="23" t="n">
        <v>388</v>
      </c>
      <c r="P4146" s="23" t="n"/>
      <c r="Q4146" s="23" t="n"/>
      <c r="R4146" s="25" t="n"/>
      <c r="S4146" s="26">
        <f>HYPERLINK("http://www.cnpol.ru/covers/2437.jpg","фото на сайте")</f>
        <v/>
      </c>
    </row>
    <row r="4147" ht="50.1" customHeight="1" s="3">
      <c r="A4147" s="23" t="n"/>
      <c r="B4147" s="24" t="inlineStr">
        <is>
          <t>2635</t>
        </is>
      </c>
      <c r="C4147" s="23" t="inlineStr">
        <is>
          <t>ПБ</t>
        </is>
      </c>
      <c r="D4147" s="23" t="inlineStr">
        <is>
          <t>Колосов Д.</t>
        </is>
      </c>
      <c r="E4147" s="23" t="inlineStr">
        <is>
          <t>Скифские саги</t>
        </is>
      </c>
      <c r="F4147" s="23" t="inlineStr">
        <is>
          <t>        </t>
        </is>
      </c>
      <c r="G4147" s="23" t="n">
        <v>260</v>
      </c>
      <c r="H4147" s="23" t="n">
        <v>10</v>
      </c>
      <c r="I4147" s="23" t="n">
        <v>10</v>
      </c>
      <c r="J4147" s="23" t="inlineStr">
        <is>
          <t>5-227-01283-0</t>
        </is>
      </c>
      <c r="K4147" s="23" t="inlineStr">
        <is>
          <t>84x108 1/32</t>
        </is>
      </c>
      <c r="L4147" s="23" t="inlineStr">
        <is>
          <t>тв</t>
        </is>
      </c>
      <c r="M4147" s="23" t="n">
        <v>491</v>
      </c>
      <c r="N4147" s="23" t="n">
        <v>2001</v>
      </c>
      <c r="O4147" s="23" t="n">
        <v>394</v>
      </c>
      <c r="P4147" s="23" t="n"/>
      <c r="Q4147" s="23" t="n"/>
      <c r="R4147" s="25" t="n"/>
      <c r="S4147" s="26">
        <f>HYPERLINK("http://www.cnpol.ru/covers/2635.jpg","фото на сайте")</f>
        <v/>
      </c>
    </row>
    <row r="4148" ht="50.1" customHeight="1" s="3">
      <c r="A4148" s="23" t="n"/>
      <c r="B4148" s="24" t="inlineStr">
        <is>
          <t>2783</t>
        </is>
      </c>
      <c r="C4148" s="23" t="inlineStr">
        <is>
          <t>ПБ</t>
        </is>
      </c>
      <c r="D4148" s="23" t="inlineStr">
        <is>
          <t>Арчер В.</t>
        </is>
      </c>
      <c r="E4148" s="23" t="inlineStr">
        <is>
          <t>Храм саламандры</t>
        </is>
      </c>
      <c r="F4148" s="23" t="inlineStr">
        <is>
          <t>        </t>
        </is>
      </c>
      <c r="G4148" s="23" t="n">
        <v>260</v>
      </c>
      <c r="H4148" s="23" t="n">
        <v>10</v>
      </c>
      <c r="I4148" s="23" t="n">
        <v>10</v>
      </c>
      <c r="J4148" s="23" t="inlineStr">
        <is>
          <t>5-227-01284-9</t>
        </is>
      </c>
      <c r="K4148" s="23" t="inlineStr">
        <is>
          <t>84x108 1/32</t>
        </is>
      </c>
      <c r="L4148" s="23" t="inlineStr">
        <is>
          <t>тв</t>
        </is>
      </c>
      <c r="M4148" s="23" t="n">
        <v>459</v>
      </c>
      <c r="N4148" s="23" t="n">
        <v>2001</v>
      </c>
      <c r="O4148" s="23" t="n">
        <v>358</v>
      </c>
      <c r="P4148" s="23" t="n"/>
      <c r="Q4148" s="23" t="n"/>
      <c r="R4148" s="25" t="n"/>
      <c r="S4148" s="26">
        <f>HYPERLINK("http://www.cnpol.ru/covers/2783.jpg","фото на сайте")</f>
        <v/>
      </c>
    </row>
    <row r="4149" ht="50.1" customHeight="1" s="3">
      <c r="A4149" s="23" t="inlineStr">
        <is>
          <t>Н</t>
        </is>
      </c>
      <c r="B4149" s="24" t="inlineStr">
        <is>
          <t>21839</t>
        </is>
      </c>
      <c r="C4149" s="23" t="inlineStr">
        <is>
          <t>ПДР</t>
        </is>
      </c>
      <c r="D4149" s="23" t="inlineStr">
        <is>
          <t>Гинот Хаим Г.</t>
        </is>
      </c>
      <c r="E4149" s="23" t="inlineStr">
        <is>
          <t>Книга для родителей. Развиваем личность ребенка от 3 до 12 лет. Преодолеваем проблемы переходного возраста</t>
        </is>
      </c>
      <c r="F4149" s="23" t="inlineStr">
        <is>
          <t>        </t>
        </is>
      </c>
      <c r="G4149" s="27" t="n">
        <v>1057</v>
      </c>
      <c r="H4149" s="23" t="n">
        <v>10</v>
      </c>
      <c r="I4149" s="23" t="n">
        <v>6</v>
      </c>
      <c r="J4149" s="23" t="inlineStr">
        <is>
          <t>978-5-9524-6534-3</t>
        </is>
      </c>
      <c r="K4149" s="23" t="inlineStr">
        <is>
          <t>84x108 1/32</t>
        </is>
      </c>
      <c r="L4149" s="23" t="inlineStr">
        <is>
          <t>тв</t>
        </is>
      </c>
      <c r="M4149" s="23" t="n">
        <v>352</v>
      </c>
      <c r="N4149" s="23" t="n">
        <v>2025</v>
      </c>
      <c r="O4149" s="23" t="n">
        <v>323</v>
      </c>
      <c r="P4149" s="23" t="n"/>
      <c r="Q4149" s="23" t="n"/>
      <c r="R4149" s="25" t="inlineStr">
        <is>
          <t>Автор книги — известный специалист в области педагогики. Его рекомендации, основанные на богатом профессиональном опыте, открыли миллионам родителей и их детям новые пути к взаимопониманию. Все родители хотят, чтобы их ребенок был счастливым, смелым, уверенным в себе, ответственным за свои поступки. Но всегда ли мы относимся к детям уважительно и понимаем, чем вызваны причины их поведения? Читая эту книгу, вы научитесь правильно выходить из сложных ситуаций. Узнаете, как вести себя, если ребенок капризничает без повода, перестает слушаться, лжет, требует немедленного исполнения своих желаний. Для вас откроется скрытый смысл их порой странных вопросов. Доступные советы, простые и эффективные приемы помогут сформировать психически устойчивую и всесторонне развитую личность своего ребенка. Издание уникально тем, что послужит полезным подспорьем родителям с первых лет жизни их детей до сложного периода взросления.</t>
        </is>
      </c>
      <c r="S4149" s="26">
        <f>HYPERLINK("http://www.cnpol.ru/covers/21839.jpg","фото на сайте")</f>
        <v/>
      </c>
    </row>
    <row r="4150" ht="50.1" customHeight="1" s="3">
      <c r="A4150" s="23" t="n"/>
      <c r="B4150" s="24" t="inlineStr">
        <is>
          <t>10681</t>
        </is>
      </c>
      <c r="C4150" s="23" t="inlineStr">
        <is>
          <t>ПИСЬМА</t>
        </is>
      </c>
      <c r="D4150" s="23" t="inlineStr">
        <is>
          <t>Елкин П.</t>
        </is>
      </c>
      <c r="E4150" s="23" t="inlineStr">
        <is>
          <t>35 родинок: @mail.ru рекомендует</t>
        </is>
      </c>
      <c r="F4150" s="23" t="inlineStr">
        <is>
          <t>        </t>
        </is>
      </c>
      <c r="G4150" s="23" t="n">
        <v>351</v>
      </c>
      <c r="H4150" s="23" t="n">
        <v>10</v>
      </c>
      <c r="I4150" s="23" t="n">
        <v>20</v>
      </c>
      <c r="J4150" s="23" t="inlineStr">
        <is>
          <t>978-5-9524-3693-0</t>
        </is>
      </c>
      <c r="K4150" s="23" t="inlineStr">
        <is>
          <t>70x100 1/32</t>
        </is>
      </c>
      <c r="L4150" s="23" t="inlineStr">
        <is>
          <t>Интегр</t>
        </is>
      </c>
      <c r="M4150" s="23" t="n">
        <v>253</v>
      </c>
      <c r="N4150" s="23" t="n">
        <v>2008</v>
      </c>
      <c r="O4150" s="23" t="n">
        <v>166</v>
      </c>
      <c r="P4150" s="23" t="n"/>
      <c r="Q4150" s="23" t="n"/>
      <c r="R4150" s="25" t="n"/>
      <c r="S4150" s="26">
        <f>HYPERLINK("http://www.cnpol.ru/covers/10681.jpg","фото на сайте")</f>
        <v/>
      </c>
    </row>
    <row r="4151" ht="50.1" customHeight="1" s="3">
      <c r="A4151" s="23" t="n"/>
      <c r="B4151" s="24" t="inlineStr">
        <is>
          <t>10426</t>
        </is>
      </c>
      <c r="C4151" s="23" t="inlineStr">
        <is>
          <t>ПИСЬМА</t>
        </is>
      </c>
      <c r="D4151" s="23" t="inlineStr">
        <is>
          <t>Узун С.</t>
        </is>
      </c>
      <c r="E4151" s="23" t="inlineStr">
        <is>
          <t>Ветер в подстаканниках</t>
        </is>
      </c>
      <c r="F4151" s="23" t="inlineStr">
        <is>
          <t>        </t>
        </is>
      </c>
      <c r="G4151" s="23" t="n">
        <v>351</v>
      </c>
      <c r="H4151" s="23" t="n">
        <v>10</v>
      </c>
      <c r="I4151" s="23" t="n">
        <v>16</v>
      </c>
      <c r="J4151" s="23" t="inlineStr">
        <is>
          <t>978-5-9524-3588-9</t>
        </is>
      </c>
      <c r="K4151" s="23" t="inlineStr">
        <is>
          <t>70x100 1/32</t>
        </is>
      </c>
      <c r="L4151" s="23" t="inlineStr">
        <is>
          <t>Интегр</t>
        </is>
      </c>
      <c r="M4151" s="23" t="n">
        <v>285</v>
      </c>
      <c r="N4151" s="23" t="n">
        <v>2008</v>
      </c>
      <c r="O4151" s="23" t="n">
        <v>178</v>
      </c>
      <c r="P4151" s="23" t="n"/>
      <c r="Q4151" s="23" t="n"/>
      <c r="R4151" s="25" t="inlineStr">
        <is>
          <t>Известный блоггер играючи выдает очередную порцию "спиритических сеансов для взрослых". Не меняя стиля, Узун стремительно кромсает реальность на пестрые клипы, темы которых лежат в недрах нашей генетической памяти: первая любовь Вовочки, сон Веры Павловны, шалости нетрезвого Купидона, закусившего луком... Вас на несколько часов похитят из обыденности и омоют ваши души от пошлости...</t>
        </is>
      </c>
      <c r="S4151" s="26">
        <f>HYPERLINK("http://www.cnpol.ru/covers/10426.jpg","фото на сайте")</f>
        <v/>
      </c>
    </row>
    <row r="4152" ht="50.1" customHeight="1" s="3">
      <c r="A4152" s="23" t="n"/>
      <c r="B4152" s="24" t="inlineStr">
        <is>
          <t>7742</t>
        </is>
      </c>
      <c r="C4152" s="23" t="inlineStr">
        <is>
          <t>ПИСЬМА</t>
        </is>
      </c>
      <c r="D4152" s="23" t="inlineStr">
        <is>
          <t>Мура Мур</t>
        </is>
      </c>
      <c r="E4152" s="23" t="inlineStr">
        <is>
          <t>Камни и жемчуг</t>
        </is>
      </c>
      <c r="F4152" s="23" t="inlineStr">
        <is>
          <t>        </t>
        </is>
      </c>
      <c r="G4152" s="23" t="n">
        <v>351</v>
      </c>
      <c r="H4152" s="23" t="n">
        <v>10</v>
      </c>
      <c r="I4152" s="23" t="n">
        <v>20</v>
      </c>
      <c r="J4152" s="23" t="inlineStr">
        <is>
          <t>978-5-9524-2641-2</t>
        </is>
      </c>
      <c r="K4152" s="23" t="inlineStr">
        <is>
          <t>70x100 1/32</t>
        </is>
      </c>
      <c r="L4152" s="23" t="inlineStr">
        <is>
          <t>Интегр</t>
        </is>
      </c>
      <c r="M4152" s="23" t="n">
        <v>236</v>
      </c>
      <c r="N4152" s="23" t="n">
        <v>2008</v>
      </c>
      <c r="O4152" s="23" t="n">
        <v>170</v>
      </c>
      <c r="P4152" s="23" t="n"/>
      <c r="Q4152" s="23" t="n"/>
      <c r="R4152" s="25" t="inlineStr">
        <is>
          <t>Мир звуков, запахов и чувств, открытый мир нашей современницы, где секунда — и вы уже в Калифорнии, а внутреннее пространство Москвы свободно сопрягается с Европой. Маросейка и Мясницкая легко перетекают в линии судьбы писательницы, которая делится с вами самым интимным— близостью с сокровенным разных городов, их тайнами...</t>
        </is>
      </c>
      <c r="S4152" s="26">
        <f>HYPERLINK("http://www.cnpol.ru/covers/7742.jpg","фото на сайте")</f>
        <v/>
      </c>
    </row>
    <row r="4153" ht="50.1" customHeight="1" s="3">
      <c r="A4153" s="23" t="n"/>
      <c r="B4153" s="24" t="inlineStr">
        <is>
          <t>7283</t>
        </is>
      </c>
      <c r="C4153" s="23" t="inlineStr">
        <is>
          <t>ПИСЬМА</t>
        </is>
      </c>
      <c r="D4153" s="23" t="inlineStr">
        <is>
          <t>Великина Е.</t>
        </is>
      </c>
      <c r="E4153" s="23" t="inlineStr">
        <is>
          <t>От заката до обеда</t>
        </is>
      </c>
      <c r="F4153" s="23" t="inlineStr">
        <is>
          <t>        </t>
        </is>
      </c>
      <c r="G4153" s="23" t="n">
        <v>351</v>
      </c>
      <c r="H4153" s="23" t="n">
        <v>10</v>
      </c>
      <c r="I4153" s="23" t="n">
        <v>16</v>
      </c>
      <c r="J4153" s="23" t="inlineStr">
        <is>
          <t>5-9524-2323-X</t>
        </is>
      </c>
      <c r="K4153" s="23" t="inlineStr">
        <is>
          <t>70x100 1/32</t>
        </is>
      </c>
      <c r="L4153" s="23" t="inlineStr">
        <is>
          <t>Интегр</t>
        </is>
      </c>
      <c r="M4153" s="23" t="n">
        <v>238</v>
      </c>
      <c r="N4153" s="23" t="n">
        <v>2007</v>
      </c>
      <c r="O4153" s="23" t="n">
        <v>170</v>
      </c>
      <c r="P4153" s="23" t="n"/>
      <c r="Q4153" s="23" t="n"/>
      <c r="R4153" s="25" t="n"/>
      <c r="S4153" s="26">
        <f>HYPERLINK("http://www.cnpol.ru/covers/7283.jpg","фото на сайте")</f>
        <v/>
      </c>
    </row>
    <row r="4154" ht="50.1" customHeight="1" s="3">
      <c r="A4154" s="23" t="n"/>
      <c r="B4154" s="24" t="inlineStr">
        <is>
          <t>7584</t>
        </is>
      </c>
      <c r="C4154" s="23" t="inlineStr">
        <is>
          <t>ПИСЬМА</t>
        </is>
      </c>
      <c r="D4154" s="23" t="inlineStr">
        <is>
          <t>Кашапов Р.</t>
        </is>
      </c>
      <c r="E4154" s="23" t="inlineStr">
        <is>
          <t>Стереолистья</t>
        </is>
      </c>
      <c r="F4154" s="23" t="inlineStr">
        <is>
          <t>        </t>
        </is>
      </c>
      <c r="G4154" s="23" t="n">
        <v>351</v>
      </c>
      <c r="H4154" s="23" t="n">
        <v>10</v>
      </c>
      <c r="I4154" s="23" t="n">
        <v>20</v>
      </c>
      <c r="J4154" s="23" t="inlineStr">
        <is>
          <t>5-9524-2546-1</t>
        </is>
      </c>
      <c r="K4154" s="23" t="inlineStr">
        <is>
          <t>70x100 1/32</t>
        </is>
      </c>
      <c r="L4154" s="23" t="inlineStr">
        <is>
          <t>Интегр</t>
        </is>
      </c>
      <c r="M4154" s="23" t="n">
        <v>237</v>
      </c>
      <c r="N4154" s="23" t="n">
        <v>2008</v>
      </c>
      <c r="O4154" s="23" t="n">
        <v>170</v>
      </c>
      <c r="P4154" s="23" t="n"/>
      <c r="Q4154" s="23" t="n"/>
      <c r="R4154" s="25" t="n"/>
      <c r="S4154" s="26">
        <f>HYPERLINK("http://www.cnpol.ru/covers/7584.jpg","фото на сайте")</f>
        <v/>
      </c>
    </row>
    <row r="4155" ht="50.1" customHeight="1" s="3">
      <c r="A4155" s="23" t="n"/>
      <c r="B4155" s="24" t="inlineStr">
        <is>
          <t>10151</t>
        </is>
      </c>
      <c r="C4155" s="23" t="inlineStr">
        <is>
          <t>ПИСЬМА Б</t>
        </is>
      </c>
      <c r="D4155" s="23" t="inlineStr">
        <is>
          <t>Фрир О.</t>
        </is>
      </c>
      <c r="E4155" s="23" t="inlineStr">
        <is>
          <t>UК для начинающих</t>
        </is>
      </c>
      <c r="F4155" s="23" t="inlineStr">
        <is>
          <t>        </t>
        </is>
      </c>
      <c r="G4155" s="23" t="n">
        <v>351</v>
      </c>
      <c r="H4155" s="23" t="n">
        <v>10</v>
      </c>
      <c r="I4155" s="23" t="n">
        <v>20</v>
      </c>
      <c r="J4155" s="23" t="inlineStr">
        <is>
          <t>978-5-9524-3322-9</t>
        </is>
      </c>
      <c r="K4155" s="23" t="inlineStr">
        <is>
          <t>70x100 1/32</t>
        </is>
      </c>
      <c r="L4155" s="23" t="inlineStr">
        <is>
          <t>Интегр</t>
        </is>
      </c>
      <c r="M4155" s="23" t="n">
        <v>223</v>
      </c>
      <c r="N4155" s="23" t="n">
        <v>2008</v>
      </c>
      <c r="O4155" s="23" t="n">
        <v>152</v>
      </c>
      <c r="P4155" s="23" t="n"/>
      <c r="Q4155" s="23" t="n"/>
      <c r="R4155" s="25" t="inlineStr">
        <is>
          <t>Неунывающая москвичка Ольга Фрир энергично осваивает заморские просторы в качестве лондонского обывателя. Ее блог-роман - это калейдоскоп фактов и фактиков, забавных и интересных сюжетов из британской реальности, сдобренных милыми дамскими переживаниями. Книга вышла непринужденной, искренней и забавной, полной мягкого ненатужного юмора с неким русско-британским колоритом.</t>
        </is>
      </c>
      <c r="S4155" s="26">
        <f>HYPERLINK("http://www.cnpol.ru/covers/10151.jpg","фото на сайте")</f>
        <v/>
      </c>
    </row>
    <row r="4156" ht="50.1" customHeight="1" s="3">
      <c r="A4156" s="23" t="n"/>
      <c r="B4156" s="24" t="inlineStr">
        <is>
          <t>10311</t>
        </is>
      </c>
      <c r="C4156" s="23" t="inlineStr">
        <is>
          <t>ПИСЬМА Б</t>
        </is>
      </c>
      <c r="D4156" s="23" t="inlineStr">
        <is>
          <t>Сумнина М.</t>
        </is>
      </c>
      <c r="E4156" s="23" t="inlineStr">
        <is>
          <t>Три мегабайта из Нью-Йорка</t>
        </is>
      </c>
      <c r="F4156" s="23" t="inlineStr">
        <is>
          <t>        </t>
        </is>
      </c>
      <c r="G4156" s="23" t="n">
        <v>351</v>
      </c>
      <c r="H4156" s="23" t="n">
        <v>10</v>
      </c>
      <c r="I4156" s="23" t="n">
        <v>18</v>
      </c>
      <c r="J4156" s="23" t="inlineStr">
        <is>
          <t>978-5-9524-3498-1</t>
        </is>
      </c>
      <c r="K4156" s="23" t="inlineStr">
        <is>
          <t>70x100 1/32</t>
        </is>
      </c>
      <c r="L4156" s="23" t="inlineStr">
        <is>
          <t>Интегр</t>
        </is>
      </c>
      <c r="M4156" s="23" t="n">
        <v>252</v>
      </c>
      <c r="N4156" s="23" t="n">
        <v>2008</v>
      </c>
      <c r="O4156" s="23" t="n">
        <v>154</v>
      </c>
      <c r="P4156" s="23" t="n"/>
      <c r="Q4156" s="23" t="n"/>
      <c r="R4156" s="25" t="n"/>
      <c r="S4156" s="26">
        <f>HYPERLINK("http://www.cnpol.ru/covers/10311.jpg","фото на сайте")</f>
        <v/>
      </c>
    </row>
    <row r="4157" ht="50.1" customHeight="1" s="3">
      <c r="A4157" s="23" t="n"/>
      <c r="B4157" s="24" t="inlineStr">
        <is>
          <t>10683</t>
        </is>
      </c>
      <c r="C4157" s="23" t="inlineStr">
        <is>
          <t>ПИСЬМА Б</t>
        </is>
      </c>
      <c r="D4157" s="23" t="inlineStr">
        <is>
          <t>Доманчук Н.А.</t>
        </is>
      </c>
      <c r="E4157" s="23" t="inlineStr">
        <is>
          <t>ЮАР наизнанку</t>
        </is>
      </c>
      <c r="F4157" s="23" t="inlineStr">
        <is>
          <t>        </t>
        </is>
      </c>
      <c r="G4157" s="23" t="n">
        <v>351</v>
      </c>
      <c r="H4157" s="23" t="n">
        <v>10</v>
      </c>
      <c r="I4157" s="23" t="n">
        <v>24</v>
      </c>
      <c r="J4157" s="23" t="inlineStr">
        <is>
          <t>978-5-9524-3845-3</t>
        </is>
      </c>
      <c r="K4157" s="23" t="inlineStr">
        <is>
          <t>70x100 1/32</t>
        </is>
      </c>
      <c r="L4157" s="23" t="inlineStr">
        <is>
          <t>Интегр</t>
        </is>
      </c>
      <c r="M4157" s="23" t="n">
        <v>220</v>
      </c>
      <c r="N4157" s="23" t="n">
        <v>2008</v>
      </c>
      <c r="O4157" s="23" t="n">
        <v>152</v>
      </c>
      <c r="P4157" s="23" t="n"/>
      <c r="Q4157" s="23" t="n"/>
      <c r="R4157" s="25" t="n"/>
      <c r="S4157" s="26">
        <f>HYPERLINK("http://www.cnpol.ru/covers/10683.jpg","фото на сайте")</f>
        <v/>
      </c>
    </row>
    <row r="4158" ht="50.1" customHeight="1" s="3">
      <c r="A4158" s="23" t="n"/>
      <c r="B4158" s="24" t="inlineStr">
        <is>
          <t>1924</t>
        </is>
      </c>
      <c r="C4158" s="23" t="inlineStr">
        <is>
          <t>ПИТ Б</t>
        </is>
      </c>
      <c r="D4158" s="23" t="n"/>
      <c r="E4158" s="23" t="inlineStr">
        <is>
          <t>Ну за казаков</t>
        </is>
      </c>
      <c r="F4158" s="23" t="inlineStr">
        <is>
          <t>        </t>
        </is>
      </c>
      <c r="G4158" s="23" t="n">
        <v>52</v>
      </c>
      <c r="H4158" s="23" t="n">
        <v>10</v>
      </c>
      <c r="I4158" s="23" t="n">
        <v>24</v>
      </c>
      <c r="J4158" s="23" t="inlineStr">
        <is>
          <t>5-227-00725-X</t>
        </is>
      </c>
      <c r="K4158" s="23" t="inlineStr">
        <is>
          <t>84x108 1/32 (обл)</t>
        </is>
      </c>
      <c r="L4158" s="23" t="inlineStr">
        <is>
          <t>мяг</t>
        </is>
      </c>
      <c r="M4158" s="23" t="n">
        <v>284</v>
      </c>
      <c r="N4158" s="23" t="n">
        <v>2000</v>
      </c>
      <c r="O4158" s="23" t="n">
        <v>172</v>
      </c>
      <c r="P4158" s="23" t="n"/>
      <c r="Q4158" s="23" t="n"/>
      <c r="R4158" s="25" t="n"/>
      <c r="S4158" s="26">
        <f>HYPERLINK("http://www.cnpol.ru/covers/1924.jpg","фото на сайте")</f>
        <v/>
      </c>
    </row>
    <row r="4159" ht="50.1" customHeight="1" s="3">
      <c r="A4159" s="23" t="n"/>
      <c r="B4159" s="24" t="inlineStr">
        <is>
          <t>4400</t>
        </is>
      </c>
      <c r="C4159" s="23" t="inlineStr">
        <is>
          <t>ПЛ</t>
        </is>
      </c>
      <c r="D4159" s="23" t="inlineStr">
        <is>
          <t>Суворов</t>
        </is>
      </c>
      <c r="E4159" s="23" t="inlineStr">
        <is>
          <t>Атеросклероз Диагностика профилактика и лечение</t>
        </is>
      </c>
      <c r="F4159" s="23" t="inlineStr">
        <is>
          <t>        </t>
        </is>
      </c>
      <c r="G4159" s="23" t="n">
        <v>97</v>
      </c>
      <c r="H4159" s="23" t="n">
        <v>10</v>
      </c>
      <c r="I4159" s="23" t="n">
        <v>38</v>
      </c>
      <c r="J4159" s="23" t="inlineStr">
        <is>
          <t>5-9524-0609-2</t>
        </is>
      </c>
      <c r="K4159" s="23" t="inlineStr">
        <is>
          <t>84x108 1/32 (обл)</t>
        </is>
      </c>
      <c r="L4159" s="23" t="inlineStr">
        <is>
          <t>мяг</t>
        </is>
      </c>
      <c r="M4159" s="23" t="inlineStr">
        <is>
          <t>    </t>
        </is>
      </c>
      <c r="N4159" s="23" t="n">
        <v>2003</v>
      </c>
      <c r="O4159" s="23" t="n">
        <v>98</v>
      </c>
      <c r="P4159" s="23" t="n"/>
      <c r="Q4159" s="23" t="n"/>
      <c r="R4159" s="25" t="inlineStr">
        <is>
          <t>В книге "Атеросклероз" освещаются наиболее, важные характеристики этого заболевания, факторы, способствующие развитию и обострению атеросклероза, даны советы по купированию начавшегося обострения, подробно рассмотрены возможные осложнения, появляющиеся при неправильном лечении. Основной акцент делается на профилактические мероприятия - медикаментозные, физиотерапевтические, бальнеологические и курортотерапевтические средства.</t>
        </is>
      </c>
      <c r="S4159" s="26">
        <f>HYPERLINK("http://www.cnpol.ru/covers/4400.jpg","фото на сайте")</f>
        <v/>
      </c>
    </row>
    <row r="4160" ht="50.1" customHeight="1" s="3">
      <c r="A4160" s="23" t="n"/>
      <c r="B4160" s="24" t="inlineStr">
        <is>
          <t>4850</t>
        </is>
      </c>
      <c r="C4160" s="23" t="inlineStr">
        <is>
          <t>ПЛ</t>
        </is>
      </c>
      <c r="D4160" s="23" t="inlineStr">
        <is>
          <t>СМИРНОВ</t>
        </is>
      </c>
      <c r="E4160" s="23" t="inlineStr">
        <is>
          <t>Восстановление и профилактика зрения</t>
        </is>
      </c>
      <c r="F4160" s="23" t="inlineStr">
        <is>
          <t>        </t>
        </is>
      </c>
      <c r="G4160" s="23" t="n">
        <v>97</v>
      </c>
      <c r="H4160" s="23" t="n">
        <v>10</v>
      </c>
      <c r="I4160" s="23" t="n">
        <v>22</v>
      </c>
      <c r="J4160" s="23" t="inlineStr">
        <is>
          <t>5-9524-0976-8</t>
        </is>
      </c>
      <c r="K4160" s="23" t="inlineStr">
        <is>
          <t>70x90 1/12</t>
        </is>
      </c>
      <c r="L4160" s="23" t="inlineStr">
        <is>
          <t>мяг</t>
        </is>
      </c>
      <c r="M4160" s="23" t="n">
        <v>223</v>
      </c>
      <c r="N4160" s="23" t="n">
        <v>2004</v>
      </c>
      <c r="O4160" s="23" t="n">
        <v>140</v>
      </c>
      <c r="P4160" s="23" t="n"/>
      <c r="Q4160" s="23" t="n"/>
      <c r="R4160" s="25" t="inlineStr">
        <is>
          <t>Многие начинают заботиться о здоровье своего зрительного аппарата лишь тогда, когда замечают, что у них резко ухудшилось зрение, в то время как это можно было бы предотвратить задолго до проявления первых симптомом его изменений в негативную сторону._x000D_
Так что, дорогие читатели, стоит начать заботиться о своих глазах прямо сейчас! А предложенная вашему вниманию книга поможет вам в этом.</t>
        </is>
      </c>
      <c r="S4160" s="26">
        <f>HYPERLINK("http://www.cnpol.ru/covers/4850.jpg","фото на сайте")</f>
        <v/>
      </c>
    </row>
    <row r="4161" ht="50.1" customHeight="1" s="3">
      <c r="A4161" s="23" t="n"/>
      <c r="B4161" s="24" t="inlineStr">
        <is>
          <t>5330</t>
        </is>
      </c>
      <c r="C4161" s="23" t="inlineStr">
        <is>
          <t>ПЛ</t>
        </is>
      </c>
      <c r="D4161" s="23" t="inlineStr">
        <is>
          <t>Теплов</t>
        </is>
      </c>
      <c r="E4161" s="23" t="inlineStr">
        <is>
          <t>Все о женских половых инфекциях</t>
        </is>
      </c>
      <c r="F4161" s="23" t="inlineStr">
        <is>
          <t>        </t>
        </is>
      </c>
      <c r="G4161" s="23" t="n">
        <v>88</v>
      </c>
      <c r="H4161" s="23" t="n">
        <v>10</v>
      </c>
      <c r="I4161" s="23" t="n">
        <v>16</v>
      </c>
      <c r="J4161" s="23" t="inlineStr">
        <is>
          <t>5-9524-1403-6</t>
        </is>
      </c>
      <c r="K4161" s="23" t="inlineStr">
        <is>
          <t>84x108 1/32 (обл)</t>
        </is>
      </c>
      <c r="L4161" s="23" t="inlineStr">
        <is>
          <t>мяг</t>
        </is>
      </c>
      <c r="M4161" s="23" t="n">
        <v>160</v>
      </c>
      <c r="N4161" s="23" t="n">
        <v>2004</v>
      </c>
      <c r="O4161" s="23" t="n">
        <v>96</v>
      </c>
      <c r="P4161" s="23" t="n"/>
      <c r="Q4161" s="23" t="n"/>
      <c r="R4161" s="25" t="inlineStr">
        <is>
          <t>Книга знакомит с основными типами и классификацией заболеваний, передающихся половым путем, их симптомами, клиническими проявлениями, традиционными и нетрадиционными методами лечения и прафилактики.</t>
        </is>
      </c>
      <c r="S4161" s="26">
        <f>HYPERLINK("http://www.cnpol.ru/covers/5330.jpg","фото на сайте")</f>
        <v/>
      </c>
    </row>
    <row r="4162" ht="50.1" customHeight="1" s="3">
      <c r="A4162" s="23" t="n"/>
      <c r="B4162" s="24" t="inlineStr">
        <is>
          <t>7702</t>
        </is>
      </c>
      <c r="C4162" s="23" t="inlineStr">
        <is>
          <t>ПЛ</t>
        </is>
      </c>
      <c r="D4162" s="23" t="inlineStr">
        <is>
          <t>Группа</t>
        </is>
      </c>
      <c r="E4162" s="23" t="inlineStr">
        <is>
          <t>Лечебные свойства алкоголя</t>
        </is>
      </c>
      <c r="F4162" s="23" t="inlineStr">
        <is>
          <t>        </t>
        </is>
      </c>
      <c r="G4162" s="23" t="n">
        <v>123</v>
      </c>
      <c r="H4162" s="23" t="n">
        <v>10</v>
      </c>
      <c r="I4162" s="23" t="n">
        <v>30</v>
      </c>
      <c r="J4162" s="23" t="inlineStr">
        <is>
          <t>978-5-9524-2633-7</t>
        </is>
      </c>
      <c r="K4162" s="23" t="inlineStr">
        <is>
          <t>84x108 1/32 (обл)</t>
        </is>
      </c>
      <c r="L4162" s="23" t="inlineStr">
        <is>
          <t>мяг</t>
        </is>
      </c>
      <c r="M4162" s="23" t="n">
        <v>140</v>
      </c>
      <c r="N4162" s="23" t="n">
        <v>2008</v>
      </c>
      <c r="O4162" s="23" t="n">
        <v>90</v>
      </c>
      <c r="P4162" s="23" t="n"/>
      <c r="Q4162" s="23" t="n"/>
      <c r="R4162" s="25" t="inlineStr">
        <is>
          <t>В этой книге рассматриваются лечебные свойства алкоголя на основе традиционных и современных воззрений.|Издревле известно влияние спиртных напитков на организм человека. Однако в народе традиционно сложилось, что при любом застолье без алкогольных напитков не обходятся. Что так привлекает людей к спиртному и что полезно в этих традициях?</t>
        </is>
      </c>
      <c r="S4162" s="26">
        <f>HYPERLINK("http://www.cnpol.ru/covers/7702.jpg","фото на сайте")</f>
        <v/>
      </c>
    </row>
    <row r="4163" ht="50.1" customHeight="1" s="3">
      <c r="A4163" s="23" t="n"/>
      <c r="B4163" s="24" t="inlineStr">
        <is>
          <t>6223</t>
        </is>
      </c>
      <c r="C4163" s="23" t="inlineStr">
        <is>
          <t>ПЛ</t>
        </is>
      </c>
      <c r="D4163" s="23" t="inlineStr">
        <is>
          <t>Бурдейный</t>
        </is>
      </c>
      <c r="E4163" s="23" t="inlineStr">
        <is>
          <t>Лечение водой</t>
        </is>
      </c>
      <c r="F4163" s="23" t="inlineStr">
        <is>
          <t>        </t>
        </is>
      </c>
      <c r="G4163" s="23" t="n">
        <v>97</v>
      </c>
      <c r="H4163" s="23" t="n">
        <v>10</v>
      </c>
      <c r="I4163" s="23" t="n">
        <v>40</v>
      </c>
      <c r="J4163" s="23" t="inlineStr">
        <is>
          <t>5-9524-2026-5</t>
        </is>
      </c>
      <c r="K4163" s="23" t="inlineStr">
        <is>
          <t>70x90 1/32</t>
        </is>
      </c>
      <c r="L4163" s="23" t="inlineStr">
        <is>
          <t>мяг</t>
        </is>
      </c>
      <c r="M4163" s="23" t="n">
        <v>127</v>
      </c>
      <c r="N4163" s="23" t="n">
        <v>2005</v>
      </c>
      <c r="O4163" s="23" t="n">
        <v>58</v>
      </c>
      <c r="P4163" s="23" t="n"/>
      <c r="Q4163" s="23" t="n"/>
      <c r="R4163" s="25" t="inlineStr">
        <is>
          <t>Эта книга целиком посвящена лечению водой — явлению, глубоко и прочно вошедшему в образ жизни русского человека. Авторы рассказывают о традициях русской бани, правилах принятия банных процедур, косметических средствах, прохладительных и целебных напитках — словом, обо всем том, что необходимо знать каждому, кто собирается обрести бодрость, здоровье.</t>
        </is>
      </c>
      <c r="S4163" s="26">
        <f>HYPERLINK("http://www.cnpol.ru/covers/6223.jpg","фото на сайте")</f>
        <v/>
      </c>
    </row>
    <row r="4164" ht="50.1" customHeight="1" s="3">
      <c r="A4164" s="23" t="n"/>
      <c r="B4164" s="24" t="inlineStr">
        <is>
          <t>6349</t>
        </is>
      </c>
      <c r="C4164" s="23" t="inlineStr">
        <is>
          <t>ПЛ</t>
        </is>
      </c>
      <c r="D4164" s="23" t="inlineStr">
        <is>
          <t>Куликова</t>
        </is>
      </c>
      <c r="E4164" s="23" t="inlineStr">
        <is>
          <t>Лечение золотым усом</t>
        </is>
      </c>
      <c r="F4164" s="23" t="inlineStr">
        <is>
          <t>        </t>
        </is>
      </c>
      <c r="G4164" s="23" t="n">
        <v>97</v>
      </c>
      <c r="H4164" s="23" t="n">
        <v>10</v>
      </c>
      <c r="I4164" s="23" t="n">
        <v>40</v>
      </c>
      <c r="J4164" s="23" t="inlineStr">
        <is>
          <t>5-9524-2088-5</t>
        </is>
      </c>
      <c r="K4164" s="23" t="inlineStr">
        <is>
          <t>70x90 1/32</t>
        </is>
      </c>
      <c r="L4164" s="23" t="inlineStr">
        <is>
          <t>мяг</t>
        </is>
      </c>
      <c r="M4164" s="23" t="n">
        <v>127</v>
      </c>
      <c r="N4164" s="23" t="n">
        <v>2007</v>
      </c>
      <c r="O4164" s="23" t="n">
        <v>56</v>
      </c>
      <c r="P4164" s="23" t="n"/>
      <c r="Q4164" s="23" t="n"/>
      <c r="R4164" s="25" t="inlineStr">
        <is>
          <t>Золотой ус — настоящая кладовая полезных веществ. Практически доказано, что препараты на основе этого растения эффективны при многих заболеваниях желудочно-кишечного тракта, органов дыхания, при поражениях кожи и соединительной ткани. Вещества, входящие в состав растения, выводят из организма шлаки и токсины.</t>
        </is>
      </c>
      <c r="S4164" s="26">
        <f>HYPERLINK("http://www.cnpol.ru/covers/6349.jpg","фото на сайте")</f>
        <v/>
      </c>
    </row>
    <row r="4165" ht="50.1" customHeight="1" s="3">
      <c r="A4165" s="23" t="n"/>
      <c r="B4165" s="24" t="inlineStr">
        <is>
          <t>6118</t>
        </is>
      </c>
      <c r="C4165" s="23" t="inlineStr">
        <is>
          <t>ПЛ</t>
        </is>
      </c>
      <c r="D4165" s="23" t="inlineStr">
        <is>
          <t>Андреева</t>
        </is>
      </c>
      <c r="E4165" s="23" t="inlineStr">
        <is>
          <t>Лечение индийским луком</t>
        </is>
      </c>
      <c r="F4165" s="23" t="inlineStr">
        <is>
          <t>        </t>
        </is>
      </c>
      <c r="G4165" s="23" t="n">
        <v>97</v>
      </c>
      <c r="H4165" s="23" t="n">
        <v>10</v>
      </c>
      <c r="I4165" s="23" t="n">
        <v>40</v>
      </c>
      <c r="J4165" s="23" t="inlineStr">
        <is>
          <t>5-9524-1892-9</t>
        </is>
      </c>
      <c r="K4165" s="23" t="inlineStr">
        <is>
          <t>70x90 1/32</t>
        </is>
      </c>
      <c r="L4165" s="23" t="inlineStr">
        <is>
          <t>мяг</t>
        </is>
      </c>
      <c r="M4165" s="23" t="n">
        <v>127</v>
      </c>
      <c r="N4165" s="23" t="n">
        <v>2005</v>
      </c>
      <c r="O4165" s="23" t="n">
        <v>58</v>
      </c>
      <c r="P4165" s="23" t="n"/>
      <c r="Q4165" s="23" t="n"/>
      <c r="R4165" s="25" t="inlineStr">
        <is>
          <t>Индийский лук зарекомендовал себя как проверенное и эффективное лекарственное средство. Он помогает при подагре, артрите, отложениях солей, опухолях, травмах и ушибах, простудных заболеваниях, снимает головную и зубную боль. В книге приводятся рецепты лечебных средств на основе индийского лука, а также советы по его выращиванию в домашних условиях.</t>
        </is>
      </c>
      <c r="S4165" s="26">
        <f>HYPERLINK("http://www.cnpol.ru/covers/6118.jpg","фото на сайте")</f>
        <v/>
      </c>
    </row>
    <row r="4166" ht="50.1" customHeight="1" s="3">
      <c r="A4166" s="23" t="n"/>
      <c r="B4166" s="24" t="inlineStr">
        <is>
          <t>6224</t>
        </is>
      </c>
      <c r="C4166" s="23" t="inlineStr">
        <is>
          <t>ПЛ</t>
        </is>
      </c>
      <c r="D4166" s="23" t="inlineStr">
        <is>
          <t>Дубровская</t>
        </is>
      </c>
      <c r="E4166" s="23" t="inlineStr">
        <is>
          <t>Лечение мастопатии травами</t>
        </is>
      </c>
      <c r="F4166" s="23" t="inlineStr">
        <is>
          <t>        </t>
        </is>
      </c>
      <c r="G4166" s="23" t="n">
        <v>97</v>
      </c>
      <c r="H4166" s="23" t="n">
        <v>10</v>
      </c>
      <c r="I4166" s="23" t="n">
        <v>40</v>
      </c>
      <c r="J4166" s="23" t="inlineStr">
        <is>
          <t>5-9524-2030-3</t>
        </is>
      </c>
      <c r="K4166" s="23" t="inlineStr">
        <is>
          <t>70x90 1/32</t>
        </is>
      </c>
      <c r="L4166" s="23" t="inlineStr">
        <is>
          <t>мяг</t>
        </is>
      </c>
      <c r="M4166" s="23" t="n">
        <v>127</v>
      </c>
      <c r="N4166" s="23" t="n">
        <v>2005</v>
      </c>
      <c r="O4166" s="23" t="n">
        <v>56</v>
      </c>
      <c r="P4166" s="23" t="n"/>
      <c r="Q4166" s="23" t="n"/>
      <c r="R4166" s="25" t="inlineStr">
        <is>
          <t>В предлагаемой книге любая женщина сможет найти ответы на интересующие ее вопросы по поводу своевременной диагностики, первых симптомов мастопатии, а также советы относительно лечения данного заболевания.</t>
        </is>
      </c>
      <c r="S4166" s="26">
        <f>HYPERLINK("http://www.cnpol.ru/covers/6224.jpg","фото на сайте")</f>
        <v/>
      </c>
    </row>
    <row r="4167" ht="50.1" customHeight="1" s="3">
      <c r="A4167" s="23" t="n"/>
      <c r="B4167" s="24" t="inlineStr">
        <is>
          <t>6117</t>
        </is>
      </c>
      <c r="C4167" s="23" t="inlineStr">
        <is>
          <t>ПЛ</t>
        </is>
      </c>
      <c r="D4167" s="23" t="inlineStr">
        <is>
          <t>Дубровская</t>
        </is>
      </c>
      <c r="E4167" s="23" t="inlineStr">
        <is>
          <t>Лечение элеутерококком</t>
        </is>
      </c>
      <c r="F4167" s="23" t="inlineStr">
        <is>
          <t>        </t>
        </is>
      </c>
      <c r="G4167" s="23" t="n">
        <v>97</v>
      </c>
      <c r="H4167" s="23" t="n">
        <v>10</v>
      </c>
      <c r="I4167" s="23" t="n">
        <v>40</v>
      </c>
      <c r="J4167" s="23" t="inlineStr">
        <is>
          <t>5-9524-1893-7</t>
        </is>
      </c>
      <c r="K4167" s="23" t="inlineStr">
        <is>
          <t>70x90 1/32</t>
        </is>
      </c>
      <c r="L4167" s="23" t="inlineStr">
        <is>
          <t>мяг</t>
        </is>
      </c>
      <c r="M4167" s="23" t="n">
        <v>127</v>
      </c>
      <c r="N4167" s="23" t="n">
        <v>2005</v>
      </c>
      <c r="O4167" s="23" t="n">
        <v>56</v>
      </c>
      <c r="P4167" s="23" t="n"/>
      <c r="Q4167" s="23" t="n"/>
      <c r="R4167" s="25" t="inlineStr">
        <is>
          <t>В книге даны сведения об уникальном дальневос-точном кустарнике — элеутерококке диком перце. Немногим известно, что данный вид превосходит своими лечебными свойствами знаменитый женьшень. Это замечательное растение избавит вас от многих болезней, таких как бессонница, бронхит, остеохондроз...</t>
        </is>
      </c>
      <c r="S4167" s="26">
        <f>HYPERLINK("http://www.cnpol.ru/covers/6117.jpg","фото на сайте")</f>
        <v/>
      </c>
    </row>
    <row r="4168" ht="50.1" customHeight="1" s="3">
      <c r="A4168" s="23" t="n"/>
      <c r="B4168" s="24" t="inlineStr">
        <is>
          <t>5322</t>
        </is>
      </c>
      <c r="C4168" s="23" t="inlineStr">
        <is>
          <t>ПЛ</t>
        </is>
      </c>
      <c r="D4168" s="23" t="inlineStr">
        <is>
          <t>Дмитриева</t>
        </is>
      </c>
      <c r="E4168" s="23" t="inlineStr">
        <is>
          <t>Мед ваш домашний доктор</t>
        </is>
      </c>
      <c r="F4168" s="23" t="inlineStr">
        <is>
          <t>        </t>
        </is>
      </c>
      <c r="G4168" s="23" t="n">
        <v>97</v>
      </c>
      <c r="H4168" s="23" t="n">
        <v>10</v>
      </c>
      <c r="I4168" s="23" t="n">
        <v>40</v>
      </c>
      <c r="J4168" s="23" t="inlineStr">
        <is>
          <t>5-9524-1401-X</t>
        </is>
      </c>
      <c r="K4168" s="23" t="inlineStr">
        <is>
          <t>70x90 1/32</t>
        </is>
      </c>
      <c r="L4168" s="23" t="inlineStr">
        <is>
          <t>мяг</t>
        </is>
      </c>
      <c r="M4168" s="23" t="n">
        <v>156</v>
      </c>
      <c r="N4168" s="23" t="n">
        <v>2004</v>
      </c>
      <c r="O4168" s="23" t="n">
        <v>72</v>
      </c>
      <c r="P4168" s="23" t="n"/>
      <c r="Q4168" s="23" t="n"/>
      <c r="R4168" s="25" t="n"/>
      <c r="S4168" s="26">
        <f>HYPERLINK("http://www.cnpol.ru/covers/5322.jpg","фото на сайте")</f>
        <v/>
      </c>
    </row>
    <row r="4169" ht="50.1" customHeight="1" s="3">
      <c r="A4169" s="23" t="n"/>
      <c r="B4169" s="24" t="inlineStr">
        <is>
          <t>4599</t>
        </is>
      </c>
      <c r="C4169" s="23" t="inlineStr">
        <is>
          <t>ПЛ</t>
        </is>
      </c>
      <c r="D4169" s="23" t="inlineStr">
        <is>
          <t>Трошин</t>
        </is>
      </c>
      <c r="E4169" s="23" t="inlineStr">
        <is>
          <t>Погода и здоровье</t>
        </is>
      </c>
      <c r="F4169" s="23" t="inlineStr">
        <is>
          <t>        </t>
        </is>
      </c>
      <c r="G4169" s="23" t="n">
        <v>52</v>
      </c>
      <c r="H4169" s="23" t="n">
        <v>10</v>
      </c>
      <c r="I4169" s="23" t="n">
        <v>30</v>
      </c>
      <c r="J4169" s="23" t="inlineStr">
        <is>
          <t>5-9524-0593-2</t>
        </is>
      </c>
      <c r="K4169" s="23" t="inlineStr">
        <is>
          <t>84x108 1/32 (обл)</t>
        </is>
      </c>
      <c r="L4169" s="23" t="inlineStr">
        <is>
          <t>мяг</t>
        </is>
      </c>
      <c r="M4169" s="23" t="inlineStr">
        <is>
          <t>    </t>
        </is>
      </c>
      <c r="N4169" s="23" t="inlineStr">
        <is>
          <t>    </t>
        </is>
      </c>
      <c r="O4169" s="23" t="inlineStr">
        <is>
          <t>     </t>
        </is>
      </c>
      <c r="P4169" s="23" t="n"/>
      <c r="Q4169" s="23" t="n"/>
      <c r="R4169" s="25" t="n"/>
      <c r="S4169" s="26">
        <f>HYPERLINK("http://www.cnpol.ru/covers/4599.jpg","фото на сайте")</f>
        <v/>
      </c>
    </row>
    <row r="4170" ht="50.1" customHeight="1" s="3">
      <c r="A4170" s="23" t="n"/>
      <c r="B4170" s="24" t="inlineStr">
        <is>
          <t>4226</t>
        </is>
      </c>
      <c r="C4170" s="23" t="inlineStr">
        <is>
          <t>ПЛ</t>
        </is>
      </c>
      <c r="D4170" s="23" t="inlineStr">
        <is>
          <t>Трошин</t>
        </is>
      </c>
      <c r="E4170" s="23" t="inlineStr">
        <is>
          <t>Погода и здоровье</t>
        </is>
      </c>
      <c r="F4170" s="23" t="inlineStr">
        <is>
          <t>        </t>
        </is>
      </c>
      <c r="G4170" s="23" t="n">
        <v>62</v>
      </c>
      <c r="H4170" s="23" t="n">
        <v>10</v>
      </c>
      <c r="I4170" s="23" t="n">
        <v>36</v>
      </c>
      <c r="J4170" s="23" t="inlineStr">
        <is>
          <t>5-9524-0593-2</t>
        </is>
      </c>
      <c r="K4170" s="23" t="inlineStr">
        <is>
          <t>84x108 1/32 (обл)</t>
        </is>
      </c>
      <c r="L4170" s="23" t="inlineStr">
        <is>
          <t>мяг</t>
        </is>
      </c>
      <c r="M4170" s="23" t="inlineStr">
        <is>
          <t>    </t>
        </is>
      </c>
      <c r="N4170" s="23" t="inlineStr">
        <is>
          <t>    </t>
        </is>
      </c>
      <c r="O4170" s="23" t="inlineStr">
        <is>
          <t>     </t>
        </is>
      </c>
      <c r="P4170" s="23" t="n"/>
      <c r="Q4170" s="23" t="n"/>
      <c r="R4170" s="25" t="n"/>
      <c r="S4170" s="26">
        <f>HYPERLINK("http://www.cnpol.ru/covers/4226.jpg","фото на сайте")</f>
        <v/>
      </c>
    </row>
    <row r="4171" ht="50.1" customHeight="1" s="3">
      <c r="A4171" s="23" t="n"/>
      <c r="B4171" s="24" t="inlineStr">
        <is>
          <t>4713</t>
        </is>
      </c>
      <c r="C4171" s="23" t="inlineStr">
        <is>
          <t>ПЛ</t>
        </is>
      </c>
      <c r="D4171" s="23" t="inlineStr">
        <is>
          <t>Трошин</t>
        </is>
      </c>
      <c r="E4171" s="23" t="inlineStr">
        <is>
          <t>Погода и здоровье</t>
        </is>
      </c>
      <c r="F4171" s="23" t="inlineStr">
        <is>
          <t>        </t>
        </is>
      </c>
      <c r="G4171" s="23" t="n">
        <v>97</v>
      </c>
      <c r="H4171" s="23" t="n">
        <v>10</v>
      </c>
      <c r="I4171" s="23" t="n">
        <v>30</v>
      </c>
      <c r="J4171" s="23" t="inlineStr">
        <is>
          <t>5-9524-0593-2</t>
        </is>
      </c>
      <c r="K4171" s="23" t="inlineStr">
        <is>
          <t>70x90 1/12</t>
        </is>
      </c>
      <c r="L4171" s="23" t="inlineStr">
        <is>
          <t>мяг</t>
        </is>
      </c>
      <c r="M4171" s="23" t="n">
        <v>191</v>
      </c>
      <c r="N4171" s="23" t="n">
        <v>2004</v>
      </c>
      <c r="O4171" s="23" t="n">
        <v>118</v>
      </c>
      <c r="P4171" s="23" t="n"/>
      <c r="Q4171" s="23" t="n"/>
      <c r="R4171" s="25" t="n"/>
      <c r="S4171" s="26">
        <f>HYPERLINK("http://www.cnpol.ru/covers/4713.jpg","фото на сайте")</f>
        <v/>
      </c>
    </row>
    <row r="4172" ht="50.1" customHeight="1" s="3">
      <c r="A4172" s="23" t="n"/>
      <c r="B4172" s="24" t="inlineStr">
        <is>
          <t>3997</t>
        </is>
      </c>
      <c r="C4172" s="23" t="inlineStr">
        <is>
          <t>ПЛ</t>
        </is>
      </c>
      <c r="D4172" s="23" t="inlineStr">
        <is>
          <t>Суворов</t>
        </is>
      </c>
      <c r="E4172" s="23" t="inlineStr">
        <is>
          <t>Простатит Диагностика профилактика</t>
        </is>
      </c>
      <c r="F4172" s="23" t="inlineStr">
        <is>
          <t>        </t>
        </is>
      </c>
      <c r="G4172" s="23" t="n">
        <v>48</v>
      </c>
      <c r="H4172" s="23" t="n">
        <v>10</v>
      </c>
      <c r="I4172" s="23" t="n">
        <v>30</v>
      </c>
      <c r="J4172" s="23" t="inlineStr">
        <is>
          <t>5-9524-0382-4</t>
        </is>
      </c>
      <c r="K4172" s="23" t="inlineStr">
        <is>
          <t>84x108 1/32 (обл)</t>
        </is>
      </c>
      <c r="L4172" s="23" t="inlineStr">
        <is>
          <t>мяг</t>
        </is>
      </c>
      <c r="M4172" s="23" t="inlineStr">
        <is>
          <t>    </t>
        </is>
      </c>
      <c r="N4172" s="23" t="inlineStr">
        <is>
          <t>    </t>
        </is>
      </c>
      <c r="O4172" s="23" t="n">
        <v>116</v>
      </c>
      <c r="P4172" s="23" t="n"/>
      <c r="Q4172" s="23" t="n"/>
      <c r="R4172" s="25" t="n"/>
      <c r="S4172" s="26">
        <f>HYPERLINK("http://www.cnpol.ru/covers/3997.jpg","фото на сайте")</f>
        <v/>
      </c>
    </row>
    <row r="4173" ht="50.1" customHeight="1" s="3">
      <c r="A4173" s="23" t="n"/>
      <c r="B4173" s="24" t="inlineStr">
        <is>
          <t>5656</t>
        </is>
      </c>
      <c r="C4173" s="23" t="inlineStr">
        <is>
          <t>ПЛ</t>
        </is>
      </c>
      <c r="D4173" s="23" t="inlineStr">
        <is>
          <t>Суворов</t>
        </is>
      </c>
      <c r="E4173" s="23" t="inlineStr">
        <is>
          <t>Простатит Диагностика профилактика</t>
        </is>
      </c>
      <c r="F4173" s="23" t="inlineStr">
        <is>
          <t>        </t>
        </is>
      </c>
      <c r="G4173" s="23" t="n">
        <v>68</v>
      </c>
      <c r="H4173" s="23" t="n">
        <v>10</v>
      </c>
      <c r="I4173" s="23" t="n">
        <v>30</v>
      </c>
      <c r="J4173" s="23" t="inlineStr">
        <is>
          <t>5-9524-0382-4</t>
        </is>
      </c>
      <c r="K4173" s="23" t="inlineStr">
        <is>
          <t>84x108 1/32 (обл)</t>
        </is>
      </c>
      <c r="L4173" s="23" t="inlineStr">
        <is>
          <t>мяг</t>
        </is>
      </c>
      <c r="M4173" s="23" t="n">
        <v>187</v>
      </c>
      <c r="N4173" s="23" t="n">
        <v>2005</v>
      </c>
      <c r="O4173" s="23" t="n">
        <v>120</v>
      </c>
      <c r="P4173" s="23" t="n"/>
      <c r="Q4173" s="23" t="n"/>
      <c r="R4173" s="25" t="n"/>
      <c r="S4173" s="26">
        <f>HYPERLINK("http://www.cnpol.ru/covers/5656.jpg","фото на сайте")</f>
        <v/>
      </c>
    </row>
    <row r="4174" ht="50.1" customHeight="1" s="3">
      <c r="A4174" s="23" t="n"/>
      <c r="B4174" s="24" t="inlineStr">
        <is>
          <t>5344</t>
        </is>
      </c>
      <c r="C4174" s="23" t="inlineStr">
        <is>
          <t>ПЛ</t>
        </is>
      </c>
      <c r="D4174" s="23" t="inlineStr">
        <is>
          <t>Дмитриева</t>
        </is>
      </c>
      <c r="E4174" s="23" t="inlineStr">
        <is>
          <t>Чеснок ваш домашний доктор</t>
        </is>
      </c>
      <c r="F4174" s="23" t="inlineStr">
        <is>
          <t>        </t>
        </is>
      </c>
      <c r="G4174" s="23" t="n">
        <v>88</v>
      </c>
      <c r="H4174" s="23" t="n">
        <v>10</v>
      </c>
      <c r="I4174" s="23" t="n">
        <v>40</v>
      </c>
      <c r="J4174" s="23" t="inlineStr">
        <is>
          <t>5-9524-1402-8</t>
        </is>
      </c>
      <c r="K4174" s="23" t="inlineStr">
        <is>
          <t>70x90 1/32</t>
        </is>
      </c>
      <c r="L4174" s="23" t="inlineStr">
        <is>
          <t>мяг</t>
        </is>
      </c>
      <c r="M4174" s="23" t="n">
        <v>156</v>
      </c>
      <c r="N4174" s="23" t="n">
        <v>2004</v>
      </c>
      <c r="O4174" s="23" t="n">
        <v>72</v>
      </c>
      <c r="P4174" s="23" t="n"/>
      <c r="Q4174" s="23" t="n"/>
      <c r="R4174" s="25" t="n"/>
      <c r="S4174" s="26">
        <f>HYPERLINK("http://www.cnpol.ru/covers/5344.jpg","фото на сайте")</f>
        <v/>
      </c>
    </row>
    <row r="4175" ht="50.1" customHeight="1" s="3">
      <c r="A4175" s="23" t="inlineStr">
        <is>
          <t>Н</t>
        </is>
      </c>
      <c r="B4175" s="24" t="inlineStr">
        <is>
          <t>22245</t>
        </is>
      </c>
      <c r="C4175" s="23" t="inlineStr">
        <is>
          <t>ПЛЕЙДИ</t>
        </is>
      </c>
      <c r="D4175" s="23" t="inlineStr">
        <is>
          <t>Плейди Д.</t>
        </is>
      </c>
      <c r="E4175" s="23" t="inlineStr">
        <is>
          <t>Безрассудная королева</t>
        </is>
      </c>
      <c r="F4175" s="23" t="inlineStr">
        <is>
          <t>        </t>
        </is>
      </c>
      <c r="G4175" s="27" t="n">
        <v>1110</v>
      </c>
      <c r="H4175" s="23" t="n">
        <v>10</v>
      </c>
      <c r="I4175" s="23" t="n">
        <v>10</v>
      </c>
      <c r="J4175" s="23" t="inlineStr">
        <is>
          <t>978-5-9524-6725-5</t>
        </is>
      </c>
      <c r="K4175" s="23" t="inlineStr">
        <is>
          <t>84x108 1/32</t>
        </is>
      </c>
      <c r="L4175" s="23" t="inlineStr">
        <is>
          <t>тв</t>
        </is>
      </c>
      <c r="M4175" s="23" t="n">
        <v>383</v>
      </c>
      <c r="N4175" s="23" t="n">
        <v>2026</v>
      </c>
      <c r="O4175" s="23" t="n">
        <v>427</v>
      </c>
      <c r="P4175" s="23" t="n"/>
      <c r="Q4175" s="23" t="n"/>
      <c r="R4175" s="25" t="inlineStr">
        <is>
          <t>Принцу Уэльскому необходимо было жениться, и выбор пал на Каролину Брауншвейгскую. Каролина же хотела выйти замуж за майора из армии своего отца, но этому не суждено было произойти. Ее непредсказуемое поведение уже не раз приводило к скандалам, связанным с ее личной жизнью, и родители девушки поспешили устроить ее судьбу. Приехав в Англию, она обнаружила, что любовница ее жениха пытается подорвать ее положение и шпионит за ней. И принц, и ее новая семья, за исключением полубезумного короля, настроены к ней враждебно… Со временем ее благородная натура завоевывает любовь народа, из-за чего муж начинает ненавидеть ее еще сильнее. Каролина становится все более независимой и экстравагантной, пытаясь обойти ловушки, расставленные ей враждебно настроенным двором...</t>
        </is>
      </c>
      <c r="S4175" s="26">
        <f>HYPERLINK("http://www.cnpol.ru/covers/22245.jpg","фото на сайте")</f>
        <v/>
      </c>
    </row>
    <row r="4176" ht="50.1" customHeight="1" s="3">
      <c r="A4176" s="23" t="inlineStr">
        <is>
          <t>Н</t>
        </is>
      </c>
      <c r="B4176" s="24" t="inlineStr">
        <is>
          <t>22296</t>
        </is>
      </c>
      <c r="C4176" s="23" t="inlineStr">
        <is>
          <t>ПЛЕЙДИ</t>
        </is>
      </c>
      <c r="D4176" s="23" t="inlineStr">
        <is>
          <t>Плейди Д.</t>
        </is>
      </c>
      <c r="E4176" s="23" t="inlineStr">
        <is>
          <t>Богиня сцены</t>
        </is>
      </c>
      <c r="F4176" s="23" t="inlineStr">
        <is>
          <t>        </t>
        </is>
      </c>
      <c r="G4176" s="27" t="n">
        <v>1057</v>
      </c>
      <c r="H4176" s="23" t="n">
        <v>10</v>
      </c>
      <c r="I4176" s="23" t="n">
        <v>8</v>
      </c>
      <c r="J4176" s="23" t="inlineStr">
        <is>
          <t>978-5-9524-6737-8</t>
        </is>
      </c>
      <c r="K4176" s="23" t="inlineStr">
        <is>
          <t>84x108 1/32</t>
        </is>
      </c>
      <c r="L4176" s="23" t="inlineStr">
        <is>
          <t>тв</t>
        </is>
      </c>
      <c r="M4176" s="23" t="n">
        <v>351</v>
      </c>
      <c r="N4176" s="23" t="n">
        <v>2026</v>
      </c>
      <c r="O4176" s="23" t="n">
        <v>392</v>
      </c>
      <c r="P4176" s="23" t="n"/>
      <c r="Q4176" s="23" t="n"/>
      <c r="R4176" s="25" t="inlineStr">
        <is>
          <t>В мире скандалов, зависти и интриг, царившими в театре времен Георга III, Дороти Джордан удалось, благодаря исключительному таланту, стать одной из лучших комедийных актрис. Волею судеб она попала к знаменитому Шеридану, где ее зрителями стали представители самого изысканного общества Лондона. Там она и познакомилась с герцогом Кларенса, моряком, попавшим «с корабля на бал», будто чтобы встретить свою богиню. Об их внезапно вспыхнувшей страсти скоро заговорила вся столица...</t>
        </is>
      </c>
      <c r="S4176" s="26">
        <f>HYPERLINK("http://www.cnpol.ru/covers/22296.jpg","фото на сайте")</f>
        <v/>
      </c>
    </row>
    <row r="4177" ht="50.1" customHeight="1" s="3">
      <c r="A4177" s="23" t="inlineStr">
        <is>
          <t>Н</t>
        </is>
      </c>
      <c r="B4177" s="24" t="inlineStr">
        <is>
          <t>22007</t>
        </is>
      </c>
      <c r="C4177" s="23" t="inlineStr">
        <is>
          <t>ПОВ</t>
        </is>
      </c>
      <c r="D4177" s="23" t="inlineStr">
        <is>
          <t>Афанасенко В.И., Кринко Е.Ф.</t>
        </is>
      </c>
      <c r="E4177" s="23" t="inlineStr">
        <is>
          <t>56­я армия в обороне Ростова. За три дня до приказа № 227. Июль 1942 г.</t>
        </is>
      </c>
      <c r="F4177" s="23" t="inlineStr">
        <is>
          <t>        </t>
        </is>
      </c>
      <c r="G4177" s="23" t="n">
        <v>888</v>
      </c>
      <c r="H4177" s="23" t="n">
        <v>10</v>
      </c>
      <c r="I4177" s="23" t="n">
        <v>10</v>
      </c>
      <c r="J4177" s="23" t="inlineStr">
        <is>
          <t>978-5-227-11193-7</t>
        </is>
      </c>
      <c r="K4177" s="23" t="inlineStr">
        <is>
          <t>84x108 1/32</t>
        </is>
      </c>
      <c r="L4177" s="23" t="inlineStr">
        <is>
          <t>тв</t>
        </is>
      </c>
      <c r="M4177" s="23" t="n">
        <v>255</v>
      </c>
      <c r="N4177" s="23" t="n">
        <v>2025</v>
      </c>
      <c r="O4177" s="23" t="n">
        <v>332</v>
      </c>
      <c r="P4177" s="23" t="n"/>
      <c r="Q4177" s="23" t="n"/>
      <c r="R4177" s="25" t="inlineStr">
        <is>
          <t>В книге на основе архивных документов и воспоминаний очевидцев раскрываются драматические обстоятельства одного из самых тяжелых сражений лета 1942 г. на южном фланге советско-германского фронта Великой Отечественной войны. В центре внимания авторов — боевые действия, происходившие с 20 по 25 июля, в ходе которых советским войскам пришлось оставить Ростов-на-Дону — крупный промышленный центр и транспортный узел, через который шли дороги на Кавказ, являвшийся главной целью германского наступления в ходе летней кампании 1942 г. Через три дня после отступления частей 56-й армии из Ростова И.В. Сталин издал приказ № 227, в котором защитники города подверглись суровым обвинениям. В книге рассматриваются подготовка и планы сторон, ход, особенности, итоги и последствия сражения.</t>
        </is>
      </c>
      <c r="S4177" s="26">
        <f>HYPERLINK("http://www.cnpol.ru/covers/22007.jpg","фото на сайте")</f>
        <v/>
      </c>
    </row>
    <row r="4178" ht="50.1" customHeight="1" s="3">
      <c r="A4178" s="23" t="inlineStr">
        <is>
          <t>Н</t>
        </is>
      </c>
      <c r="B4178" s="24" t="inlineStr">
        <is>
          <t>22253</t>
        </is>
      </c>
      <c r="C4178" s="23" t="inlineStr">
        <is>
          <t>ПОВ</t>
        </is>
      </c>
      <c r="D4178" s="23" t="inlineStr">
        <is>
          <t>Безугольный А.Ю.</t>
        </is>
      </c>
      <c r="E4178" s="23" t="inlineStr">
        <is>
          <t>Добровольцы и ополченцы в военной организации Советского государства. 1917—1945 гг. Переработанное и дополненное издание</t>
        </is>
      </c>
      <c r="F4178" s="23" t="inlineStr">
        <is>
          <t>        </t>
        </is>
      </c>
      <c r="G4178" s="27" t="n">
        <v>1117</v>
      </c>
      <c r="H4178" s="23" t="n">
        <v>10</v>
      </c>
      <c r="I4178" s="23" t="n">
        <v>10</v>
      </c>
      <c r="J4178" s="23" t="inlineStr">
        <is>
          <t>978-5-227-11355-9</t>
        </is>
      </c>
      <c r="K4178" s="23" t="inlineStr">
        <is>
          <t>84x108 1/32</t>
        </is>
      </c>
      <c r="L4178" s="23" t="inlineStr">
        <is>
          <t>тв</t>
        </is>
      </c>
      <c r="M4178" s="23" t="n">
        <v>415</v>
      </c>
      <c r="N4178" s="23" t="n">
        <v>2026</v>
      </c>
      <c r="O4178" s="23" t="n">
        <v>484</v>
      </c>
      <c r="P4178" s="23" t="n"/>
      <c r="Q4178" s="23" t="n"/>
      <c r="R4178" s="25" t="inlineStr">
        <is>
          <t>Работа доктора исторических наук А.Ю. Безугольного посвящена истории добровольческого способа комплектования войск Красной армии, а также военизированных формирований, создававшихся вне структуры военного ведомства, — народного ополчения, истребительных батальонов и иных подразделений, в основе своей укомплектованных гражданскими лицами. Интересы власти, вербующей добровольцев, и мотивация самих добровольцев, откликающихся на призыв власти; нормативное регулирование и социально-правовое положение добровольцев; принципы и формы комплектования добровольческих частей; деятельность центрального и местных партийно-государственных аппаратов и органов военного управления по вербовке добровольцев и организации добровольческих частей — все это предмет данного исследования. Книга основана на большом массиве документального материала, значительная часть которого вводится в научный оборот впервые.</t>
        </is>
      </c>
      <c r="S4178" s="26">
        <f>HYPERLINK("http://www.cnpol.ru/covers/22253.jpg","фото на сайте")</f>
        <v/>
      </c>
    </row>
    <row r="4179" ht="50.1" customHeight="1" s="3">
      <c r="A4179" s="23" t="inlineStr">
        <is>
          <t>Н</t>
        </is>
      </c>
      <c r="B4179" s="24" t="inlineStr">
        <is>
          <t>22138</t>
        </is>
      </c>
      <c r="C4179" s="23" t="inlineStr">
        <is>
          <t>ПОВ</t>
        </is>
      </c>
      <c r="D4179" s="23" t="inlineStr">
        <is>
          <t>Тарасов С.А</t>
        </is>
      </c>
      <c r="E4179" s="23" t="inlineStr">
        <is>
          <t>Командный состав ВВС Красной армии. На воздушном фронте Великой Отечественной войны. 1941—1945</t>
        </is>
      </c>
      <c r="F4179" s="23" t="inlineStr">
        <is>
          <t>        </t>
        </is>
      </c>
      <c r="G4179" s="27" t="n">
        <v>1110</v>
      </c>
      <c r="H4179" s="23" t="n">
        <v>10</v>
      </c>
      <c r="I4179" s="23" t="n">
        <v>8</v>
      </c>
      <c r="J4179" s="23" t="inlineStr">
        <is>
          <t>978-5-227-11253-8</t>
        </is>
      </c>
      <c r="K4179" s="23" t="inlineStr">
        <is>
          <t>84x108 1/32</t>
        </is>
      </c>
      <c r="L4179" s="23" t="inlineStr">
        <is>
          <t>тв</t>
        </is>
      </c>
      <c r="M4179" s="23" t="n">
        <v>383</v>
      </c>
      <c r="N4179" s="23" t="n">
        <v>2026</v>
      </c>
      <c r="O4179" s="23" t="n">
        <v>439</v>
      </c>
      <c r="P4179" s="23" t="n"/>
      <c r="Q4179" s="23" t="n"/>
      <c r="R4179" s="25" t="inlineStr">
        <is>
          <t>Книга посвящена исследованию командно-начальствующего (офицерского) состава Военно-воздушных сил Красной армии в годы Великой Отечественной войны (1941—1945 гг.), а также кадровой работе, связанной с комплектованием советской военной авиации личным составом. С опорой на научную литературу и широкий круг источников, в том числе впервые вводимых в научный оборот архивных документов, рассматривается состояние отечественных ВВС накануне и в годы противостояния нацистской агрессии. Детальному анализу подвергается система подготовки авиационных специалистов, порядок их учета, изучения, отбора и дальнейшего продвижения по служебной лестнице. Подробно разбирается место и роль кадровых органов различного уровня в решении указанных задач._x000D_
Книга будет полезна всем, кто интересуется историей Великой Отечественной войны, а также вопросами становления и развития отечественных Вооруженных Сил.</t>
        </is>
      </c>
      <c r="S4179" s="26">
        <f>HYPERLINK("http://www.cnpol.ru/covers/22138.jpg","фото на сайте")</f>
        <v/>
      </c>
    </row>
    <row r="4180" ht="50.1" customHeight="1" s="3">
      <c r="A4180" s="23" t="inlineStr">
        <is>
          <t>Н</t>
        </is>
      </c>
      <c r="B4180" s="24" t="inlineStr">
        <is>
          <t>21756</t>
        </is>
      </c>
      <c r="C4180" s="23" t="inlineStr">
        <is>
          <t>ПОВ</t>
        </is>
      </c>
      <c r="D4180" s="23" t="inlineStr">
        <is>
          <t>Медведев М.В.</t>
        </is>
      </c>
      <c r="E4180" s="23" t="inlineStr">
        <is>
          <t>На ростовском направлении. Южный фронт в боях на Миусе. Январь—август 1943 г.</t>
        </is>
      </c>
      <c r="F4180" s="23" t="inlineStr">
        <is>
          <t>        </t>
        </is>
      </c>
      <c r="G4180" s="23" t="n">
        <v>782</v>
      </c>
      <c r="H4180" s="23" t="n">
        <v>10</v>
      </c>
      <c r="I4180" s="23" t="n">
        <v>10</v>
      </c>
      <c r="J4180" s="23" t="inlineStr">
        <is>
          <t>978-5-227-11123-4</t>
        </is>
      </c>
      <c r="K4180" s="23" t="inlineStr">
        <is>
          <t>84x108 1/32</t>
        </is>
      </c>
      <c r="L4180" s="23" t="inlineStr">
        <is>
          <t>тв</t>
        </is>
      </c>
      <c r="M4180" s="23" t="n">
        <v>191</v>
      </c>
      <c r="N4180" s="23" t="n">
        <v>2025</v>
      </c>
      <c r="O4180" s="23" t="n">
        <v>232</v>
      </c>
      <c r="P4180" s="23" t="n"/>
      <c r="Q4180" s="23" t="n"/>
      <c r="R4180" s="25" t="inlineStr">
        <is>
          <t>Среди операций советских войск периода Великой Отечественной войны особого внимания заслуживает освобождение войсками Южного фронта временно оккупированной территории Ростовской области и части Донбасса, которое происходило в несколько этапов — с января до конца августа 1943 г. Поражение противника на рубежах реки Миус существенно изменило ход боевых действий на всем южном крыле советско-германского фронта, заложив основы для дальнейшего освобождения юго-восточных областей Украинской ССР, Крыма, сыграв важную роль в коренном переломе в Великой Отечественной войне._x000D_
Издание предназначено для научных работников, преподавателей, аспирантов, студентов, а также всех заинтересованных читателей.</t>
        </is>
      </c>
      <c r="S4180" s="26">
        <f>HYPERLINK("http://www.cnpol.ru/covers/21756.jpg","фото на сайте")</f>
        <v/>
      </c>
    </row>
    <row r="4181" ht="50.1" customHeight="1" s="3">
      <c r="A4181" s="23" t="n"/>
      <c r="B4181" s="24" t="inlineStr">
        <is>
          <t>5989</t>
        </is>
      </c>
      <c r="C4181" s="23" t="inlineStr">
        <is>
          <t>ПОДАРОК</t>
        </is>
      </c>
      <c r="D4181" s="23" t="inlineStr">
        <is>
          <t>Рейчел Хэйл</t>
        </is>
      </c>
      <c r="E4181" s="23" t="inlineStr">
        <is>
          <t>101 котомодель с любовью к кошкам</t>
        </is>
      </c>
      <c r="F4181" s="23" t="inlineStr">
        <is>
          <t>        </t>
        </is>
      </c>
      <c r="G4181" s="27" t="n">
        <v>2316</v>
      </c>
      <c r="H4181" s="23" t="n">
        <v>10</v>
      </c>
      <c r="I4181" s="23" t="n">
        <v>15</v>
      </c>
      <c r="J4181" s="23" t="inlineStr">
        <is>
          <t>5-9524-1608-X</t>
        </is>
      </c>
      <c r="K4181" s="23" t="inlineStr">
        <is>
          <t>220х250</t>
        </is>
      </c>
      <c r="L4181" s="23" t="inlineStr">
        <is>
          <t>тв</t>
        </is>
      </c>
      <c r="M4181" s="23" t="n">
        <v>168</v>
      </c>
      <c r="N4181" s="23" t="n">
        <v>2005</v>
      </c>
      <c r="O4181" s="23" t="n">
        <v>944</v>
      </c>
      <c r="P4181" s="23" t="n"/>
      <c r="Q4181" s="23" t="n"/>
      <c r="R4181" s="25" t="inlineStr">
        <is>
          <t>Рейчел Хэйл, известный фотограф, лауреат мнгих престижных премий, является непревзойденным мастером по созданию высокохудожественных фотопортретов животных. Любовь ко всему живому позволяет Рейчел постичь сущность своих героев. С 1995 года фотоработы мастера тиражируются на открытках, календарях, плакатах, в книгах и альбомах.</t>
        </is>
      </c>
      <c r="S4181" s="26">
        <f>HYPERLINK("http://www.cnpol.ru/covers/5989.jpg","фото на сайте")</f>
        <v/>
      </c>
    </row>
    <row r="4182" ht="50.1" customHeight="1" s="3">
      <c r="A4182" s="23" t="n"/>
      <c r="B4182" s="24" t="inlineStr">
        <is>
          <t>8748</t>
        </is>
      </c>
      <c r="C4182" s="23" t="inlineStr">
        <is>
          <t>ПОДАРОК</t>
        </is>
      </c>
      <c r="D4182" s="23" t="inlineStr">
        <is>
          <t>Риба</t>
        </is>
      </c>
      <c r="E4182" s="23" t="inlineStr">
        <is>
          <t>Великолепной женщине</t>
        </is>
      </c>
      <c r="F4182" s="23" t="inlineStr">
        <is>
          <t>        </t>
        </is>
      </c>
      <c r="G4182" s="23" t="n">
        <v>408</v>
      </c>
      <c r="H4182" s="23" t="n">
        <v>10</v>
      </c>
      <c r="I4182" s="23" t="n">
        <v>20</v>
      </c>
      <c r="J4182" s="23" t="inlineStr">
        <is>
          <t>978-5-9524-2991-8</t>
        </is>
      </c>
      <c r="K4182" s="23" t="inlineStr">
        <is>
          <t>70x108 1/32</t>
        </is>
      </c>
      <c r="L4182" s="23" t="inlineStr">
        <is>
          <t>тв</t>
        </is>
      </c>
      <c r="M4182" s="23" t="n">
        <v>30</v>
      </c>
      <c r="N4182" s="23" t="n">
        <v>2008</v>
      </c>
      <c r="O4182" s="23" t="n">
        <v>158</v>
      </c>
      <c r="P4182" s="23" t="n"/>
      <c r="Q4182" s="23" t="n"/>
      <c r="R4182" s="25" t="inlineStr">
        <is>
          <t>Не бойся дистанции между мечтой и реальностью. Если можешь мечтать, можешь и осуществить мечты. На этих страницах женщины говорят женщинам о любви, работе, успехе, мужчинах и детях... Умные женщины чистосердечно открывают свои мудрые секреты. Эта книга, иллюстрированная произведениями художников, глубоко понимающих женскую душу, - идеальный подарок</t>
        </is>
      </c>
      <c r="S4182" s="26">
        <f>HYPERLINK("http://www.cnpol.ru/covers/8748.jpg","фото на сайте")</f>
        <v/>
      </c>
    </row>
    <row r="4183" ht="50.1" customHeight="1" s="3">
      <c r="A4183" s="23" t="n"/>
      <c r="B4183" s="24" t="inlineStr">
        <is>
          <t>7630</t>
        </is>
      </c>
      <c r="C4183" s="23" t="inlineStr">
        <is>
          <t>ПОДАРОК</t>
        </is>
      </c>
      <c r="D4183" s="23" t="inlineStr">
        <is>
          <t>Риба</t>
        </is>
      </c>
      <c r="E4183" s="23" t="inlineStr">
        <is>
          <t>Возможно все</t>
        </is>
      </c>
      <c r="F4183" s="23" t="inlineStr">
        <is>
          <t>        </t>
        </is>
      </c>
      <c r="G4183" s="23" t="n">
        <v>408</v>
      </c>
      <c r="H4183" s="23" t="n">
        <v>10</v>
      </c>
      <c r="I4183" s="23" t="n">
        <v>20</v>
      </c>
      <c r="J4183" s="23" t="inlineStr">
        <is>
          <t>5-9524-2391-6</t>
        </is>
      </c>
      <c r="K4183" s="23" t="inlineStr">
        <is>
          <t>70x108 1/32</t>
        </is>
      </c>
      <c r="L4183" s="23" t="inlineStr">
        <is>
          <t>тв</t>
        </is>
      </c>
      <c r="M4183" s="23" t="n">
        <v>48</v>
      </c>
      <c r="N4183" s="23" t="n">
        <v>2008</v>
      </c>
      <c r="O4183" s="23" t="n">
        <v>162</v>
      </c>
      <c r="P4183" s="23" t="n"/>
      <c r="Q4183" s="23" t="n"/>
      <c r="R4183" s="25" t="inlineStr">
        <is>
          <t>Эта книжка - прекрасный подарок нашим любимым и всем тем, кто стремится к успеху. Собранные в ней высказывания знаменитых людей о мужестве, решительности и оптимизме, так необходимых для исполнения задуманного, вселят в них силу и помогут справиться с жизненными трудностями.</t>
        </is>
      </c>
      <c r="S4183" s="26">
        <f>HYPERLINK("http://www.cnpol.ru/covers/7630.jpg","фото на сайте")</f>
        <v/>
      </c>
    </row>
    <row r="4184" ht="50.1" customHeight="1" s="3">
      <c r="A4184" s="23" t="n"/>
      <c r="B4184" s="24" t="inlineStr">
        <is>
          <t>7176</t>
        </is>
      </c>
      <c r="C4184" s="23" t="inlineStr">
        <is>
          <t>ПОДАРОК</t>
        </is>
      </c>
      <c r="D4184" s="23" t="inlineStr">
        <is>
          <t>Риба</t>
        </is>
      </c>
      <c r="E4184" s="23" t="inlineStr">
        <is>
          <t>Вперед к успеху</t>
        </is>
      </c>
      <c r="F4184" s="23" t="inlineStr">
        <is>
          <t>        </t>
        </is>
      </c>
      <c r="G4184" s="23" t="n">
        <v>408</v>
      </c>
      <c r="H4184" s="23" t="n">
        <v>10</v>
      </c>
      <c r="I4184" s="23" t="n">
        <v>20</v>
      </c>
      <c r="J4184" s="23" t="inlineStr">
        <is>
          <t>5-9524-2195-4</t>
        </is>
      </c>
      <c r="K4184" s="23" t="inlineStr">
        <is>
          <t>70x108 1/32</t>
        </is>
      </c>
      <c r="L4184" s="23" t="inlineStr">
        <is>
          <t>тв</t>
        </is>
      </c>
      <c r="M4184" s="23" t="n">
        <v>48</v>
      </c>
      <c r="N4184" s="23" t="n">
        <v>2007</v>
      </c>
      <c r="O4184" s="23" t="n">
        <v>124</v>
      </c>
      <c r="P4184" s="23" t="n"/>
      <c r="Q4184" s="23" t="n"/>
      <c r="R4184" s="25" t="inlineStr">
        <is>
          <t>Люди стремятся к успеху. Хотя понятие успеха у них столь же разное, как и они сами, всем им хочется его добиться: в карьере, в познании, в духовной, личной, профессиональной жизни. Стремящийся к достижениям человек уже добился успеха. И заслуживает поздравлений. Эта книга предназначена тем, кто целеустремлен, кого мы любим, уважаем, кем восхищаемся.</t>
        </is>
      </c>
      <c r="S4184" s="26">
        <f>HYPERLINK("http://www.cnpol.ru/covers/7176.jpg","фото на сайте")</f>
        <v/>
      </c>
    </row>
    <row r="4185" ht="50.1" customHeight="1" s="3">
      <c r="A4185" s="23" t="n"/>
      <c r="B4185" s="24" t="inlineStr">
        <is>
          <t>7631</t>
        </is>
      </c>
      <c r="C4185" s="23" t="inlineStr">
        <is>
          <t>ПОДАРОК</t>
        </is>
      </c>
      <c r="D4185" s="23" t="inlineStr">
        <is>
          <t>Риба</t>
        </is>
      </c>
      <c r="E4185" s="23" t="inlineStr">
        <is>
          <t>Лучшему учителю</t>
        </is>
      </c>
      <c r="F4185" s="23" t="inlineStr">
        <is>
          <t>        </t>
        </is>
      </c>
      <c r="G4185" s="23" t="n">
        <v>369</v>
      </c>
      <c r="H4185" s="23" t="n">
        <v>10</v>
      </c>
      <c r="I4185" s="23" t="n">
        <v>20</v>
      </c>
      <c r="J4185" s="23" t="inlineStr">
        <is>
          <t>5-9524-2422-7</t>
        </is>
      </c>
      <c r="K4185" s="23" t="inlineStr">
        <is>
          <t>70x108 1/32</t>
        </is>
      </c>
      <c r="L4185" s="23" t="inlineStr">
        <is>
          <t>тв</t>
        </is>
      </c>
      <c r="M4185" s="23" t="n">
        <v>48</v>
      </c>
      <c r="N4185" s="23" t="n">
        <v>2008</v>
      </c>
      <c r="O4185" s="23" t="n">
        <v>162</v>
      </c>
      <c r="P4185" s="23" t="n"/>
      <c r="Q4185" s="23" t="n"/>
      <c r="R4185" s="25" t="inlineStr">
        <is>
          <t>В руках учителей будущее новых поколений. Самоотверженно и с любовью они обучают, воспитывают, прсвещают юные умы и души. в начальной школе открывают перед маленькими питомцами дверь в мир знаний.</t>
        </is>
      </c>
      <c r="S4185" s="26">
        <f>HYPERLINK("http://www.cnpol.ru/covers/7631.jpg","фото на сайте")</f>
        <v/>
      </c>
    </row>
    <row r="4186" ht="50.1" customHeight="1" s="3">
      <c r="A4186" s="23" t="n"/>
      <c r="B4186" s="24" t="inlineStr">
        <is>
          <t>14</t>
        </is>
      </c>
      <c r="C4186" s="23" t="inlineStr">
        <is>
          <t>ПОДАРОК</t>
        </is>
      </c>
      <c r="D4186" s="23" t="inlineStr">
        <is>
          <t>Элен Эксли</t>
        </is>
      </c>
      <c r="E4186" s="23" t="inlineStr">
        <is>
          <t>Мамочке</t>
        </is>
      </c>
      <c r="F4186" s="23" t="inlineStr">
        <is>
          <t>        </t>
        </is>
      </c>
      <c r="G4186" s="23" t="n">
        <v>508</v>
      </c>
      <c r="H4186" s="23" t="n">
        <v>10</v>
      </c>
      <c r="I4186" s="23" t="n">
        <v>25</v>
      </c>
      <c r="J4186" s="23" t="inlineStr">
        <is>
          <t>978-5-9524-2966-6</t>
        </is>
      </c>
      <c r="K4186" s="23" t="inlineStr">
        <is>
          <t>10,5х10,5</t>
        </is>
      </c>
      <c r="L4186" s="23" t="inlineStr">
        <is>
          <t>тв</t>
        </is>
      </c>
      <c r="M4186" s="23" t="n">
        <v>43</v>
      </c>
      <c r="N4186" s="23" t="n">
        <v>2008</v>
      </c>
      <c r="O4186" s="23" t="n">
        <v>110</v>
      </c>
      <c r="P4186" s="23" t="n"/>
      <c r="Q4186" s="23" t="n"/>
      <c r="R4186" s="25" t="inlineStr">
        <is>
          <t>Мама заботится, любит, превращает жилище в дом. Она всегда рядом с тобой… Пробуждает счастливые, радостные воспоминания. _x000D_
Это подарок мамочке в знак горячей и преданной любви.</t>
        </is>
      </c>
      <c r="S4186" s="26">
        <f>HYPERLINK("http://www.cnpol.ru/covers/14.jpg","фото на сайте")</f>
        <v/>
      </c>
    </row>
    <row r="4187" ht="50.1" customHeight="1" s="3">
      <c r="A4187" s="23" t="n"/>
      <c r="B4187" s="24" t="inlineStr">
        <is>
          <t>8692</t>
        </is>
      </c>
      <c r="C4187" s="23" t="inlineStr">
        <is>
          <t>ПОДАРОК</t>
        </is>
      </c>
      <c r="D4187" s="23" t="inlineStr">
        <is>
          <t>Риба</t>
        </is>
      </c>
      <c r="E4187" s="23" t="inlineStr">
        <is>
          <t>Никогда не сдавайся</t>
        </is>
      </c>
      <c r="F4187" s="23" t="inlineStr">
        <is>
          <t>        </t>
        </is>
      </c>
      <c r="G4187" s="23" t="n">
        <v>408</v>
      </c>
      <c r="H4187" s="23" t="n">
        <v>10</v>
      </c>
      <c r="I4187" s="23" t="n">
        <v>24</v>
      </c>
      <c r="J4187" s="23" t="inlineStr">
        <is>
          <t>978-5-9524-2666-5</t>
        </is>
      </c>
      <c r="K4187" s="23" t="inlineStr">
        <is>
          <t>70x108 1/32</t>
        </is>
      </c>
      <c r="L4187" s="23" t="inlineStr">
        <is>
          <t>тв</t>
        </is>
      </c>
      <c r="M4187" s="23" t="n">
        <v>50</v>
      </c>
      <c r="N4187" s="23" t="n">
        <v>2008</v>
      </c>
      <c r="O4187" s="23" t="n">
        <v>150</v>
      </c>
      <c r="P4187" s="23" t="n"/>
      <c r="Q4187" s="23" t="n"/>
      <c r="R4187" s="25" t="n"/>
      <c r="S4187" s="26">
        <f>HYPERLINK("http://www.cnpol.ru/covers/8692.jpg","фото на сайте")</f>
        <v/>
      </c>
    </row>
    <row r="4188" ht="50.1" customHeight="1" s="3">
      <c r="A4188" s="23" t="n"/>
      <c r="B4188" s="24" t="inlineStr">
        <is>
          <t>15</t>
        </is>
      </c>
      <c r="C4188" s="23" t="inlineStr">
        <is>
          <t>ПОДАРОК</t>
        </is>
      </c>
      <c r="D4188" s="23" t="inlineStr">
        <is>
          <t>Элен Эксли</t>
        </is>
      </c>
      <c r="E4188" s="23" t="inlineStr">
        <is>
          <t>Поздравляем с дочкой</t>
        </is>
      </c>
      <c r="F4188" s="23" t="inlineStr">
        <is>
          <t>        </t>
        </is>
      </c>
      <c r="G4188" s="23" t="n">
        <v>457</v>
      </c>
      <c r="H4188" s="23" t="n">
        <v>10</v>
      </c>
      <c r="I4188" s="23" t="n">
        <v>25</v>
      </c>
      <c r="J4188" s="23" t="inlineStr">
        <is>
          <t>978-5-9524-2735-8</t>
        </is>
      </c>
      <c r="K4188" s="23" t="inlineStr">
        <is>
          <t>10,5х10,5</t>
        </is>
      </c>
      <c r="L4188" s="23" t="inlineStr">
        <is>
          <t>тв</t>
        </is>
      </c>
      <c r="M4188" s="23" t="n">
        <v>43</v>
      </c>
      <c r="N4188" s="23" t="n">
        <v>2008</v>
      </c>
      <c r="O4188" s="23" t="n">
        <v>110</v>
      </c>
      <c r="P4188" s="23" t="n"/>
      <c r="Q4188" s="23" t="n"/>
      <c r="R4188" s="25" t="n"/>
      <c r="S4188" s="26">
        <f>HYPERLINK("http://www.cnpol.ru/covers/15.jpg","фото на сайте")</f>
        <v/>
      </c>
    </row>
    <row r="4189" ht="50.1" customHeight="1" s="3">
      <c r="A4189" s="23" t="n"/>
      <c r="B4189" s="24" t="inlineStr">
        <is>
          <t>6796</t>
        </is>
      </c>
      <c r="C4189" s="23" t="inlineStr">
        <is>
          <t>ПОДАРОК</t>
        </is>
      </c>
      <c r="D4189" s="23" t="inlineStr">
        <is>
          <t>Элен Эксли</t>
        </is>
      </c>
      <c r="E4189" s="23" t="inlineStr">
        <is>
          <t>Поздравляем с сыном!</t>
        </is>
      </c>
      <c r="F4189" s="23" t="inlineStr">
        <is>
          <t>        </t>
        </is>
      </c>
      <c r="G4189" s="23" t="n">
        <v>508</v>
      </c>
      <c r="H4189" s="23" t="n">
        <v>10</v>
      </c>
      <c r="I4189" s="23" t="n">
        <v>25</v>
      </c>
      <c r="J4189" s="23" t="inlineStr">
        <is>
          <t>978-5-9524-2732-7</t>
        </is>
      </c>
      <c r="K4189" s="23" t="inlineStr">
        <is>
          <t>10,5х10,5</t>
        </is>
      </c>
      <c r="L4189" s="23" t="inlineStr">
        <is>
          <t>тв</t>
        </is>
      </c>
      <c r="M4189" s="23" t="n">
        <v>43</v>
      </c>
      <c r="N4189" s="23" t="n">
        <v>2008</v>
      </c>
      <c r="O4189" s="23" t="n">
        <v>110</v>
      </c>
      <c r="P4189" s="23" t="n"/>
      <c r="Q4189" s="23" t="n"/>
      <c r="R4189" s="25" t="n"/>
      <c r="S4189" s="26">
        <f>HYPERLINK("http://www.cnpol.ru/covers/6796.jpg","фото на сайте")</f>
        <v/>
      </c>
    </row>
    <row r="4190" ht="50.1" customHeight="1" s="3">
      <c r="A4190" s="23" t="n"/>
      <c r="B4190" s="24" t="inlineStr">
        <is>
          <t>8682</t>
        </is>
      </c>
      <c r="C4190" s="23" t="inlineStr">
        <is>
          <t>ПОДАРОК</t>
        </is>
      </c>
      <c r="D4190" s="23" t="inlineStr">
        <is>
          <t>Группа авторов</t>
        </is>
      </c>
      <c r="E4190" s="23" t="inlineStr">
        <is>
          <t>Самые очаровательные кошки</t>
        </is>
      </c>
      <c r="F4190" s="23" t="inlineStr">
        <is>
          <t>        </t>
        </is>
      </c>
      <c r="G4190" s="23" t="n">
        <v>448</v>
      </c>
      <c r="H4190" s="23" t="n">
        <v>10</v>
      </c>
      <c r="I4190" s="23" t="n">
        <v>20</v>
      </c>
      <c r="J4190" s="23" t="inlineStr">
        <is>
          <t>978-5-9524-1787-6</t>
        </is>
      </c>
      <c r="K4190" s="23" t="inlineStr">
        <is>
          <t>70x108 1/32</t>
        </is>
      </c>
      <c r="L4190" s="23" t="inlineStr">
        <is>
          <t>тв</t>
        </is>
      </c>
      <c r="M4190" s="23" t="n">
        <v>96</v>
      </c>
      <c r="N4190" s="23" t="n">
        <v>2008</v>
      </c>
      <c r="O4190" s="23" t="n">
        <v>244</v>
      </c>
      <c r="P4190" s="23" t="n"/>
      <c r="Q4190" s="23" t="n"/>
      <c r="R4190" s="25" t="n"/>
      <c r="S4190" s="26">
        <f>HYPERLINK("http://www.cnpol.ru/covers/8682.jpg","фото на сайте")</f>
        <v/>
      </c>
    </row>
    <row r="4191" ht="50.1" customHeight="1" s="3">
      <c r="A4191" s="23" t="n"/>
      <c r="B4191" s="24" t="inlineStr">
        <is>
          <t>8724</t>
        </is>
      </c>
      <c r="C4191" s="23" t="inlineStr">
        <is>
          <t>ПОДАРОК</t>
        </is>
      </c>
      <c r="D4191" s="23" t="inlineStr">
        <is>
          <t>Группа авторов</t>
        </is>
      </c>
      <c r="E4191" s="23" t="inlineStr">
        <is>
          <t>Самые очаровательные собаки</t>
        </is>
      </c>
      <c r="F4191" s="23" t="inlineStr">
        <is>
          <t>        </t>
        </is>
      </c>
      <c r="G4191" s="23" t="n">
        <v>448</v>
      </c>
      <c r="H4191" s="23" t="n">
        <v>10</v>
      </c>
      <c r="I4191" s="23" t="n">
        <v>12</v>
      </c>
      <c r="J4191" s="23" t="inlineStr">
        <is>
          <t>978-5-9524-2992-5</t>
        </is>
      </c>
      <c r="K4191" s="23" t="inlineStr">
        <is>
          <t>70x108 1/32</t>
        </is>
      </c>
      <c r="L4191" s="23" t="inlineStr">
        <is>
          <t>тв</t>
        </is>
      </c>
      <c r="M4191" s="23" t="n">
        <v>45</v>
      </c>
      <c r="N4191" s="23" t="n">
        <v>2008</v>
      </c>
      <c r="O4191" s="23" t="n">
        <v>222</v>
      </c>
      <c r="P4191" s="23" t="n"/>
      <c r="Q4191" s="23" t="n"/>
      <c r="R4191" s="25" t="n"/>
      <c r="S4191" s="26">
        <f>HYPERLINK("http://www.cnpol.ru/covers/8724.jpg","фото на сайте")</f>
        <v/>
      </c>
    </row>
    <row r="4192" ht="50.1" customHeight="1" s="3">
      <c r="A4192" s="23" t="n"/>
      <c r="B4192" s="24" t="inlineStr">
        <is>
          <t>19285</t>
        </is>
      </c>
      <c r="C4192" s="23" t="inlineStr">
        <is>
          <t>ПОИСК</t>
        </is>
      </c>
      <c r="D4192" s="23" t="inlineStr">
        <is>
          <t>Кузнецов И.</t>
        </is>
      </c>
      <c r="E4192" s="23" t="inlineStr">
        <is>
          <t>Долг. Глубокий поиск</t>
        </is>
      </c>
      <c r="F4192" s="23" t="inlineStr">
        <is>
          <t>        </t>
        </is>
      </c>
      <c r="G4192" s="23" t="n">
        <v>743</v>
      </c>
      <c r="H4192" s="23" t="n">
        <v>10</v>
      </c>
      <c r="I4192" s="23" t="n">
        <v>12</v>
      </c>
      <c r="J4192" s="23" t="inlineStr">
        <is>
          <t>978-5-227-09167-3</t>
        </is>
      </c>
      <c r="K4192" s="23" t="inlineStr">
        <is>
          <t>84x108 1/32</t>
        </is>
      </c>
      <c r="L4192" s="23" t="inlineStr">
        <is>
          <t>тв</t>
        </is>
      </c>
      <c r="M4192" s="23" t="n">
        <v>288</v>
      </c>
      <c r="N4192" s="23" t="n">
        <v>2020</v>
      </c>
      <c r="O4192" s="23" t="n">
        <v>314</v>
      </c>
      <c r="P4192" s="23" t="n"/>
      <c r="Q4192" s="23" t="n"/>
      <c r="R4192" s="25" t="inlineStr">
        <is>
          <t>Наступил 1944 год. В Германии становится опасно. Советское руководство возвращает Таисию домой, теперь она будет работать на новом направлении — нейродиверсии. Девушка блестяще проводит операции по внеконтактному внушению генералам вермахта пагубных для них решений. Но внезапно она обнаруживает блокировку, которая ограничивает ее возможности. Не вполне понимая природу блокировки, Таисия докладывает об этом руководству. Ее убеждают согласиться на нейрохирургическое воздействие. Некому вмешаться и предотвратить рискованный эксперимент с непредсказуемыми последствиями…</t>
        </is>
      </c>
      <c r="S4192" s="26">
        <f>HYPERLINK("http://www.cnpol.ru/covers/19285.jpg","фото на сайте")</f>
        <v/>
      </c>
    </row>
    <row r="4193" ht="50.1" customHeight="1" s="3">
      <c r="A4193" s="23" t="n"/>
      <c r="B4193" s="24" t="inlineStr">
        <is>
          <t>19133</t>
        </is>
      </c>
      <c r="C4193" s="23" t="inlineStr">
        <is>
          <t>ПОИСК</t>
        </is>
      </c>
      <c r="D4193" s="23" t="inlineStr">
        <is>
          <t>Кузнецов И.</t>
        </is>
      </c>
      <c r="E4193" s="23" t="inlineStr">
        <is>
          <t>Черные крылья. Глубокий поиск</t>
        </is>
      </c>
      <c r="F4193" s="23" t="inlineStr">
        <is>
          <t>        </t>
        </is>
      </c>
      <c r="G4193" s="23" t="n">
        <v>743</v>
      </c>
      <c r="H4193" s="23" t="n">
        <v>10</v>
      </c>
      <c r="I4193" s="23" t="n">
        <v>10</v>
      </c>
      <c r="J4193" s="23" t="inlineStr">
        <is>
          <t>978-5-227-09088-1</t>
        </is>
      </c>
      <c r="K4193" s="23" t="inlineStr">
        <is>
          <t>84x108 1/32</t>
        </is>
      </c>
      <c r="L4193" s="23" t="inlineStr">
        <is>
          <t>тв</t>
        </is>
      </c>
      <c r="M4193" s="23" t="n">
        <v>352</v>
      </c>
      <c r="N4193" s="23" t="n">
        <v>2020</v>
      </c>
      <c r="O4193" s="23" t="n">
        <v>292</v>
      </c>
      <c r="P4193" s="23" t="n"/>
      <c r="Q4193" s="23" t="n"/>
      <c r="R4193" s="25" t="n"/>
      <c r="S4193" s="26">
        <f>HYPERLINK("http://www.cnpol.ru/covers/19133.jpg","фото на сайте")</f>
        <v/>
      </c>
    </row>
    <row r="4194" ht="50.1" customHeight="1" s="3">
      <c r="A4194" s="23" t="n"/>
      <c r="B4194" s="24" t="inlineStr">
        <is>
          <t>1908</t>
        </is>
      </c>
      <c r="C4194" s="23" t="inlineStr">
        <is>
          <t>ПОЛИТИКА</t>
        </is>
      </c>
      <c r="D4194" s="23" t="inlineStr">
        <is>
          <t>Зиновьев</t>
        </is>
      </c>
      <c r="E4194" s="23" t="inlineStr">
        <is>
          <t>Затея</t>
        </is>
      </c>
      <c r="F4194" s="23" t="inlineStr">
        <is>
          <t>        </t>
        </is>
      </c>
      <c r="G4194" s="23" t="n">
        <v>358</v>
      </c>
      <c r="H4194" s="23" t="n">
        <v>10</v>
      </c>
      <c r="I4194" s="23" t="n">
        <v>10</v>
      </c>
      <c r="J4194" s="23" t="inlineStr">
        <is>
          <t>5-227-00684-9</t>
        </is>
      </c>
      <c r="K4194" s="23" t="inlineStr">
        <is>
          <t>84x108 1/32</t>
        </is>
      </c>
      <c r="L4194" s="23" t="inlineStr">
        <is>
          <t>тв</t>
        </is>
      </c>
      <c r="M4194" s="23" t="n">
        <v>555</v>
      </c>
      <c r="N4194" s="23" t="n">
        <v>2000</v>
      </c>
      <c r="O4194" s="23" t="n">
        <v>538</v>
      </c>
      <c r="P4194" s="23" t="n"/>
      <c r="Q4194" s="23" t="n"/>
      <c r="R4194" s="25" t="inlineStr">
        <is>
          <t>В своей книге всемирно известный писатель продолжает сатирическое описание советского общества, начатое им в романах "Зияющие высоты" и "Светлое будущее". Общественные отношения, образ жизни народа, его нравы, культура и быт в советский период становятся ля писателя предметом научного исследования и осмысления. Затея строительства коммунизма, по версии Зиновьева, была задумана советской властью для идеологизации населения. А когда есть глобальная "затея", то под это дело можно смело пить, гулять, развлекаться...</t>
        </is>
      </c>
      <c r="S4194" s="26">
        <f>HYPERLINK("http://www.cnpol.ru/covers/1908.jpg","фото на сайте")</f>
        <v/>
      </c>
    </row>
    <row r="4195" ht="50.1" customHeight="1" s="3">
      <c r="A4195" s="23" t="n"/>
      <c r="B4195" s="24" t="inlineStr">
        <is>
          <t>5310</t>
        </is>
      </c>
      <c r="C4195" s="23" t="inlineStr">
        <is>
          <t>ПОЛИТИКА</t>
        </is>
      </c>
      <c r="D4195" s="23" t="inlineStr">
        <is>
          <t>Шевченко Г.</t>
        </is>
      </c>
      <c r="E4195" s="23" t="inlineStr">
        <is>
          <t>Побег из коридоров МИДа Судьба перебежчика века</t>
        </is>
      </c>
      <c r="F4195" s="23" t="inlineStr">
        <is>
          <t>        </t>
        </is>
      </c>
      <c r="G4195" s="23" t="n">
        <v>358</v>
      </c>
      <c r="H4195" s="23" t="n">
        <v>10</v>
      </c>
      <c r="I4195" s="23" t="n">
        <v>12</v>
      </c>
      <c r="J4195" s="23" t="inlineStr">
        <is>
          <t>5-9524-1290-3</t>
        </is>
      </c>
      <c r="K4195" s="23" t="inlineStr">
        <is>
          <t>84x108 1/32</t>
        </is>
      </c>
      <c r="L4195" s="23" t="inlineStr">
        <is>
          <t>тв</t>
        </is>
      </c>
      <c r="M4195" s="23" t="n">
        <v>367</v>
      </c>
      <c r="N4195" s="23" t="n">
        <v>2004</v>
      </c>
      <c r="O4195" s="23" t="n">
        <v>380</v>
      </c>
      <c r="P4195" s="23" t="n"/>
      <c r="Q4195" s="23" t="n"/>
      <c r="R4195" s="25" t="n"/>
      <c r="S4195" s="26">
        <f>HYPERLINK("http://www.cnpol.ru/covers/5310.jpg","фото на сайте")</f>
        <v/>
      </c>
    </row>
    <row r="4196" ht="50.1" customHeight="1" s="3">
      <c r="A4196" s="23" t="n"/>
      <c r="B4196" s="24" t="inlineStr">
        <is>
          <t>3765</t>
        </is>
      </c>
      <c r="C4196" s="23" t="inlineStr">
        <is>
          <t>ПОЛИТИКА</t>
        </is>
      </c>
      <c r="D4196" s="23" t="inlineStr">
        <is>
          <t>Захаров В.А.</t>
        </is>
      </c>
      <c r="E4196" s="23" t="inlineStr">
        <is>
          <t>Прозревшая Фемида Откровения питерского адвоката</t>
        </is>
      </c>
      <c r="F4196" s="23" t="inlineStr">
        <is>
          <t>        </t>
        </is>
      </c>
      <c r="G4196" s="23" t="n">
        <v>389</v>
      </c>
      <c r="H4196" s="23" t="n">
        <v>10</v>
      </c>
      <c r="I4196" s="23" t="n">
        <v>10</v>
      </c>
      <c r="J4196" s="23" t="inlineStr">
        <is>
          <t>5-9524-0264-X</t>
        </is>
      </c>
      <c r="K4196" s="23" t="inlineStr">
        <is>
          <t>84x108 1/32</t>
        </is>
      </c>
      <c r="L4196" s="23" t="inlineStr">
        <is>
          <t>тв</t>
        </is>
      </c>
      <c r="M4196" s="23" t="n">
        <v>500</v>
      </c>
      <c r="N4196" s="23" t="n">
        <v>2003</v>
      </c>
      <c r="O4196" s="23" t="n">
        <v>388</v>
      </c>
      <c r="P4196" s="23" t="n"/>
      <c r="Q4196" s="23" t="n"/>
      <c r="R4196" s="25" t="n"/>
      <c r="S4196" s="26">
        <f>HYPERLINK("http://www.cnpol.ru/covers/3765.jpg","фото на сайте")</f>
        <v/>
      </c>
    </row>
    <row r="4197" ht="50.1" customHeight="1" s="3">
      <c r="A4197" s="23" t="n"/>
      <c r="B4197" s="24" t="inlineStr">
        <is>
          <t>4062</t>
        </is>
      </c>
      <c r="C4197" s="23" t="inlineStr">
        <is>
          <t>ПОЛИТИКА</t>
        </is>
      </c>
      <c r="D4197" s="23" t="inlineStr">
        <is>
          <t>Котляров</t>
        </is>
      </c>
      <c r="E4197" s="23" t="inlineStr">
        <is>
          <t>Экономические отношения КНР с США</t>
        </is>
      </c>
      <c r="F4197" s="23" t="inlineStr">
        <is>
          <t>        </t>
        </is>
      </c>
      <c r="G4197" s="23" t="n">
        <v>389</v>
      </c>
      <c r="H4197" s="23" t="n">
        <v>10</v>
      </c>
      <c r="I4197" s="23" t="n">
        <v>10</v>
      </c>
      <c r="J4197" s="23" t="inlineStr">
        <is>
          <t>5-9524-0479-0</t>
        </is>
      </c>
      <c r="K4197" s="23" t="inlineStr">
        <is>
          <t>84x108 1/32</t>
        </is>
      </c>
      <c r="L4197" s="23" t="inlineStr">
        <is>
          <t>тв</t>
        </is>
      </c>
      <c r="M4197" s="23" t="n">
        <v>351</v>
      </c>
      <c r="N4197" s="23" t="n">
        <v>2003</v>
      </c>
      <c r="O4197" s="23" t="n">
        <v>282</v>
      </c>
      <c r="P4197" s="23" t="n"/>
      <c r="Q4197" s="23" t="n"/>
      <c r="R4197" s="25" t="n"/>
      <c r="S4197" s="26">
        <f>HYPERLINK("http://www.cnpol.ru/covers/4062.jpg","фото на сайте")</f>
        <v/>
      </c>
    </row>
    <row r="4198" ht="50.1" customHeight="1" s="3">
      <c r="A4198" s="23" t="n"/>
      <c r="B4198" s="24" t="inlineStr">
        <is>
          <t>4195</t>
        </is>
      </c>
      <c r="C4198" s="23" t="inlineStr">
        <is>
          <t>ПОМОГИ</t>
        </is>
      </c>
      <c r="D4198" s="23" t="inlineStr">
        <is>
          <t>Луговский</t>
        </is>
      </c>
      <c r="E4198" s="23" t="inlineStr">
        <is>
          <t>Как найти себе идеального партнера</t>
        </is>
      </c>
      <c r="F4198" s="23" t="inlineStr">
        <is>
          <t>        </t>
        </is>
      </c>
      <c r="G4198" s="23" t="n">
        <v>79</v>
      </c>
      <c r="H4198" s="23" t="n">
        <v>10</v>
      </c>
      <c r="I4198" s="23" t="n">
        <v>48</v>
      </c>
      <c r="J4198" s="23" t="inlineStr">
        <is>
          <t>5-9524-0560-6</t>
        </is>
      </c>
      <c r="K4198" s="23" t="inlineStr">
        <is>
          <t>84x108 1/32 (обл)</t>
        </is>
      </c>
      <c r="L4198" s="23" t="inlineStr">
        <is>
          <t>мяг</t>
        </is>
      </c>
      <c r="M4198" s="23" t="n">
        <v>143</v>
      </c>
      <c r="N4198" s="23" t="n">
        <v>2003</v>
      </c>
      <c r="O4198" s="23" t="n">
        <v>96</v>
      </c>
      <c r="P4198" s="23" t="n"/>
      <c r="Q4198" s="23" t="n"/>
      <c r="R4198" s="25" t="inlineStr">
        <is>
          <t>В книге в популярной форме рассказывается о влиянии биоритмов человека на его самочувствие, поведение и судьбу. Приводятся исторические и современные примеры влияния биоритмической совместимости на взаимоотношения известных людей. Даются рекомендации по улучшению взаимоотношений. Это издание является практическим руководством по налаживанию партнерства в семье и на работе, а также открывает путь к более наполненной и осознанной повседневной жизни.</t>
        </is>
      </c>
      <c r="S4198" s="26">
        <f>HYPERLINK("http://www.cnpol.ru/covers/4195.jpg","фото на сайте")</f>
        <v/>
      </c>
    </row>
    <row r="4199" ht="50.1" customHeight="1" s="3">
      <c r="A4199" s="23" t="n"/>
      <c r="B4199" s="24" t="inlineStr">
        <is>
          <t>10189</t>
        </is>
      </c>
      <c r="C4199" s="23" t="inlineStr">
        <is>
          <t>ПП</t>
        </is>
      </c>
      <c r="D4199" s="23" t="inlineStr">
        <is>
          <t>Босюк</t>
        </is>
      </c>
      <c r="E4199" s="23" t="inlineStr">
        <is>
          <t>Карму в нокаут или превращения Му - Му</t>
        </is>
      </c>
      <c r="F4199" s="23" t="inlineStr">
        <is>
          <t>        </t>
        </is>
      </c>
      <c r="G4199" s="23" t="n">
        <v>168</v>
      </c>
      <c r="H4199" s="23" t="n">
        <v>10</v>
      </c>
      <c r="I4199" s="23" t="n">
        <v>20</v>
      </c>
      <c r="J4199" s="23" t="inlineStr">
        <is>
          <t>978-5-9524-3337-3</t>
        </is>
      </c>
      <c r="K4199" s="23" t="inlineStr">
        <is>
          <t>84x108 1/32 (обл)</t>
        </is>
      </c>
      <c r="L4199" s="23" t="inlineStr">
        <is>
          <t>мяг</t>
        </is>
      </c>
      <c r="M4199" s="23" t="n">
        <v>288</v>
      </c>
      <c r="N4199" s="23" t="n">
        <v>2008</v>
      </c>
      <c r="O4199" s="23" t="n">
        <v>186</v>
      </c>
      <c r="P4199" s="23" t="n"/>
      <c r="Q4199" s="23" t="n"/>
      <c r="R4199" s="25" t="inlineStr">
        <is>
          <t>Каждый из нас периодически испытывает страх, бессилие, безысходность. Выражаясь эзотерическими терминами, карма довлеет над нами, образуя тупик, из которого невозможно выбраться... Немудрено, ведь психика и тело перетянуты невидимыми жгутами, калечащими нас. Карма-кукловод тянет за них, как тянут куклу за ниточки, и тело преподносит неприятные сюрпризы: от легкой головной боли до тяжелых, неизлечимых недугов..._x000D_
Авторская система "Антикарма" взрывает этот тупик при помощи методов, позволяющих за несколько секунд отправить карму в нокаут и ощутить небывалую легкость и чувство свободы, как это бывало в раннем детстве. Читайте нашу книгу, и вы узнаете, как выбраться из жестокого круговорота проблем и болезней и стать полноправным хозяином своего тела.</t>
        </is>
      </c>
      <c r="S4199" s="26">
        <f>HYPERLINK("http://www.cnpol.ru/covers/10189.jpg","фото на сайте")</f>
        <v/>
      </c>
    </row>
    <row r="4200" ht="50.1" customHeight="1" s="3">
      <c r="A4200" s="23" t="n"/>
      <c r="B4200" s="24" t="inlineStr">
        <is>
          <t>11356</t>
        </is>
      </c>
      <c r="C4200" s="23" t="inlineStr">
        <is>
          <t>ППЗ</t>
        </is>
      </c>
      <c r="D4200" s="23" t="inlineStr">
        <is>
          <t>Хикс Р.</t>
        </is>
      </c>
      <c r="E4200" s="23" t="inlineStr">
        <is>
          <t>52 способа победить аллергию</t>
        </is>
      </c>
      <c r="F4200" s="23" t="inlineStr">
        <is>
          <t>        </t>
        </is>
      </c>
      <c r="G4200" s="23" t="n">
        <v>150</v>
      </c>
      <c r="H4200" s="23" t="n">
        <v>10</v>
      </c>
      <c r="I4200" s="23" t="n">
        <v>18</v>
      </c>
      <c r="J4200" s="23" t="inlineStr">
        <is>
          <t>978-5-9524-4028-9</t>
        </is>
      </c>
      <c r="K4200" s="23" t="inlineStr">
        <is>
          <t>84x108 1/32 (обл)</t>
        </is>
      </c>
      <c r="L4200" s="23" t="inlineStr">
        <is>
          <t>мяг</t>
        </is>
      </c>
      <c r="M4200" s="23" t="n">
        <v>223</v>
      </c>
      <c r="N4200" s="23" t="n">
        <v>2009</v>
      </c>
      <c r="O4200" s="23" t="n">
        <v>140</v>
      </c>
      <c r="P4200" s="23" t="n"/>
      <c r="Q4200" s="23" t="n"/>
      <c r="R4200" s="25" t="inlineStr">
        <is>
          <t>Для многих людей, страдающих аллергией, жизнь превращается в существование на бомбе с часовым механизмом, выставленным на неизвестный срок. Кажется, будто остается только сидеть и ждать, когда она взорвется и начнется очередной приступ бронхиальной астмы, астматического бронхита, аллергического ринита, дерматита, экземы..._x000D_
Автор этой книги категорически не согласен с таким отношением к аллергии. Он не обещает вылечить любого, но гарантирует, что после прочтения книги вы сможете взять болезнь под контроль. Все его советы чрезвычайно практичны и просты в исполнении._x000D_
Из книги вы узнаете: каковы самые распространенные причины аллергии; наиболее известные факты и фантазии на тему пищевой аллергии; как и почему причиной аллергии может быть стресс; чем вам поможет овес, из которого делают не только кашу; каковы успокаивающие свойства ложки меда; как иглоукалывание поможет справиться с аллергией; чем полезен домашний нудизм; почему сад является лучшим местом для вас и вашей аллергии; на что способны солнцезащитные очки при аллергии; как глубокие вдохи избавят вас от неприятности; как помогает при аллергии визуализация; какие лекарства от аллергии может предложить мать-природа, которая всегда знает, что для нас лучше; как свести к минимуму вероятность появления наследственной аллергии у детей; что должно быть в тележке для покупок, если вы хотите избавиться от симптомов аллергии._x000D_
И многое другое..._x000D_
В книге приводятся только те способы, которые можно осуществить самостоятельно, так чего же вы ждете? Хватит алллергии контролировать вашу жизнь, теперь вы будете контролировать ее сами!</t>
        </is>
      </c>
      <c r="S4200" s="26">
        <f>HYPERLINK("http://www.cnpol.ru/covers/11356.jpg","фото на сайте")</f>
        <v/>
      </c>
    </row>
    <row r="4201" ht="50.1" customHeight="1" s="3">
      <c r="A4201" s="23" t="n"/>
      <c r="B4201" s="24" t="inlineStr">
        <is>
          <t>11531</t>
        </is>
      </c>
      <c r="C4201" s="23" t="inlineStr">
        <is>
          <t>ППЗ</t>
        </is>
      </c>
      <c r="D4201" s="23" t="inlineStr">
        <is>
          <t>Кригер Элли, Джеймс-Энджер Келли</t>
        </is>
      </c>
      <c r="E4201" s="23" t="inlineStr">
        <is>
          <t>Стройная фигура и здоровое тело за 12 недель. Популярная программа похудения и оздоровления</t>
        </is>
      </c>
      <c r="F4201" s="23" t="inlineStr">
        <is>
          <t>        </t>
        </is>
      </c>
      <c r="G4201" s="23" t="n">
        <v>150</v>
      </c>
      <c r="H4201" s="23" t="n">
        <v>10</v>
      </c>
      <c r="I4201" s="23" t="n">
        <v>18</v>
      </c>
      <c r="J4201" s="23" t="inlineStr">
        <is>
          <t>978-5-9524-4609-0</t>
        </is>
      </c>
      <c r="K4201" s="23" t="inlineStr">
        <is>
          <t>84x108 1/32 (обл)</t>
        </is>
      </c>
      <c r="L4201" s="23" t="inlineStr">
        <is>
          <t>мяг</t>
        </is>
      </c>
      <c r="M4201" s="23" t="n">
        <v>287</v>
      </c>
      <c r="N4201" s="23" t="n">
        <v>2009</v>
      </c>
      <c r="O4201" s="23" t="n">
        <v>182</v>
      </c>
      <c r="P4201" s="23" t="n"/>
      <c r="Q4201" s="23" t="n"/>
      <c r="R4201" s="25" t="n"/>
      <c r="S4201" s="26">
        <f>HYPERLINK("http://www.cnpol.ru/covers/11531.jpg","фото на сайте")</f>
        <v/>
      </c>
    </row>
    <row r="4202" ht="50.1" customHeight="1" s="3">
      <c r="A4202" s="23" t="inlineStr">
        <is>
          <t>Н</t>
        </is>
      </c>
      <c r="B4202" s="24" t="inlineStr">
        <is>
          <t>21582</t>
        </is>
      </c>
      <c r="C4202" s="23" t="inlineStr">
        <is>
          <t>ПРАВИТЕЛИ</t>
        </is>
      </c>
      <c r="D4202" s="23" t="inlineStr">
        <is>
          <t>Бейкер Д.</t>
        </is>
      </c>
      <c r="E4202" s="23" t="inlineStr">
        <is>
          <t>Август. Первый император Рима</t>
        </is>
      </c>
      <c r="F4202" s="23" t="inlineStr">
        <is>
          <t>        </t>
        </is>
      </c>
      <c r="G4202" s="23" t="n">
        <v>936</v>
      </c>
      <c r="H4202" s="23" t="n">
        <v>10</v>
      </c>
      <c r="I4202" s="23" t="n">
        <v>9</v>
      </c>
      <c r="J4202" s="23" t="inlineStr">
        <is>
          <t>978-5-9524-6319-6</t>
        </is>
      </c>
      <c r="K4202" s="23" t="inlineStr">
        <is>
          <t>84x108 1/32</t>
        </is>
      </c>
      <c r="L4202" s="23" t="inlineStr">
        <is>
          <t>тв</t>
        </is>
      </c>
      <c r="M4202" s="23" t="n">
        <v>285</v>
      </c>
      <c r="N4202" s="23" t="n">
        <v>2025</v>
      </c>
      <c r="O4202" s="23" t="n">
        <v>288</v>
      </c>
      <c r="P4202" s="23" t="n"/>
      <c r="Q4202" s="23" t="n"/>
      <c r="R4202" s="25" t="inlineStr">
        <is>
          <t>Джордж Бейкер предлагает увлекательную и наиболее полную из существующих биографий Гая Октавия, усыновленного Цезарем и поэтому получившего имя Гай Юлий Цезарь Октавиан Август, ставшего первым императором Рима, по возможности избегая предвзятых оценок и непроверенных мнений. Бейкер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быта Древнего Рима.</t>
        </is>
      </c>
      <c r="S4202" s="26">
        <f>HYPERLINK("http://www.cnpol.ru/covers/21582.jpg","фото на сайте")</f>
        <v/>
      </c>
    </row>
    <row r="4203" ht="50.1" customHeight="1" s="3">
      <c r="A4203" s="23" t="inlineStr">
        <is>
          <t>Д</t>
        </is>
      </c>
      <c r="B4203" s="24" t="inlineStr">
        <is>
          <t>22020</t>
        </is>
      </c>
      <c r="C4203" s="23" t="inlineStr">
        <is>
          <t>ПРАВИТЕЛИ</t>
        </is>
      </c>
      <c r="D4203" s="23" t="inlineStr">
        <is>
          <t>Грин П.</t>
        </is>
      </c>
      <c r="E4203" s="23" t="inlineStr">
        <is>
          <t>Александр Македонский. Царь четырех сторон света</t>
        </is>
      </c>
      <c r="F4203" s="23" t="inlineStr">
        <is>
          <t>        </t>
        </is>
      </c>
      <c r="G4203" s="23" t="n">
        <v>835</v>
      </c>
      <c r="H4203" s="23" t="n">
        <v>10</v>
      </c>
      <c r="I4203" s="23" t="n">
        <v>10</v>
      </c>
      <c r="J4203" s="23" t="inlineStr">
        <is>
          <t>978-5-9524-6628-9</t>
        </is>
      </c>
      <c r="K4203" s="23" t="inlineStr">
        <is>
          <t>84x108 1/32</t>
        </is>
      </c>
      <c r="L4203" s="23" t="inlineStr">
        <is>
          <t>тв</t>
        </is>
      </c>
      <c r="M4203" s="23" t="n">
        <v>222</v>
      </c>
      <c r="N4203" s="23" t="n">
        <v>2026</v>
      </c>
      <c r="O4203" s="23" t="n">
        <v>290</v>
      </c>
      <c r="P4203" s="23" t="n"/>
      <c r="Q4203" s="23" t="n"/>
      <c r="R4203" s="25" t="inlineStr">
        <is>
          <t>В книге английского писателя и критика, профессора истории Питера Грина повествуется о военных кампаниях Александра Македонского, великого завоевателя, сумевшего создать крупнейшую монархию древности. В книге приведены интереснейшие малоизвестные факты биографии Александра Македонского, ярко воссоздана историческая эпоха. Издание богато иллюстрировано и снабжено военными картами.</t>
        </is>
      </c>
      <c r="S4203" s="26">
        <f>HYPERLINK("http://www.cnpol.ru/covers/22020.jpg","фото на сайте")</f>
        <v/>
      </c>
    </row>
    <row r="4204" ht="50.1" customHeight="1" s="3">
      <c r="A4204" s="23" t="inlineStr">
        <is>
          <t>Н</t>
        </is>
      </c>
      <c r="B4204" s="24" t="inlineStr">
        <is>
          <t>21617</t>
        </is>
      </c>
      <c r="C4204" s="23" t="inlineStr">
        <is>
          <t>ПРАВИТЕЛИ</t>
        </is>
      </c>
      <c r="D4204" s="23" t="inlineStr">
        <is>
          <t>Хаттон Э.</t>
        </is>
      </c>
      <c r="E4204" s="23" t="inlineStr">
        <is>
          <t>Аттила. Предводитель гуннов</t>
        </is>
      </c>
      <c r="F4204" s="23" t="inlineStr">
        <is>
          <t>        </t>
        </is>
      </c>
      <c r="G4204" s="23" t="n">
        <v>888</v>
      </c>
      <c r="H4204" s="23" t="n">
        <v>10</v>
      </c>
      <c r="I4204" s="23" t="n">
        <v>16</v>
      </c>
      <c r="J4204" s="23" t="inlineStr">
        <is>
          <t>978-5-9524-5985-4</t>
        </is>
      </c>
      <c r="K4204" s="23" t="inlineStr">
        <is>
          <t>84x108 1/32</t>
        </is>
      </c>
      <c r="L4204" s="23" t="inlineStr">
        <is>
          <t>тв</t>
        </is>
      </c>
      <c r="M4204" s="23" t="n">
        <v>239</v>
      </c>
      <c r="N4204" s="23" t="n">
        <v>2025</v>
      </c>
      <c r="O4204" s="23" t="n">
        <v>299</v>
      </c>
      <c r="P4204" s="23" t="n"/>
      <c r="Q4204" s="23" t="n"/>
      <c r="R4204" s="25" t="inlineStr">
        <is>
          <t>Аттила, предводитель гуннов, был великим полководцем. Армия гуннов никогда не имела обременительных обозов, поскольку все необходимое им на войне безжалостные завоеватели возили на лошадях, остальное добывалось в сражениях. Большинство древних историков считает Аттилу жестоким варваром, всю жизнь стремившимся сокрушить христианский мир. Однако умалять или умалчивать его полководческие заслуги никто из них не решается.</t>
        </is>
      </c>
      <c r="S4204" s="26">
        <f>HYPERLINK("http://www.cnpol.ru/covers/21617.jpg","фото на сайте")</f>
        <v/>
      </c>
    </row>
    <row r="4205" ht="50.1" customHeight="1" s="3">
      <c r="A4205" s="23" t="inlineStr">
        <is>
          <t>Д</t>
        </is>
      </c>
      <c r="B4205" s="24" t="inlineStr">
        <is>
          <t>22121</t>
        </is>
      </c>
      <c r="C4205" s="23" t="inlineStr">
        <is>
          <t>ПРАВИТЕЛИ</t>
        </is>
      </c>
      <c r="D4205" s="23" t="inlineStr">
        <is>
          <t>Лэмб Г.</t>
        </is>
      </c>
      <c r="E4205" s="23" t="inlineStr">
        <is>
          <t>Бабур. Основатель империи Великих Моголов</t>
        </is>
      </c>
      <c r="F4205" s="23" t="inlineStr">
        <is>
          <t>        </t>
        </is>
      </c>
      <c r="G4205" s="27" t="n">
        <v>1238</v>
      </c>
      <c r="H4205" s="23" t="n">
        <v>10</v>
      </c>
      <c r="I4205" s="23" t="n">
        <v>10</v>
      </c>
      <c r="J4205" s="23" t="inlineStr">
        <is>
          <t>978-5-9524-6661-6</t>
        </is>
      </c>
      <c r="K4205" s="23" t="inlineStr">
        <is>
          <t>84x108 1/32</t>
        </is>
      </c>
      <c r="L4205" s="23" t="inlineStr">
        <is>
          <t>тв</t>
        </is>
      </c>
      <c r="M4205" s="23" t="n">
        <v>445</v>
      </c>
      <c r="N4205" s="23" t="n">
        <v>2026</v>
      </c>
      <c r="O4205" s="23" t="n">
        <v>484</v>
      </c>
      <c r="P4205" s="23" t="n"/>
      <c r="Q4205" s="23" t="n"/>
      <c r="R4205" s="25" t="inlineStr">
        <is>
          <t>Эта книга — беллетризованное жизнеописание потомка Тимура и Чингисхана, основателя династии Великих Моголов, в которой ярко повествуется обо всех значительных событиях эпохи его правления. В ней оригинально сочетаются авторская интерпретация исторических фактов и фрагменты из «Бабур-наме» — автобиографического произведения самого Бабура, что позволяет читателю зримо ощутить атмосферу ушедшей эпохи.</t>
        </is>
      </c>
      <c r="S4205" s="26">
        <f>HYPERLINK("http://www.cnpol.ru/covers/22121.jpg","фото на сайте")</f>
        <v/>
      </c>
    </row>
    <row r="4206" ht="50.1" customHeight="1" s="3">
      <c r="A4206" s="23" t="inlineStr">
        <is>
          <t>Н</t>
        </is>
      </c>
      <c r="B4206" s="24" t="inlineStr">
        <is>
          <t>22243</t>
        </is>
      </c>
      <c r="C4206" s="23" t="inlineStr">
        <is>
          <t>ПРАВИТЕЛИ</t>
        </is>
      </c>
      <c r="D4206" s="23" t="inlineStr">
        <is>
          <t>Дуглас Д.</t>
        </is>
      </c>
      <c r="E4206" s="23" t="inlineStr">
        <is>
          <t>Вильгельм Завоеватель. Викинг на английском престоле</t>
        </is>
      </c>
      <c r="F4206" s="23" t="inlineStr">
        <is>
          <t>        </t>
        </is>
      </c>
      <c r="G4206" s="27" t="n">
        <v>1218</v>
      </c>
      <c r="H4206" s="23" t="n">
        <v>10</v>
      </c>
      <c r="I4206" s="23" t="n">
        <v>10</v>
      </c>
      <c r="J4206" s="23" t="inlineStr">
        <is>
          <t>978-5-9524-5961-8</t>
        </is>
      </c>
      <c r="K4206" s="23" t="inlineStr">
        <is>
          <t>84x108 1/32</t>
        </is>
      </c>
      <c r="L4206" s="23" t="inlineStr">
        <is>
          <t>тв</t>
        </is>
      </c>
      <c r="M4206" s="23" t="n">
        <v>431</v>
      </c>
      <c r="N4206" s="23" t="n">
        <v>2026</v>
      </c>
      <c r="O4206" s="23" t="n">
        <v>470</v>
      </c>
      <c r="P4206" s="23" t="n"/>
      <c r="Q4206" s="23" t="n"/>
      <c r="R4206" s="25" t="inlineStr">
        <is>
          <t>Книга Дэвида Дугласа затрагивает один из самых неоднозначных моментов средневековой истории Западной Европы — нормандское завоевание Англии. В ней подробно рассказано о том, как могущественный герцог Нормандии Вильгельм со своим войском переплыл Ла-Манш и высадился на юге Англии, захватил Лондон и постепенно подчинил себе всю Англию. Герцог Нормандский стал полноправным королем и вошел в историю под именем Вильгельм Завоеватель. Автор дает глубокий анализ политической ситуации того времени, заново обращаясь к источникам, чтобы понять плоды деяний потомка суровых викингов.</t>
        </is>
      </c>
      <c r="S4206" s="26">
        <f>HYPERLINK("http://www.cnpol.ru/covers/22243.jpg","фото на сайте")</f>
        <v/>
      </c>
    </row>
    <row r="4207" ht="50.1" customHeight="1" s="3">
      <c r="A4207" s="23" t="inlineStr">
        <is>
          <t>Д</t>
        </is>
      </c>
      <c r="B4207" s="24" t="inlineStr">
        <is>
          <t>22212</t>
        </is>
      </c>
      <c r="C4207" s="23" t="inlineStr">
        <is>
          <t>ПРАВИТЕЛИ</t>
        </is>
      </c>
      <c r="D4207" s="23" t="inlineStr">
        <is>
          <t>Лэмб Г.</t>
        </is>
      </c>
      <c r="E4207" s="23" t="inlineStr">
        <is>
          <t>Ганнибал. Один против Рима</t>
        </is>
      </c>
      <c r="F4207" s="23" t="inlineStr">
        <is>
          <t>        </t>
        </is>
      </c>
      <c r="G4207" s="27" t="n">
        <v>1231</v>
      </c>
      <c r="H4207" s="23" t="n">
        <v>10</v>
      </c>
      <c r="I4207" s="23" t="n">
        <v>10</v>
      </c>
      <c r="J4207" s="23" t="inlineStr">
        <is>
          <t>978-5-9524-6718-7</t>
        </is>
      </c>
      <c r="K4207" s="23" t="inlineStr">
        <is>
          <t>84x108 1/32</t>
        </is>
      </c>
      <c r="L4207" s="23" t="inlineStr">
        <is>
          <t>тв</t>
        </is>
      </c>
      <c r="M4207" s="23" t="n">
        <v>443</v>
      </c>
      <c r="N4207" s="23" t="n">
        <v>2026</v>
      </c>
      <c r="O4207" s="23" t="n">
        <v>482</v>
      </c>
      <c r="P4207" s="23" t="n"/>
      <c r="Q4207" s="23" t="n"/>
      <c r="R4207" s="25" t="inlineStr">
        <is>
          <t>Эта книга — оригинальное беллетризованное жизнеописание величайшего полководца всех времен, легендарного предводителя карфагенской армии Ганнибала, чье имя приводило в трепет самых неустрашимых врагов, а великие деяния навсегда остались в анналах мировой истории.</t>
        </is>
      </c>
      <c r="S4207" s="26">
        <f>HYPERLINK("http://www.cnpol.ru/covers/22212.jpg","фото на сайте")</f>
        <v/>
      </c>
    </row>
    <row r="4208" ht="50.1" customHeight="1" s="3">
      <c r="A4208" s="23" t="inlineStr">
        <is>
          <t>Д</t>
        </is>
      </c>
      <c r="B4208" s="24" t="inlineStr">
        <is>
          <t>22110</t>
        </is>
      </c>
      <c r="C4208" s="23" t="inlineStr">
        <is>
          <t>ПРАВИТЕЛИ</t>
        </is>
      </c>
      <c r="D4208" s="23" t="inlineStr">
        <is>
          <t>Эббот Д.</t>
        </is>
      </c>
      <c r="E4208" s="23" t="inlineStr">
        <is>
          <t>Дарий Великий. Персидский царь, владыка земель от Египта до Индии</t>
        </is>
      </c>
      <c r="F4208" s="23" t="inlineStr">
        <is>
          <t>        </t>
        </is>
      </c>
      <c r="G4208" s="23" t="n">
        <v>728</v>
      </c>
      <c r="H4208" s="23" t="n">
        <v>10</v>
      </c>
      <c r="I4208" s="23" t="n">
        <v>20</v>
      </c>
      <c r="J4208" s="23" t="inlineStr">
        <is>
          <t>978-5-9524-6663-0</t>
        </is>
      </c>
      <c r="K4208" s="23" t="inlineStr">
        <is>
          <t>84x108 1/32</t>
        </is>
      </c>
      <c r="L4208" s="23" t="inlineStr">
        <is>
          <t>тв</t>
        </is>
      </c>
      <c r="M4208" s="23" t="n">
        <v>191</v>
      </c>
      <c r="N4208" s="23" t="n">
        <v>2026</v>
      </c>
      <c r="O4208" s="23" t="n">
        <v>263</v>
      </c>
      <c r="P4208" s="23" t="n"/>
      <c r="Q4208" s="23" t="n"/>
      <c r="R4208" s="25" t="inlineStr">
        <is>
          <t>Книга Джекоба Эббота рассказывает о восшествии на престол Дария I, царя династии Ахеменидов, основанной Киром Великим. При Дарии Персидская империя достигла наивысшего могущества. С помощью своей личной гвардии — «десяти тысяч бессмертных» — ему удалось подавить волнения скифских племен Средней Азии, а также восстания в Вавилонии, Мидии, Эламе, Египте, Парфии и завоевать часть Индии. Поход же Дария против свободолюбивых граждан Греции закончился его поражением в знаменитой битве при Марафоне.</t>
        </is>
      </c>
      <c r="S4208" s="26">
        <f>HYPERLINK("http://www.cnpol.ru/covers/22110.jpg","фото на сайте")</f>
        <v/>
      </c>
    </row>
    <row r="4209" ht="50.1" customHeight="1" s="3">
      <c r="A4209" s="23" t="inlineStr">
        <is>
          <t>Н</t>
        </is>
      </c>
      <c r="B4209" s="24" t="inlineStr">
        <is>
          <t>21222</t>
        </is>
      </c>
      <c r="C4209" s="23" t="inlineStr">
        <is>
          <t>ПРАВИТЕЛИ</t>
        </is>
      </c>
      <c r="D4209" s="23" t="inlineStr">
        <is>
          <t>Лэмб Г.</t>
        </is>
      </c>
      <c r="E4209" s="23" t="inlineStr">
        <is>
          <t>Карл Великий. Основатель империи Каролингов</t>
        </is>
      </c>
      <c r="F4209" s="23" t="inlineStr">
        <is>
          <t>        </t>
        </is>
      </c>
      <c r="G4209" s="27" t="n">
        <v>1057</v>
      </c>
      <c r="H4209" s="23" t="n">
        <v>10</v>
      </c>
      <c r="I4209" s="23" t="n">
        <v>12</v>
      </c>
      <c r="J4209" s="23" t="inlineStr">
        <is>
          <t>978-5-9524-6158-1</t>
        </is>
      </c>
      <c r="K4209" s="23" t="inlineStr">
        <is>
          <t>84x108 1/32</t>
        </is>
      </c>
      <c r="L4209" s="23" t="inlineStr">
        <is>
          <t>тв</t>
        </is>
      </c>
      <c r="M4209" s="23" t="n">
        <v>351</v>
      </c>
      <c r="N4209" s="23" t="n">
        <v>2024</v>
      </c>
      <c r="O4209" s="23" t="n">
        <v>395</v>
      </c>
      <c r="P4209" s="23" t="n"/>
      <c r="Q4209" s="23" t="n"/>
      <c r="R4209" s="25" t="inlineStr">
        <is>
          <t>В книге повествуется о начале нового периода мировой истории, ознаменованного победоносным шествием короля франков, ласково прозванного Шарлеманем. Впоследствии победитель лангобардов и саксов, покоритель сарацин, тот, кому верно служили Роланд Бретонский и Гильом Тулузский — легендарные рыцари франков, — стал императором всех христиан Карлом Великим.</t>
        </is>
      </c>
      <c r="S4209" s="26">
        <f>HYPERLINK("http://www.cnpol.ru/covers/21222.jpg","фото на сайте")</f>
        <v/>
      </c>
    </row>
    <row r="4210" ht="50.1" customHeight="1" s="3">
      <c r="A4210" s="23" t="inlineStr">
        <is>
          <t>Д</t>
        </is>
      </c>
      <c r="B4210" s="24" t="inlineStr">
        <is>
          <t>22019</t>
        </is>
      </c>
      <c r="C4210" s="23" t="inlineStr">
        <is>
          <t>ПРАВИТЕЛИ</t>
        </is>
      </c>
      <c r="D4210" s="23" t="inlineStr">
        <is>
          <t>Вейгалл А.</t>
        </is>
      </c>
      <c r="E4210" s="23" t="inlineStr">
        <is>
          <t>Клеопатра. Последняя царица Египта</t>
        </is>
      </c>
      <c r="F4210" s="23" t="inlineStr">
        <is>
          <t>        </t>
        </is>
      </c>
      <c r="G4210" s="23" t="n">
        <v>936</v>
      </c>
      <c r="H4210" s="23" t="n">
        <v>10</v>
      </c>
      <c r="I4210" s="23" t="n">
        <v>10</v>
      </c>
      <c r="J4210" s="23" t="inlineStr">
        <is>
          <t>978-5-227-11236-1</t>
        </is>
      </c>
      <c r="K4210" s="23" t="inlineStr">
        <is>
          <t>84x108 1/32</t>
        </is>
      </c>
      <c r="L4210" s="23" t="inlineStr">
        <is>
          <t>тв</t>
        </is>
      </c>
      <c r="M4210" s="23" t="n">
        <v>287</v>
      </c>
      <c r="N4210" s="23" t="n">
        <v>2026</v>
      </c>
      <c r="O4210" s="23" t="n">
        <v>345</v>
      </c>
      <c r="P4210" s="23" t="n"/>
      <c r="Q4210" s="23" t="n"/>
      <c r="R4210" s="25" t="inlineStr">
        <is>
          <t>Артур Вейгалл — член экспедиции лорда Карнарвона, открывшего миру гробницу Тутанхамона, — был известным знатоком древностей Египта. Ученый и писатель, он создал объемный и прекрасный портрет самой необыкновенной женщины Античности.
Клеопатра пришла к власти в восемнадцать лет, она говорила на семи языках, возродила обряды древней религии Египта и приняла символ божественной сущности Матери­богини Хатхор, дочери Великого Ра. Бесстрашная, властолюбивая и обаятельная, она была очень любима своим народом. Деловая, с острым, проницательным умом, царица всеми возможными средствами отстаивала права женщин и оказывала поддержку правительницам маленьких и слабых государств.</t>
        </is>
      </c>
      <c r="S4210" s="26">
        <f>HYPERLINK("http://www.cnpol.ru/covers/22019.jpg","фото на сайте")</f>
        <v/>
      </c>
    </row>
    <row r="4211" ht="50.1" customHeight="1" s="3">
      <c r="A4211" s="23" t="inlineStr">
        <is>
          <t>Н</t>
        </is>
      </c>
      <c r="B4211" s="24" t="inlineStr">
        <is>
          <t>21439</t>
        </is>
      </c>
      <c r="C4211" s="23" t="inlineStr">
        <is>
          <t>ПРАВИТЕЛИ</t>
        </is>
      </c>
      <c r="D4211" s="23" t="inlineStr">
        <is>
          <t>Эббот Д.</t>
        </is>
      </c>
      <c r="E4211" s="23" t="inlineStr">
        <is>
          <t>Ксеркс. Покоритель Вавилона</t>
        </is>
      </c>
      <c r="F4211" s="23" t="inlineStr">
        <is>
          <t>        </t>
        </is>
      </c>
      <c r="G4211" s="23" t="n">
        <v>837</v>
      </c>
      <c r="H4211" s="23" t="n">
        <v>10</v>
      </c>
      <c r="I4211" s="23" t="n">
        <v>16</v>
      </c>
      <c r="J4211" s="23" t="inlineStr">
        <is>
          <t>978-5-9524-6295-3</t>
        </is>
      </c>
      <c r="K4211" s="23" t="inlineStr">
        <is>
          <t>84x108 1/32</t>
        </is>
      </c>
      <c r="L4211" s="23" t="inlineStr">
        <is>
          <t>тв</t>
        </is>
      </c>
      <c r="M4211" s="23" t="n">
        <v>222</v>
      </c>
      <c r="N4211" s="23" t="n">
        <v>2025</v>
      </c>
      <c r="O4211" s="23" t="n">
        <v>162</v>
      </c>
      <c r="P4211" s="23" t="n"/>
      <c r="Q4211" s="23" t="n"/>
      <c r="R4211" s="25" t="inlineStr">
        <is>
          <t>В книге Джекоба Эббота с неожиданной точки зрения повествуется о жизненном пути горделивого царя персов Ксеркса, завоевателя Египта и покорителя Вавилона. Во время похода  на?греков разгулявшийся шторм разрушил мост через Геллеспонт, и на глазах у жестокого тирана погибла большая часть огромной армии, равной которой не знала история. Это знаменовало закат Персидского царства.</t>
        </is>
      </c>
      <c r="S4211" s="26">
        <f>HYPERLINK("http://www.cnpol.ru/covers/21439.jpg","фото на сайте")</f>
        <v/>
      </c>
    </row>
    <row r="4212" ht="50.1" customHeight="1" s="3">
      <c r="A4212" s="23" t="inlineStr">
        <is>
          <t>Д</t>
        </is>
      </c>
      <c r="B4212" s="24" t="inlineStr">
        <is>
          <t>21390</t>
        </is>
      </c>
      <c r="C4212" s="23" t="inlineStr">
        <is>
          <t>ПРАВИТЕЛИ</t>
        </is>
      </c>
      <c r="D4212" s="23" t="inlineStr">
        <is>
          <t>Уэллс Э</t>
        </is>
      </c>
      <c r="E4212" s="23" t="inlineStr">
        <is>
          <t>Нефертити. Повелительница Двух Земель</t>
        </is>
      </c>
      <c r="F4212" s="23" t="inlineStr">
        <is>
          <t>        </t>
        </is>
      </c>
      <c r="G4212" s="27" t="n">
        <v>1238</v>
      </c>
      <c r="H4212" s="23" t="n">
        <v>10</v>
      </c>
      <c r="I4212" s="23" t="n">
        <v>10</v>
      </c>
      <c r="J4212" s="23" t="inlineStr">
        <is>
          <t>978-5-9524-6304-2</t>
        </is>
      </c>
      <c r="K4212" s="23" t="inlineStr">
        <is>
          <t>84x108 1/32</t>
        </is>
      </c>
      <c r="L4212" s="23" t="inlineStr">
        <is>
          <t>тв</t>
        </is>
      </c>
      <c r="M4212" s="23" t="n">
        <v>446</v>
      </c>
      <c r="N4212" s="23" t="n">
        <v>2025</v>
      </c>
      <c r="O4212" s="23" t="n">
        <v>475</v>
      </c>
      <c r="P4212" s="23" t="n"/>
      <c r="Q4212" s="23" t="n"/>
      <c r="R4212" s="25" t="inlineStr">
        <is>
          <t>Эта книга — всесторонний рассказ о царице Египта, жившей во втором тысячелетии до н. э., верной последовательнице новой религии и вдохновительнице искусства Нового царства. Зримо и ярко повествуется о деятельности фараона-реформатора Эхнатона и всех аспектах общественной жизни того времени. Немало интересного читатели узнают о секретах обольщения, известных египетским красавицам, религиозных обрядах, тайнах дипломатии и дворцовых интригах.</t>
        </is>
      </c>
      <c r="S4212" s="26">
        <f>HYPERLINK("http://www.cnpol.ru/covers/21390.jpg","фото на сайте")</f>
        <v/>
      </c>
    </row>
    <row r="4213" ht="50.1" customHeight="1" s="3">
      <c r="A4213" s="23" t="inlineStr">
        <is>
          <t>Д</t>
        </is>
      </c>
      <c r="B4213" s="24" t="inlineStr">
        <is>
          <t>22032</t>
        </is>
      </c>
      <c r="C4213" s="23" t="inlineStr">
        <is>
          <t>ПРАВИТЕЛИ</t>
        </is>
      </c>
      <c r="D4213" s="23" t="inlineStr">
        <is>
          <t>Лэмб Г.</t>
        </is>
      </c>
      <c r="E4213" s="23" t="inlineStr">
        <is>
          <t>Сулейман Великолепный. Величайший султан Османской империи</t>
        </is>
      </c>
      <c r="F4213" s="23" t="inlineStr">
        <is>
          <t>        </t>
        </is>
      </c>
      <c r="G4213" s="27" t="n">
        <v>1117</v>
      </c>
      <c r="H4213" s="23" t="n">
        <v>10</v>
      </c>
      <c r="I4213" s="23" t="n">
        <v>10</v>
      </c>
      <c r="J4213" s="23" t="inlineStr">
        <is>
          <t>978-5-9524-6634-0</t>
        </is>
      </c>
      <c r="K4213" s="23" t="inlineStr">
        <is>
          <t>84x108 1/32</t>
        </is>
      </c>
      <c r="L4213" s="23" t="inlineStr">
        <is>
          <t>тв</t>
        </is>
      </c>
      <c r="M4213" s="23" t="n">
        <v>383</v>
      </c>
      <c r="N4213" s="23" t="n">
        <v>2026</v>
      </c>
      <c r="O4213" s="23" t="n">
        <v>420</v>
      </c>
      <c r="P4213" s="23" t="n"/>
      <c r="Q4213" s="23" t="n"/>
      <c r="R4213" s="25" t="inlineStr">
        <is>
          <t>Оригинальное беллетризованное жизнеописание Сулеймана Великолепного, султана Османской империи — мудреца, поэта и воина, который завоевал часть Венгрии, Аравии, Месопотамии, Закавказья, территории Триполи и Алжира, но не устоял перед чарами своенравной рабыни-славянки, ставшей единственной любимой женщиной султана Востока.</t>
        </is>
      </c>
      <c r="S4213" s="26">
        <f>HYPERLINK("http://www.cnpol.ru/covers/22032.jpg","фото на сайте")</f>
        <v/>
      </c>
    </row>
    <row r="4214" ht="50.1" customHeight="1" s="3">
      <c r="A4214" s="23" t="inlineStr">
        <is>
          <t>Д</t>
        </is>
      </c>
      <c r="B4214" s="24" t="inlineStr">
        <is>
          <t>22059</t>
        </is>
      </c>
      <c r="C4214" s="23" t="inlineStr">
        <is>
          <t>ПРАВИТЕЛИ</t>
        </is>
      </c>
      <c r="D4214" s="23" t="inlineStr">
        <is>
          <t>Лэмб Г.</t>
        </is>
      </c>
      <c r="E4214" s="23" t="inlineStr">
        <is>
          <t>Тамерлан. Правитель и полководец</t>
        </is>
      </c>
      <c r="F4214" s="23" t="inlineStr">
        <is>
          <t>        </t>
        </is>
      </c>
      <c r="G4214" s="23" t="n">
        <v>936</v>
      </c>
      <c r="H4214" s="23" t="n">
        <v>10</v>
      </c>
      <c r="I4214" s="23" t="n">
        <v>10</v>
      </c>
      <c r="J4214" s="23" t="inlineStr">
        <is>
          <t>978-5-9524-6648-7</t>
        </is>
      </c>
      <c r="K4214" s="23" t="inlineStr">
        <is>
          <t>84x108 1/32</t>
        </is>
      </c>
      <c r="L4214" s="23" t="inlineStr">
        <is>
          <t>тв</t>
        </is>
      </c>
      <c r="M4214" s="23" t="n">
        <v>287</v>
      </c>
      <c r="N4214" s="23" t="n">
        <v>2026</v>
      </c>
      <c r="O4214" s="23" t="n">
        <v>350</v>
      </c>
      <c r="P4214" s="23" t="n"/>
      <c r="Q4214" s="23" t="n"/>
      <c r="R4214" s="25" t="inlineStr">
        <is>
          <t>Оригинальное беллетризованное жизнеописание выдающегося полководца Тамерлана, правителя Самарканда, чья жестокость стала легендой, чьи владения простирались от Закавказья до Китая, а военные успехи предопределили на века геополитическое устройство экзотического средневекового Востока.</t>
        </is>
      </c>
      <c r="S4214" s="26">
        <f>HYPERLINK("http://www.cnpol.ru/covers/22059.jpg","фото на сайте")</f>
        <v/>
      </c>
    </row>
    <row r="4215" ht="50.1" customHeight="1" s="3">
      <c r="A4215" s="23" t="inlineStr">
        <is>
          <t>Н</t>
        </is>
      </c>
      <c r="B4215" s="24" t="inlineStr">
        <is>
          <t>21643</t>
        </is>
      </c>
      <c r="C4215" s="23" t="inlineStr">
        <is>
          <t>ПРАВИТЕЛИ</t>
        </is>
      </c>
      <c r="D4215" s="23" t="inlineStr">
        <is>
          <t>Бейкер Д.</t>
        </is>
      </c>
      <c r="E4215" s="23" t="inlineStr">
        <is>
          <t>Тиберий. Преемник Августа</t>
        </is>
      </c>
      <c r="F4215" s="23" t="inlineStr">
        <is>
          <t>        </t>
        </is>
      </c>
      <c r="G4215" s="23" t="n">
        <v>968</v>
      </c>
      <c r="H4215" s="23" t="n">
        <v>10</v>
      </c>
      <c r="I4215" s="23" t="n">
        <v>8</v>
      </c>
      <c r="J4215" s="23" t="inlineStr">
        <is>
          <t>978-5-9524-6357-8</t>
        </is>
      </c>
      <c r="K4215" s="23" t="inlineStr">
        <is>
          <t>84x108 1/32</t>
        </is>
      </c>
      <c r="L4215" s="23" t="inlineStr">
        <is>
          <t>тв</t>
        </is>
      </c>
      <c r="M4215" s="23" t="n">
        <v>302</v>
      </c>
      <c r="N4215" s="23" t="n">
        <v>2025</v>
      </c>
      <c r="O4215" s="23" t="n">
        <v>220</v>
      </c>
      <c r="P4215" s="23" t="n"/>
      <c r="Q4215" s="23" t="n"/>
      <c r="R4215" s="25" t="inlineStr">
        <is>
          <t>Книга в увлекательной форме рассказывает о жизни и правлении преемника Августа — римского императора Тиберия. Личность этого правителя, представляющая несомненный интерес с исторической точки зрения, до сих пор остается психологической загадкой. Автор, используя свидетельства великих историков древности — Тацита, Светония и достижения современных исследований, наиболее полно воссоздает образ Тиберия.</t>
        </is>
      </c>
      <c r="S4215" s="26">
        <f>HYPERLINK("http://www.cnpol.ru/covers/21643.jpg","фото на сайте")</f>
        <v/>
      </c>
    </row>
    <row r="4216" ht="50.1" customHeight="1" s="3">
      <c r="A4216" s="23" t="inlineStr">
        <is>
          <t>Н</t>
        </is>
      </c>
      <c r="B4216" s="24" t="inlineStr">
        <is>
          <t>21110</t>
        </is>
      </c>
      <c r="C4216" s="23" t="inlineStr">
        <is>
          <t>ПРАВИТЕЛИ</t>
        </is>
      </c>
      <c r="D4216" s="23" t="inlineStr">
        <is>
          <t>Дерош Ноблькур</t>
        </is>
      </c>
      <c r="E4216" s="23" t="inlineStr">
        <is>
          <t>Тутанхамон. Символ Древнего Египта</t>
        </is>
      </c>
      <c r="F4216" s="23" t="inlineStr">
        <is>
          <t>        </t>
        </is>
      </c>
      <c r="G4216" s="23" t="n">
        <v>888</v>
      </c>
      <c r="H4216" s="23" t="n">
        <v>10</v>
      </c>
      <c r="I4216" s="23" t="n">
        <v>14</v>
      </c>
      <c r="J4216" s="23" t="inlineStr">
        <is>
          <t>978-5-9524-6119-2</t>
        </is>
      </c>
      <c r="K4216" s="23" t="inlineStr">
        <is>
          <t>84x108 1/32</t>
        </is>
      </c>
      <c r="L4216" s="23" t="inlineStr">
        <is>
          <t>тв</t>
        </is>
      </c>
      <c r="M4216" s="23" t="n">
        <v>255</v>
      </c>
      <c r="N4216" s="23" t="n">
        <v>2024</v>
      </c>
      <c r="O4216" s="23" t="n">
        <v>314</v>
      </c>
      <c r="P4216" s="23" t="n"/>
      <c r="Q4216" s="23" t="n"/>
      <c r="R4216" s="25" t="inlineStr">
        <is>
          <t>Оригинальное беллетризованное жизнеописание Тутанхамона, юноши-фараона, чье правление было кратковременно, но немыслимо пышно, а таинственная гибель окружена легендами и научными парадоксами. В книге повествуется о нравах и обычаях Древнего Египта, а также о людях этого государства, о религиозных обрядах, противоборстве двух религий, придворных интригах, тайнах дипломатии и обо всех сторонах жизни царственной четы.</t>
        </is>
      </c>
      <c r="S4216" s="26">
        <f>HYPERLINK("http://www.cnpol.ru/covers/21110.jpg","фото на сайте")</f>
        <v/>
      </c>
    </row>
    <row r="4217" ht="50.1" customHeight="1" s="3">
      <c r="A4217" s="23" t="inlineStr">
        <is>
          <t>Н</t>
        </is>
      </c>
      <c r="B4217" s="24" t="inlineStr">
        <is>
          <t>21689</t>
        </is>
      </c>
      <c r="C4217" s="23" t="inlineStr">
        <is>
          <t>ПРАВИТЕЛИ</t>
        </is>
      </c>
      <c r="D4217" s="23" t="inlineStr">
        <is>
          <t>Лэмб Г.</t>
        </is>
      </c>
      <c r="E4217" s="23" t="inlineStr">
        <is>
          <t>Феодора. Всевластная императрица Византии</t>
        </is>
      </c>
      <c r="F4217" s="23" t="inlineStr">
        <is>
          <t>        </t>
        </is>
      </c>
      <c r="G4217" s="27" t="n">
        <v>1184</v>
      </c>
      <c r="H4217" s="23" t="n">
        <v>10</v>
      </c>
      <c r="I4217" s="23" t="n">
        <v>5</v>
      </c>
      <c r="J4217" s="23" t="inlineStr">
        <is>
          <t>978-5-9524-6411-7</t>
        </is>
      </c>
      <c r="K4217" s="23" t="inlineStr">
        <is>
          <t>84x108 1/32</t>
        </is>
      </c>
      <c r="L4217" s="23" t="inlineStr">
        <is>
          <t>тв</t>
        </is>
      </c>
      <c r="M4217" s="23" t="n">
        <v>413</v>
      </c>
      <c r="N4217" s="23" t="n">
        <v>2025</v>
      </c>
      <c r="O4217" s="23" t="n">
        <v>280</v>
      </c>
      <c r="P4217" s="23" t="n"/>
      <c r="Q4217" s="23" t="n"/>
      <c r="R4217" s="25" t="inlineStr">
        <is>
          <t>Оригинальное беллетризованное жизнеописание константинопольской циркачки, ставшей великой императрицей, и пастуха, принявшего императорскую власть из рук бездетного родственника. В книге воссозданы реалии Византии эпохи реформ Юстиниана Великого, на фоне которых разворачивается история любви порфироносной четы.</t>
        </is>
      </c>
      <c r="S4217" s="26">
        <f>HYPERLINK("http://www.cnpol.ru/covers/21689.jpg","фото на сайте")</f>
        <v/>
      </c>
    </row>
    <row r="4218" ht="50.1" customHeight="1" s="3">
      <c r="A4218" s="23" t="inlineStr">
        <is>
          <t>Д</t>
        </is>
      </c>
      <c r="B4218" s="24" t="inlineStr">
        <is>
          <t>21899</t>
        </is>
      </c>
      <c r="C4218" s="23" t="inlineStr">
        <is>
          <t>ПРАВИТЕЛИ</t>
        </is>
      </c>
      <c r="D4218" s="23" t="inlineStr">
        <is>
          <t>Тибергер Ф.</t>
        </is>
      </c>
      <c r="E4218" s="23" t="inlineStr">
        <is>
          <t>Царь Соломон Мудрейший из мудрых</t>
        </is>
      </c>
      <c r="F4218" s="23" t="inlineStr">
        <is>
          <t>        </t>
        </is>
      </c>
      <c r="G4218" s="23" t="n">
        <v>976</v>
      </c>
      <c r="H4218" s="23" t="n">
        <v>10</v>
      </c>
      <c r="I4218" s="23" t="n">
        <v>10</v>
      </c>
      <c r="J4218" s="23" t="inlineStr">
        <is>
          <t>978-5-9524-6569-5</t>
        </is>
      </c>
      <c r="K4218" s="23" t="inlineStr">
        <is>
          <t>84x108 1/32</t>
        </is>
      </c>
      <c r="L4218" s="23" t="inlineStr">
        <is>
          <t>тв</t>
        </is>
      </c>
      <c r="M4218" s="23" t="n">
        <v>287</v>
      </c>
      <c r="N4218" s="23" t="n">
        <v>2026</v>
      </c>
      <c r="O4218" s="23" t="n">
        <v>342</v>
      </c>
      <c r="P4218" s="23" t="n"/>
      <c r="Q4218" s="23" t="n"/>
      <c r="R4218" s="25" t="inlineStr">
        <is>
          <t>Царь Соломон, мудрейший из мудрых, — символ мудрости всего рода человеческого. Эпоха его царствования была проникнута обаянием образа величественного правителя. Народ переживал период мирного строительства, были доведены до совершенства торговые связи, создан Храм, объединивший в духовное целое народ Израиля и Иудеи, составлены основные книги Ветхого Завета. В сознании людей укоренялись чувства законности и справедливости. Автор книги Фридрих Тибергер — всемирно известный ученый-гебраист, друг и собеседник Франца Кафки — не ставит задач необоснованного возвеличивания. Он критически оценивает источники с позиций современных исторических знаний, а его тонкий и глубокий анализ древних текстов раскрывает пронзительный трагизм непреодолимого одиночества мудрейшего из мудрых.</t>
        </is>
      </c>
      <c r="S4218" s="26">
        <f>HYPERLINK("http://www.cnpol.ru/covers/21899.jpg","фото на сайте")</f>
        <v/>
      </c>
    </row>
    <row r="4219" ht="50.1" customHeight="1" s="3">
      <c r="A4219" s="23" t="inlineStr">
        <is>
          <t>Д</t>
        </is>
      </c>
      <c r="B4219" s="24" t="inlineStr">
        <is>
          <t>21148</t>
        </is>
      </c>
      <c r="C4219" s="23" t="inlineStr">
        <is>
          <t>ПРАВИТЕЛИ</t>
        </is>
      </c>
      <c r="D4219" s="23" t="inlineStr">
        <is>
          <t>Лэмб Г.</t>
        </is>
      </c>
      <c r="E4219" s="23" t="inlineStr">
        <is>
          <t>Чингисхан. Властелин мира</t>
        </is>
      </c>
      <c r="F4219" s="23" t="inlineStr">
        <is>
          <t>        </t>
        </is>
      </c>
      <c r="G4219" s="23" t="n">
        <v>976</v>
      </c>
      <c r="H4219" s="23" t="n">
        <v>10</v>
      </c>
      <c r="I4219" s="23" t="n">
        <v>12</v>
      </c>
      <c r="J4219" s="23" t="inlineStr">
        <is>
          <t>978-5-9524-6147-5</t>
        </is>
      </c>
      <c r="K4219" s="23" t="inlineStr">
        <is>
          <t>84x108 1/32</t>
        </is>
      </c>
      <c r="L4219" s="23" t="inlineStr">
        <is>
          <t>тв</t>
        </is>
      </c>
      <c r="M4219" s="23" t="n">
        <v>301</v>
      </c>
      <c r="N4219" s="23" t="n">
        <v>2024</v>
      </c>
      <c r="O4219" s="23" t="n">
        <v>360</v>
      </c>
      <c r="P4219" s="23" t="n"/>
      <c r="Q4219" s="23" t="n"/>
      <c r="R4219" s="25" t="inlineStr">
        <is>
          <t>Семьсот лет назад изгою Чингисхану удалось вернуть свое ханство и изменить ход мировой истории. Он покорил три сильнейшие империи и вошел в историю как великий воин и жестокий основатель татаро-монгольского ига. В книге ярко и живо повествуется обо всех значительных событиях эпохи правления Чингисхана, о жестокости и прогрессивных преобразованиях великого правителя, заставившего пятьдесят народов жить по своим законам.</t>
        </is>
      </c>
      <c r="S4219" s="26">
        <f>HYPERLINK("http://www.cnpol.ru/covers/21148.jpg","фото на сайте")</f>
        <v/>
      </c>
    </row>
    <row r="4220" ht="50.1" customHeight="1" s="3">
      <c r="A4220" s="23" t="inlineStr">
        <is>
          <t>Д</t>
        </is>
      </c>
      <c r="B4220" s="24" t="inlineStr">
        <is>
          <t>22062</t>
        </is>
      </c>
      <c r="C4220" s="23" t="inlineStr">
        <is>
          <t>ПРАВИТЕЛИ</t>
        </is>
      </c>
      <c r="D4220" s="23" t="inlineStr">
        <is>
          <t>Лэмб Г.</t>
        </is>
      </c>
      <c r="E4220" s="23" t="inlineStr">
        <is>
          <t>Чингисхан. Властелин мира</t>
        </is>
      </c>
      <c r="F4220" s="23" t="inlineStr">
        <is>
          <t>        </t>
        </is>
      </c>
      <c r="G4220" s="23" t="n">
        <v>976</v>
      </c>
      <c r="H4220" s="23" t="n">
        <v>10</v>
      </c>
      <c r="I4220" s="23" t="n">
        <v>10</v>
      </c>
      <c r="J4220" s="23" t="inlineStr">
        <is>
          <t>978-5-9524-6654-8</t>
        </is>
      </c>
      <c r="K4220" s="23" t="inlineStr">
        <is>
          <t>84x108 1/32</t>
        </is>
      </c>
      <c r="L4220" s="23" t="inlineStr">
        <is>
          <t>тв</t>
        </is>
      </c>
      <c r="M4220" s="23" t="n">
        <v>301</v>
      </c>
      <c r="N4220" s="23" t="n">
        <v>2026</v>
      </c>
      <c r="O4220" s="23" t="n">
        <v>360</v>
      </c>
      <c r="P4220" s="23" t="n"/>
      <c r="Q4220" s="23" t="n"/>
      <c r="R4220" s="25" t="inlineStr">
        <is>
          <t>Семьсот лет назад изгою Чингисхану удалось вернуть свое ханство и изменить ход мировой истории. Он покорил три сильнейшие империи и вошел в историю как великий воин и жестокий основатель татаро-монгольского ига. В книге ярко и живо повествуется обо всех значительных событиях эпохи правления Чингисхана, о жестокости и прогрессивных преобразованиях великого правителя, заставившего пятьдесят народов жить по своим законам.</t>
        </is>
      </c>
      <c r="S4220" s="26">
        <f>HYPERLINK("http://www.cnpol.ru/covers/22062.jpg","фото на сайте")</f>
        <v/>
      </c>
    </row>
    <row r="4221" ht="50.1" customHeight="1" s="3">
      <c r="A4221" s="23" t="inlineStr">
        <is>
          <t>Н</t>
        </is>
      </c>
      <c r="B4221" s="24" t="inlineStr">
        <is>
          <t>21876</t>
        </is>
      </c>
      <c r="C4221" s="23" t="inlineStr">
        <is>
          <t>ПРАВИТЕЛИ</t>
        </is>
      </c>
      <c r="D4221" s="23" t="inlineStr">
        <is>
          <t>Вейгалл А.</t>
        </is>
      </c>
      <c r="E4221" s="23" t="inlineStr">
        <is>
          <t>Эхнатон. Фараон-вероотступник</t>
        </is>
      </c>
      <c r="F4221" s="23" t="inlineStr">
        <is>
          <t>        </t>
        </is>
      </c>
      <c r="G4221" s="23" t="n">
        <v>762</v>
      </c>
      <c r="H4221" s="23" t="n">
        <v>10</v>
      </c>
      <c r="I4221" s="23" t="n">
        <v>12</v>
      </c>
      <c r="J4221" s="23" t="inlineStr">
        <is>
          <t>978-5-9524-6236-6</t>
        </is>
      </c>
      <c r="K4221" s="23" t="inlineStr">
        <is>
          <t>84x108 1/32</t>
        </is>
      </c>
      <c r="L4221" s="23" t="inlineStr">
        <is>
          <t>тв</t>
        </is>
      </c>
      <c r="M4221" s="23" t="n">
        <v>191</v>
      </c>
      <c r="N4221" s="23" t="n">
        <v>2026</v>
      </c>
      <c r="O4221" s="23" t="n">
        <v>259</v>
      </c>
      <c r="P4221" s="23" t="n"/>
      <c r="Q4221" s="23" t="n"/>
      <c r="R4221" s="25" t="inlineStr">
        <is>
          <t>Артур Вейгалл, принимавший участие в раскопках в Египте, избегая предвзятых оценок и непроверенных мнений, предлагает увлекательную и наиболее полную из существующих биографий египетского фараона Аменхотепа IV, который вошел в историю как религиозный реформатор. Утвердивший культ единого бога Атона, он принял имя Эхнатон — «угодный Атону».</t>
        </is>
      </c>
      <c r="S4221" s="26">
        <f>HYPERLINK("http://www.cnpol.ru/covers/21876.jpg","фото на сайте")</f>
        <v/>
      </c>
    </row>
    <row r="4222" ht="50.1" customHeight="1" s="3">
      <c r="A4222" s="23" t="n"/>
      <c r="B4222" s="24" t="inlineStr">
        <is>
          <t>17225</t>
        </is>
      </c>
      <c r="C4222" s="23" t="inlineStr">
        <is>
          <t>ПРИЛЕПИН</t>
        </is>
      </c>
      <c r="D4222" s="23" t="inlineStr">
        <is>
          <t>Демьян И.</t>
        </is>
      </c>
      <c r="E4222" s="23" t="inlineStr">
        <is>
          <t>15 ветреных лет</t>
        </is>
      </c>
      <c r="F4222" s="23" t="inlineStr">
        <is>
          <t>        </t>
        </is>
      </c>
      <c r="G4222" s="23" t="n">
        <v>704</v>
      </c>
      <c r="H4222" s="23" t="n">
        <v>10</v>
      </c>
      <c r="I4222" s="23" t="n">
        <v>18</v>
      </c>
      <c r="J4222" s="23" t="inlineStr">
        <is>
          <t>978-5-227-06616-9</t>
        </is>
      </c>
      <c r="K4222" s="23" t="inlineStr">
        <is>
          <t>82x100 1/32</t>
        </is>
      </c>
      <c r="L4222" s="23" t="inlineStr">
        <is>
          <t>тв</t>
        </is>
      </c>
      <c r="M4222" s="23" t="n">
        <v>224</v>
      </c>
      <c r="N4222" s="23" t="n">
        <v>2016</v>
      </c>
      <c r="O4222" s="23" t="n">
        <v>232</v>
      </c>
      <c r="P4222" s="23" t="n"/>
      <c r="Q4222" s="23" t="n"/>
      <c r="R4222" s="25" t="inlineStr">
        <is>
          <t>Группа «7Б» Ивана Демьяна за более чем пятнадцатилетнюю историю существования уже пережила, казалось бы, все, что может выпасть на долю российской рок­группы. Первые успехи в провинциальных клубах, поиск продюсера в Москве, ночные записи в студии после основной работы, внезапная популярность, выступления на сцене Олимпийского, концерты в горячих точках, провокационные проекты, удивительные встречи, неожиданные дуэты, существование в андеграунде и повторное признание. Многие эпизоды были похожи на настоящее сумасшествие, что вполне оправдывает название.</t>
        </is>
      </c>
      <c r="S4222" s="26">
        <f>HYPERLINK("http://www.cnpol.ru/covers/17225.jpg","фото на сайте")</f>
        <v/>
      </c>
    </row>
    <row r="4223" ht="50.1" customHeight="1" s="3">
      <c r="A4223" s="23" t="n"/>
      <c r="B4223" s="24" t="inlineStr">
        <is>
          <t>17239</t>
        </is>
      </c>
      <c r="C4223" s="23" t="inlineStr">
        <is>
          <t>ПРИЛЕПИН</t>
        </is>
      </c>
      <c r="D4223" s="23" t="inlineStr">
        <is>
          <t>Колобродов А.Ю.</t>
        </is>
      </c>
      <c r="E4223" s="23" t="inlineStr">
        <is>
          <t>Здравые смыслы. Настоящая литература настоящего времени</t>
        </is>
      </c>
      <c r="F4223" s="23" t="inlineStr">
        <is>
          <t>        </t>
        </is>
      </c>
      <c r="G4223" s="23" t="n">
        <v>743</v>
      </c>
      <c r="H4223" s="23" t="n">
        <v>10</v>
      </c>
      <c r="I4223" s="23" t="n">
        <v>14</v>
      </c>
      <c r="J4223" s="23" t="inlineStr">
        <is>
          <t>978-5-227-06615-2</t>
        </is>
      </c>
      <c r="K4223" s="23" t="inlineStr">
        <is>
          <t>84x108 1/32</t>
        </is>
      </c>
      <c r="L4223" s="23" t="inlineStr">
        <is>
          <t>тв</t>
        </is>
      </c>
      <c r="M4223" s="23" t="n">
        <v>416</v>
      </c>
      <c r="N4223" s="23" t="n">
        <v>2016</v>
      </c>
      <c r="O4223" s="23" t="n">
        <v>436</v>
      </c>
      <c r="P4223" s="23" t="n"/>
      <c r="Q4223" s="23" t="n"/>
      <c r="R4223" s="25" t="inlineStr">
        <is>
          <t>Алексей Колобродов — журналист, телеведущий, литературный критик, прозаик. Книга литературной критики «Здравые смыслы» тонкая и ироничная. Неожиданный ракурс интерпретации не отрицает общепринятых канонов, но обходит их по скандальной подчас траектории. Скандальность эта, разумеется, для автора не самоцель, но всегда с удивлением обнаруживаемое свойство как собственного мышления, так и многих классических имен и текстов.</t>
        </is>
      </c>
      <c r="S4223" s="26">
        <f>HYPERLINK("http://www.cnpol.ru/covers/17239.jpg","фото на сайте")</f>
        <v/>
      </c>
    </row>
    <row r="4224" ht="50.1" customHeight="1" s="3">
      <c r="A4224" s="23" t="inlineStr">
        <is>
          <t>Н</t>
        </is>
      </c>
      <c r="B4224" s="24" t="inlineStr">
        <is>
          <t>22273</t>
        </is>
      </c>
      <c r="C4224" s="23" t="inlineStr">
        <is>
          <t>ПРОГУЛКИ ПО МОСКВЕ</t>
        </is>
      </c>
      <c r="D4224" s="23" t="inlineStr">
        <is>
          <t>Романюк С.К</t>
        </is>
      </c>
      <c r="E4224" s="23" t="inlineStr">
        <is>
          <t>Арбат: переулки. Прогулки по центру Москвы</t>
        </is>
      </c>
      <c r="F4224" s="23" t="inlineStr">
        <is>
          <t>        </t>
        </is>
      </c>
      <c r="G4224" s="23" t="n">
        <v>537</v>
      </c>
      <c r="H4224" s="23" t="n">
        <v>10</v>
      </c>
      <c r="I4224" s="23" t="n">
        <v>10</v>
      </c>
      <c r="J4224" s="23" t="inlineStr">
        <is>
          <t>978-5-227-11333-7</t>
        </is>
      </c>
      <c r="K4224" s="23" t="inlineStr">
        <is>
          <t>84x108 1/32</t>
        </is>
      </c>
      <c r="L4224" s="23" t="inlineStr">
        <is>
          <t>мяг</t>
        </is>
      </c>
      <c r="M4224" s="23" t="n">
        <v>255</v>
      </c>
      <c r="N4224" s="23" t="n">
        <v>2026</v>
      </c>
      <c r="O4224" s="23" t="n">
        <v>222</v>
      </c>
      <c r="P4224" s="23" t="n"/>
      <c r="Q4224" s="23" t="n"/>
      <c r="R4224" s="25" t="inlineStr">
        <is>
          <t>Арбат — одна из самых старых московских улиц. Каждый дом здесь наполнен особой, неповторимой атмосферой. Автор предлагает замедлиться и неторопливо осмотреть один из самых известных районов Москвы. Путешествие начнется с Кисловских слобод, мы прогуляемся между Воздвиженкой и Большой Никитской. Затем пройдемся от Пречистенки до Арбата и далее по бесконечным ла-биринтам арбатских переулков, в которых, кажется, заблудилась сама история, пойдем на север, до Поварской улицы. Завершает путе¬шествие прогулка по Поварской слободе, и мы снова вернемся к Большой Никитской.</t>
        </is>
      </c>
      <c r="S4224" s="26">
        <f>HYPERLINK("http://www.cnpol.ru/covers/22273.jpg","фото на сайте")</f>
        <v/>
      </c>
    </row>
    <row r="4225" ht="50.1" customHeight="1" s="3">
      <c r="A4225" s="23" t="inlineStr">
        <is>
          <t>Н</t>
        </is>
      </c>
      <c r="B4225" s="24" t="inlineStr">
        <is>
          <t>21094</t>
        </is>
      </c>
      <c r="C4225" s="23" t="inlineStr">
        <is>
          <t>ПРОГУЛКИ ПО МОСКВЕ</t>
        </is>
      </c>
      <c r="D4225" s="23" t="inlineStr">
        <is>
          <t>Дроздов Д.П.</t>
        </is>
      </c>
      <c r="E4225" s="23" t="inlineStr">
        <is>
          <t>Большая Ордынка. Прогулки по центру Москвы</t>
        </is>
      </c>
      <c r="F4225" s="23" t="inlineStr">
        <is>
          <t>        </t>
        </is>
      </c>
      <c r="G4225" s="23" t="n">
        <v>537</v>
      </c>
      <c r="H4225" s="23" t="n">
        <v>10</v>
      </c>
      <c r="I4225" s="23" t="n">
        <v>8</v>
      </c>
      <c r="J4225" s="23" t="inlineStr">
        <is>
          <t>978-5-227-10554-7</t>
        </is>
      </c>
      <c r="K4225" s="23" t="inlineStr">
        <is>
          <t>84x108 1/32 (обл)</t>
        </is>
      </c>
      <c r="L4225" s="23" t="inlineStr">
        <is>
          <t>мяг</t>
        </is>
      </c>
      <c r="M4225" s="23" t="n">
        <v>286</v>
      </c>
      <c r="N4225" s="23" t="n">
        <v>2024</v>
      </c>
      <c r="O4225" s="23" t="n">
        <v>246</v>
      </c>
      <c r="P4225" s="23" t="n"/>
      <c r="Q4225" s="23" t="n"/>
      <c r="R4225" s="25" t="inlineStr">
        <is>
          <t>Сложно найти в Москве улицу, которая пережила столько событий, сколько Большая Ордынка, у которой одно название — целая история на сотни лет. Эта улица как живой учебник истории Замоскворечья и Москвы. Ордынка сохранила редкие памятники архитектуры разных эпох… Вместе с автором книги вы совершите увлекательное путешествие во времени. Вас ждет рассказ почти о каждом доме на этой старинной улице.</t>
        </is>
      </c>
      <c r="S4225" s="26">
        <f>HYPERLINK("http://www.cnpol.ru/covers/21094.jpg","фото на сайте")</f>
        <v/>
      </c>
    </row>
    <row r="4226" ht="50.1" customHeight="1" s="3">
      <c r="A4226" s="23" t="inlineStr">
        <is>
          <t>Н</t>
        </is>
      </c>
      <c r="B4226" s="24" t="inlineStr">
        <is>
          <t>21656</t>
        </is>
      </c>
      <c r="C4226" s="23" t="inlineStr">
        <is>
          <t>ПРОГУЛКИ ПО МОСКВЕ</t>
        </is>
      </c>
      <c r="D4226" s="23" t="inlineStr">
        <is>
          <t>Дроздов Д.П.</t>
        </is>
      </c>
      <c r="E4226" s="23" t="inlineStr">
        <is>
          <t>Большая Полянка. Прогулка по Замоскворечью от Малого Каменного моста до Серпуховской площади</t>
        </is>
      </c>
      <c r="F4226" s="23" t="inlineStr">
        <is>
          <t>        </t>
        </is>
      </c>
      <c r="G4226" s="27" t="n">
        <v>1771</v>
      </c>
      <c r="H4226" s="23" t="n">
        <v>10</v>
      </c>
      <c r="I4226" s="23" t="n">
        <v>4</v>
      </c>
      <c r="J4226" s="23" t="inlineStr">
        <is>
          <t>978-5-227-10775-6</t>
        </is>
      </c>
      <c r="K4226" s="23" t="inlineStr">
        <is>
          <t>84x108 1/32</t>
        </is>
      </c>
      <c r="L4226" s="23" t="inlineStr">
        <is>
          <t>тв</t>
        </is>
      </c>
      <c r="M4226" s="23" t="n">
        <v>511</v>
      </c>
      <c r="N4226" s="23" t="n">
        <v>2025</v>
      </c>
      <c r="O4226" s="23" t="n">
        <v>380</v>
      </c>
      <c r="P4226" s="23" t="n"/>
      <c r="Q4226" s="23" t="n"/>
      <c r="R4226" s="25" t="inlineStr">
        <is>
          <t>Замоскворечье — особое, заповедное место, в котором сохранился дух старой Москвы. Безусловно, не обошлось и без новых построек, особенно в советские годы, когда по Генеральному плану реконструкции Москвы облик города должен был измениться до неузнаваемости. Утрата старинных строений куда больше затронула Большую Полянку, чем Большую Ордынку, но, к счастью, перепланировка остановилась до того, как все историческое наследие этой улицы исчезло с лица земли. И даже те здания, которые были возведены советскими архитекторами, заслуживают отдельного внимания, и их история ничуть не менее увлекательна, чем их старинных собратьев. Сейчас, увы, невозможно увидеть на улицах Первопрестольной давно утраченные церкви и дома, но благодаря включенным в эту книгу старинным фотографиям можно окунуться в прошлое и увидеть эти здания глазами их современников. На страницах этого труда оживает не только история домов, но и история их жителей — от обывателей до знаменитейших людей эпохи. Богато иллюстрированное издание сделает прогулку по Большой Полянке по-настоящему незабываемой._x000D_
Эта книга будет интересна всем любителям истории и конечно же жителям Замоскворечья.</t>
        </is>
      </c>
      <c r="S4226" s="26">
        <f>HYPERLINK("http://www.cnpol.ru/covers/21656.jpg","фото на сайте")</f>
        <v/>
      </c>
    </row>
    <row r="4227" ht="50.1" customHeight="1" s="3">
      <c r="A4227" s="23" t="inlineStr">
        <is>
          <t>Н</t>
        </is>
      </c>
      <c r="B4227" s="24" t="inlineStr">
        <is>
          <t>21385</t>
        </is>
      </c>
      <c r="C4227" s="23" t="inlineStr">
        <is>
          <t>ПРОГУЛКИ ПО МОСКВЕ</t>
        </is>
      </c>
      <c r="D4227" s="23" t="inlineStr">
        <is>
          <t>Васькин А.А</t>
        </is>
      </c>
      <c r="E4227" s="23" t="inlineStr">
        <is>
          <t>В переулках Арбата. Прогулки по центру Москвы</t>
        </is>
      </c>
      <c r="F4227" s="23" t="inlineStr">
        <is>
          <t>        </t>
        </is>
      </c>
      <c r="G4227" s="23" t="n">
        <v>537</v>
      </c>
      <c r="H4227" s="23" t="n">
        <v>10</v>
      </c>
      <c r="I4227" s="23" t="n">
        <v>16</v>
      </c>
      <c r="J4227" s="23" t="inlineStr">
        <is>
          <t>978-5-227-10765-7</t>
        </is>
      </c>
      <c r="K4227" s="23" t="inlineStr">
        <is>
          <t>84x108 1/32</t>
        </is>
      </c>
      <c r="L4227" s="23" t="inlineStr">
        <is>
          <t>Интегр</t>
        </is>
      </c>
      <c r="M4227" s="23" t="n">
        <v>287</v>
      </c>
      <c r="N4227" s="23" t="n">
        <v>2024</v>
      </c>
      <c r="O4227" s="23" t="n">
        <v>254</v>
      </c>
      <c r="P4227" s="23" t="n"/>
      <c r="Q4227" s="23" t="n"/>
      <c r="R4227" s="25" t="inlineStr">
        <is>
          <t>Новая книга известного писателя и историка, автора просветительских программ на радио «Орфей» Александра Васькина продолжает «арбатскую тему», избранную им в прошлой книге «Старый Арбат». На этот раз читатели совершат увлекательную прогулку по Сивцеву Вражку и Кривоарбатскому переулку, завернут в Большой Афанасьевский и Спасопесковский переулки, пройдутся по Малой и Большой Молчановкам, остановятся в Денежном и Малом Николопесковском переулках. Среди героев этой интереснейшей книги — художник Михаил Нестеров и архитектор Константин Мельников, семья литераторов Аксаковых, писатели Лев Толстой и Михаил Шолохов, муза Владимира Маяковского Лиля Брик, советский нарком Анатолий Луначарский и композитор Сергей Прокофьев, богатейший человек царской России Николай Второв и многие-многие другие. Мы также побываем на балу у Воланда и в родильном доме Грауэрмана, заглянем на званый вечер, где послушаем самого Николая Гоголя, а еще узнаем — какой арбатский переулок хотели переименовать в «переулок Независимого Афганистана»…</t>
        </is>
      </c>
      <c r="S4227" s="26">
        <f>HYPERLINK("http://www.cnpol.ru/covers/21385.jpg","фото на сайте")</f>
        <v/>
      </c>
    </row>
    <row r="4228" ht="50.1" customHeight="1" s="3">
      <c r="A4228" s="23" t="n"/>
      <c r="B4228" s="24" t="inlineStr">
        <is>
          <t>17408</t>
        </is>
      </c>
      <c r="C4228" s="23" t="inlineStr">
        <is>
          <t>ПРОГУЛКИ ПО МОСКВЕ</t>
        </is>
      </c>
      <c r="D4228" s="23" t="inlineStr">
        <is>
          <t>Рогачев А.</t>
        </is>
      </c>
      <c r="E4228" s="23" t="inlineStr">
        <is>
          <t>Дмитровское шоссе. Расцвет, упадок и большие надежды Дмитровского направления</t>
        </is>
      </c>
      <c r="F4228" s="23" t="inlineStr">
        <is>
          <t>        </t>
        </is>
      </c>
      <c r="G4228" s="23" t="n">
        <v>463</v>
      </c>
      <c r="H4228" s="23" t="n">
        <v>10</v>
      </c>
      <c r="I4228" s="23" t="n">
        <v>20</v>
      </c>
      <c r="J4228" s="23" t="inlineStr">
        <is>
          <t>978-5-227-06633-6</t>
        </is>
      </c>
      <c r="K4228" s="23" t="inlineStr">
        <is>
          <t>75х108 1/32</t>
        </is>
      </c>
      <c r="L4228" s="23" t="inlineStr">
        <is>
          <t>мяг</t>
        </is>
      </c>
      <c r="M4228" s="23" t="n">
        <v>320</v>
      </c>
      <c r="N4228" s="23" t="n">
        <v>2017</v>
      </c>
      <c r="O4228" s="23" t="n">
        <v>218</v>
      </c>
      <c r="P4228" s="23" t="n"/>
      <c r="Q4228" s="23" t="n"/>
      <c r="R4228" s="25" t="inlineStr">
        <is>
          <t>Первое исследование, посвященное северному радиусу Москвы, ведущему к подмосковному городу Дмитрову. Радиус не пользуется особой популярностью путеводителей по Москве и среди всех московских магистралей выделяется своей нелегкой судьбой и удивительным обилием громких ка­тастроф. Помимо рассказа об истории и застройке улиц, составляющих северный радиус, в книге затрагиваются проблемы современного состояния города, оцениваются удачи и просчеты ведущейся реконструкции.</t>
        </is>
      </c>
      <c r="S4228" s="26">
        <f>HYPERLINK("http://www.cnpol.ru/covers/17408.jpg","фото на сайте")</f>
        <v/>
      </c>
    </row>
    <row r="4229" ht="50.1" customHeight="1" s="3">
      <c r="A4229" s="23" t="n"/>
      <c r="B4229" s="24" t="inlineStr">
        <is>
          <t>18369</t>
        </is>
      </c>
      <c r="C4229" s="23" t="inlineStr">
        <is>
          <t>ПРОГУЛКИ ПО МОСКВЕ</t>
        </is>
      </c>
      <c r="D4229" s="23" t="inlineStr">
        <is>
          <t>Романюк С.К</t>
        </is>
      </c>
      <c r="E4229" s="23" t="inlineStr">
        <is>
          <t>Никольская, улица известная всему миру</t>
        </is>
      </c>
      <c r="F4229" s="23" t="inlineStr">
        <is>
          <t>        </t>
        </is>
      </c>
      <c r="G4229" s="23" t="n">
        <v>409</v>
      </c>
      <c r="H4229" s="23" t="n">
        <v>10</v>
      </c>
      <c r="I4229" s="23" t="n">
        <v>16</v>
      </c>
      <c r="J4229" s="23" t="inlineStr">
        <is>
          <t>978-5-227-07869-8</t>
        </is>
      </c>
      <c r="K4229" s="23" t="inlineStr">
        <is>
          <t>75х108 1/32</t>
        </is>
      </c>
      <c r="L4229" s="23" t="inlineStr">
        <is>
          <t>мяг</t>
        </is>
      </c>
      <c r="M4229" s="23" t="n">
        <v>224</v>
      </c>
      <c r="N4229" s="23" t="n">
        <v>2018</v>
      </c>
      <c r="O4229" s="23" t="n">
        <v>174</v>
      </c>
      <c r="P4229" s="23" t="n"/>
      <c r="Q4229" s="23" t="n"/>
      <c r="R4229" s="25" t="n"/>
      <c r="S4229" s="26">
        <f>HYPERLINK("http://www.cnpol.ru/covers/18369.jpg","фото на сайте")</f>
        <v/>
      </c>
    </row>
    <row r="4230" ht="50.1" customHeight="1" s="3">
      <c r="A4230" s="23" t="inlineStr">
        <is>
          <t>Н</t>
        </is>
      </c>
      <c r="B4230" s="24" t="inlineStr">
        <is>
          <t>22306</t>
        </is>
      </c>
      <c r="C4230" s="23" t="inlineStr">
        <is>
          <t>ПРОГУЛКИ ПО МОСКВЕ</t>
        </is>
      </c>
      <c r="D4230" s="23" t="inlineStr">
        <is>
          <t>Романюк С.К</t>
        </is>
      </c>
      <c r="E4230" s="23" t="inlineStr">
        <is>
          <t>Остоженка: переулки. Прогулки по центру Москвы</t>
        </is>
      </c>
      <c r="F4230" s="23" t="inlineStr">
        <is>
          <t>        </t>
        </is>
      </c>
      <c r="G4230" s="23" t="n">
        <v>537</v>
      </c>
      <c r="H4230" s="23" t="n">
        <v>10</v>
      </c>
      <c r="I4230" s="23" t="n">
        <v>14</v>
      </c>
      <c r="J4230" s="23" t="inlineStr">
        <is>
          <t>978-5-227-11335-1</t>
        </is>
      </c>
      <c r="K4230" s="23" t="inlineStr">
        <is>
          <t>84x108 1/32</t>
        </is>
      </c>
      <c r="L4230" s="23" t="inlineStr">
        <is>
          <t>мяг</t>
        </is>
      </c>
      <c r="M4230" s="23" t="n">
        <v>191</v>
      </c>
      <c r="N4230" s="23" t="n">
        <v>2026</v>
      </c>
      <c r="O4230" s="23" t="n">
        <v>167</v>
      </c>
      <c r="P4230" s="23" t="n"/>
      <c r="Q4230" s="23" t="n"/>
      <c r="R4230" s="25" t="inlineStr">
        <is>
          <t>И вновь мы отправляемся в путешествие по центру столицы. На сей раз читатель, следуя тексту, пройдет от набережной Москвы-реки до Остоженки. Через извилистую сеть переулков выйдет на Пречистенку и опять по набережной прогуляется до Знаменки и далее до Воздвиженки. Автор ставил себе целью рассказать как можно полнее о том, что мало известно, а то и вовсе неведомо, о чем можно узнать, лишь заглянув в глубины архивных хранилищ, стремясь ознакомить читателя хотя бы с малой частью огромного культурно-исторического наследия Москвы.</t>
        </is>
      </c>
      <c r="S4230" s="26">
        <f>HYPERLINK("http://www.cnpol.ru/covers/22306.jpg","фото на сайте")</f>
        <v/>
      </c>
    </row>
    <row r="4231" ht="50.1" customHeight="1" s="3">
      <c r="A4231" s="23" t="inlineStr">
        <is>
          <t>Н</t>
        </is>
      </c>
      <c r="B4231" s="24" t="inlineStr">
        <is>
          <t>22305</t>
        </is>
      </c>
      <c r="C4231" s="23" t="inlineStr">
        <is>
          <t>ПРОГУЛКИ ПО МОСКВЕ</t>
        </is>
      </c>
      <c r="D4231" s="23" t="inlineStr">
        <is>
          <t>Романюк С.К</t>
        </is>
      </c>
      <c r="E4231" s="23" t="inlineStr">
        <is>
          <t>Патриаршие пруды. Прогулки по центру Москвы</t>
        </is>
      </c>
      <c r="F4231" s="23" t="inlineStr">
        <is>
          <t>        </t>
        </is>
      </c>
      <c r="G4231" s="23" t="n">
        <v>537</v>
      </c>
      <c r="H4231" s="23" t="n">
        <v>10</v>
      </c>
      <c r="I4231" s="23" t="n">
        <v>14</v>
      </c>
      <c r="J4231" s="23" t="inlineStr">
        <is>
          <t>978-5-227-11403-7</t>
        </is>
      </c>
      <c r="K4231" s="23" t="inlineStr">
        <is>
          <t>84x108 1/32</t>
        </is>
      </c>
      <c r="L4231" s="23" t="inlineStr">
        <is>
          <t>мяг</t>
        </is>
      </c>
      <c r="M4231" s="23" t="n">
        <v>191</v>
      </c>
      <c r="N4231" s="23" t="n">
        <v>2026</v>
      </c>
      <c r="O4231" s="23" t="n">
        <v>168</v>
      </c>
      <c r="P4231" s="23" t="n"/>
      <c r="Q4231" s="23" t="n"/>
      <c r="R4231" s="25" t="inlineStr">
        <is>
          <t>Очередная прогулка по переулкам старой Москвы начнется с района легендарных Патриарших прудов. По часовой стрелке мы отправимся в путешествие от Малой Никитской улицы и пройдемся до Тверской, а затем по Старым Воротникам дойдем сначала до Малой Дмитровки, а потом и до Большой и побродим в Шубино и Глинищах, снова свернем к Тверской и через Успенский Вражек, замыкая круг, спустимся к Большой Никитской. Автор рассказывает о тех сокровищах, которые «спрятаны» в прихотливом лабиринте переулков, вдали от проторенных туристами путей, о выдающихся сооружениях и дорогих всем памятных местах, связанных с великими именами в истории нашей страны.</t>
        </is>
      </c>
      <c r="S4231" s="26">
        <f>HYPERLINK("http://www.cnpol.ru/covers/22305.jpg","фото на сайте")</f>
        <v/>
      </c>
    </row>
    <row r="4232" ht="50.1" customHeight="1" s="3">
      <c r="A4232" s="23" t="inlineStr">
        <is>
          <t>Н</t>
        </is>
      </c>
      <c r="B4232" s="24" t="inlineStr">
        <is>
          <t>21095</t>
        </is>
      </c>
      <c r="C4232" s="23" t="inlineStr">
        <is>
          <t>ПРОГУЛКИ ПО МОСКВЕ</t>
        </is>
      </c>
      <c r="D4232" s="23" t="inlineStr">
        <is>
          <t>Дроздов Д.П.</t>
        </is>
      </c>
      <c r="E4232" s="23" t="inlineStr">
        <is>
          <t>Переулки Замоскворечья. Прогулки по центру Москвы</t>
        </is>
      </c>
      <c r="F4232" s="23" t="inlineStr">
        <is>
          <t>        </t>
        </is>
      </c>
      <c r="G4232" s="23" t="n">
        <v>537</v>
      </c>
      <c r="H4232" s="23" t="n">
        <v>10</v>
      </c>
      <c r="I4232" s="23" t="n">
        <v>8</v>
      </c>
      <c r="J4232" s="23" t="inlineStr">
        <is>
          <t>978-5-227-10553-0</t>
        </is>
      </c>
      <c r="K4232" s="23" t="inlineStr">
        <is>
          <t>84x108 1/32 (обл)</t>
        </is>
      </c>
      <c r="L4232" s="23" t="inlineStr">
        <is>
          <t>мяг</t>
        </is>
      </c>
      <c r="M4232" s="23" t="n">
        <v>254</v>
      </c>
      <c r="N4232" s="23" t="n">
        <v>2024</v>
      </c>
      <c r="O4232" s="23" t="n">
        <v>220</v>
      </c>
      <c r="P4232" s="23" t="n"/>
      <c r="Q4232" s="23" t="n"/>
      <c r="R4232" s="25" t="inlineStr">
        <is>
          <t>В тихих переулочках Замоскворечья укрылась от посторонних взоров старая Москва, которую читателю и предстоит отыскать. Здесь и палаты, спрятанные во дворе советского жилого дома, и старинные храмы, и усадьбы, принадлежавшие когда-то патриархальным замоскворецким купцам. Вместе с автором книги вы совершите увлекательное путешествие во времени. В путь!</t>
        </is>
      </c>
      <c r="S4232" s="26">
        <f>HYPERLINK("http://www.cnpol.ru/covers/21095.jpg","фото на сайте")</f>
        <v/>
      </c>
    </row>
    <row r="4233" ht="50.1" customHeight="1" s="3">
      <c r="A4233" s="23" t="inlineStr">
        <is>
          <t>Д</t>
        </is>
      </c>
      <c r="B4233" s="24" t="inlineStr">
        <is>
          <t>22260</t>
        </is>
      </c>
      <c r="C4233" s="23" t="inlineStr">
        <is>
          <t>ПРОГУЛКИ ПО МОСКВЕ</t>
        </is>
      </c>
      <c r="D4233" s="23" t="inlineStr">
        <is>
          <t>Дроздов Д.П.</t>
        </is>
      </c>
      <c r="E4233" s="23" t="inlineStr">
        <is>
          <t>Пешеходные прогулки по центру Москвы</t>
        </is>
      </c>
      <c r="F4233" s="23" t="inlineStr">
        <is>
          <t>        </t>
        </is>
      </c>
      <c r="G4233" s="27" t="n">
        <v>1124</v>
      </c>
      <c r="H4233" s="23" t="n">
        <v>10</v>
      </c>
      <c r="I4233" s="23" t="n">
        <v>10</v>
      </c>
      <c r="J4233" s="23" t="inlineStr">
        <is>
          <t>978-5-227-11334-4</t>
        </is>
      </c>
      <c r="K4233" s="23" t="inlineStr">
        <is>
          <t>84x108 1/32</t>
        </is>
      </c>
      <c r="L4233" s="23" t="inlineStr">
        <is>
          <t>тв</t>
        </is>
      </c>
      <c r="M4233" s="23" t="n">
        <v>429</v>
      </c>
      <c r="N4233" s="23" t="n">
        <v>2026</v>
      </c>
      <c r="O4233" s="23" t="n">
        <v>464</v>
      </c>
      <c r="P4233" s="23" t="n"/>
      <c r="Q4233" s="23" t="n"/>
      <c r="R4233" s="25" t="inlineStr">
        <is>
          <t>Зачастую мы так спешим от метро до работы и обратно или торопимся к месту встречи, что не замечаем многого даже на хоженых-перехоженых улицах. А уж заглянуть в тихий переулок обычно и в голову не приходит! Московские переулки дарят нам столько ярких впечатлений и хранят столько тайн и загадок, что приходится лишь удивляться, как близко к нам на самом деле находятся эти удивительные места._x000D_
Каждое из описанных в книге зданий расположено в пяти—семи минутах ходьбы от одной из центральных станций метро. Это значительно упрощает изучение этих памятников. Представьте, например, что ваш друг или деловой партнер задерживается на пятнадцать минут. Вместо того чтобы бесполезно стоять и ждать его, вы можете прогуляться до ближайшего интересного здания, предварительно узнав его историю из книги. Даже в свободное, случайно появившееся время у вас есть возможность изучать любимый город!</t>
        </is>
      </c>
      <c r="S4233" s="26">
        <f>HYPERLINK("http://www.cnpol.ru/covers/22260.jpg","фото на сайте")</f>
        <v/>
      </c>
    </row>
    <row r="4234" ht="50.1" customHeight="1" s="3">
      <c r="A4234" s="23" t="inlineStr">
        <is>
          <t>Д</t>
        </is>
      </c>
      <c r="B4234" s="24" t="inlineStr">
        <is>
          <t>21782</t>
        </is>
      </c>
      <c r="C4234" s="23" t="inlineStr">
        <is>
          <t>ПРОГУЛКИ ПО МОСКВЕ</t>
        </is>
      </c>
      <c r="D4234" s="23" t="inlineStr">
        <is>
          <t>Васькин А.А</t>
        </is>
      </c>
      <c r="E4234" s="23" t="inlineStr">
        <is>
          <t>Старый Арбат. Прогулки по центру Москвы</t>
        </is>
      </c>
      <c r="F4234" s="23" t="inlineStr">
        <is>
          <t>        </t>
        </is>
      </c>
      <c r="G4234" s="23" t="n">
        <v>537</v>
      </c>
      <c r="H4234" s="23" t="n">
        <v>10</v>
      </c>
      <c r="I4234" s="23" t="n">
        <v>16</v>
      </c>
      <c r="J4234" s="23" t="inlineStr">
        <is>
          <t>978-5-227-11107-4</t>
        </is>
      </c>
      <c r="K4234" s="23" t="inlineStr">
        <is>
          <t>84x108 1/32</t>
        </is>
      </c>
      <c r="L4234" s="23" t="inlineStr">
        <is>
          <t>Интегр</t>
        </is>
      </c>
      <c r="M4234" s="23" t="n">
        <v>319</v>
      </c>
      <c r="N4234" s="23" t="n">
        <v>2025</v>
      </c>
      <c r="O4234" s="23" t="n">
        <v>277</v>
      </c>
      <c r="P4234" s="23" t="n"/>
      <c r="Q4234" s="23" t="n"/>
      <c r="R4234" s="25" t="inlineStr">
        <is>
          <t>Кто из нас не был на Арбате — одной из самых древних московских улиц (и не менее знаменитой!). Вот уже более пяти столетий с Арбатом связаны важнейшие события в истории нашей страны. Но Арбат — это и сама история, где каждый дом наполнен своей неповторимой атмосферой, которую нам поможет вдохнуть эта интереснейшая книга-путеводитель. Вместе с писателем и историком Александром Васькиным мы отобедаем в ресторане «Прага», приоткроем занавес Вахтанговского театра, заглянем в мемориальную квартиру Александра Пушкина, зайдем в гости в арбатскую коммуналку Геннадия Шпаликова, посетим Дом актера. А еще нас ждет встреча с Михаилом Булгаковым, Иваном Буниным, Булатом Окуджавой, Юрием Казаковым, Анатолием Рыбаковым, Алексеем Лосевым, Юрием Любимовым и многими другими замечательными людьми, жизнь которых тесно связана с Арбатом.</t>
        </is>
      </c>
      <c r="S4234" s="26">
        <f>HYPERLINK("http://www.cnpol.ru/covers/21782.jpg","фото на сайте")</f>
        <v/>
      </c>
    </row>
    <row r="4235" ht="50.1" customHeight="1" s="3">
      <c r="A4235" s="23" t="n"/>
      <c r="B4235" s="24" t="inlineStr">
        <is>
          <t>20953</t>
        </is>
      </c>
      <c r="C4235" s="23" t="inlineStr">
        <is>
          <t>ПРОГУЛКИ ПО МОСКВЕ</t>
        </is>
      </c>
      <c r="D4235" s="23" t="inlineStr">
        <is>
          <t>Васькин А.А</t>
        </is>
      </c>
      <c r="E4235" s="23" t="inlineStr">
        <is>
          <t>Улица Тверская. Прогулки по центру Москвы</t>
        </is>
      </c>
      <c r="F4235" s="23" t="inlineStr">
        <is>
          <t>        </t>
        </is>
      </c>
      <c r="G4235" s="23" t="n">
        <v>738</v>
      </c>
      <c r="H4235" s="23" t="n">
        <v>10</v>
      </c>
      <c r="I4235" s="23" t="n">
        <v>6</v>
      </c>
      <c r="J4235" s="23" t="inlineStr">
        <is>
          <t>978-5-227-10548-6</t>
        </is>
      </c>
      <c r="K4235" s="23" t="inlineStr">
        <is>
          <t>84x108 1/32</t>
        </is>
      </c>
      <c r="L4235" s="23" t="inlineStr">
        <is>
          <t>Интегр</t>
        </is>
      </c>
      <c r="M4235" s="23" t="n">
        <v>448</v>
      </c>
      <c r="N4235" s="23" t="n">
        <v>2024</v>
      </c>
      <c r="O4235" s="23" t="n">
        <v>382</v>
      </c>
      <c r="P4235" s="23" t="n"/>
      <c r="Q4235" s="23" t="n"/>
      <c r="R4235" s="25" t="inlineStr">
        <is>
          <t>Что может быть интереснее прогулки по самой главной и древней улице Москвы? Стоящие на ней дома поведают нам свою историю, назовут имена живших в них когда-то людей. Прислушаемся к этому рассказу, ведь в нем так много неизвестного и загадочного. Вместе с автором мы почувствуем запах филипповских калачей, осмотрим интерьеры Елисеевского магазина, погостим в отеле «Националь». Потанцуем на балу у князя Долгорукова, обратим внимание на переехавшие дома и памятники. А еще нам встретятся те, кто когда-то здесь жил и бывал, — поэты Пушкин и Лермонтов, генерал Скобелев и издатель Сытин, архитекторы Казаков и Шехтель, писатели Гоголь и Булгаков, купец-душегуб Мазурин и террорист Савинков…</t>
        </is>
      </c>
      <c r="S4235" s="26">
        <f>HYPERLINK("http://www.cnpol.ru/covers/20953.jpg","фото на сайте")</f>
        <v/>
      </c>
    </row>
    <row r="4236" ht="50.1" customHeight="1" s="3">
      <c r="A4236" s="23" t="n"/>
      <c r="B4236" s="24" t="inlineStr">
        <is>
          <t>17407</t>
        </is>
      </c>
      <c r="C4236" s="23" t="inlineStr">
        <is>
          <t>ПРОГУЛКИ ПО МОСКВЕ</t>
        </is>
      </c>
      <c r="D4236" s="23" t="inlineStr">
        <is>
          <t>Рогачев А.</t>
        </is>
      </c>
      <c r="E4236" s="23" t="inlineStr">
        <is>
          <t>Шоссе Энтузиастов. Дорога великих свершений</t>
        </is>
      </c>
      <c r="F4236" s="23" t="inlineStr">
        <is>
          <t>        </t>
        </is>
      </c>
      <c r="G4236" s="23" t="n">
        <v>437</v>
      </c>
      <c r="H4236" s="23" t="n">
        <v>10</v>
      </c>
      <c r="I4236" s="23" t="n">
        <v>20</v>
      </c>
      <c r="J4236" s="23" t="inlineStr">
        <is>
          <t>978-5-227-06621-3</t>
        </is>
      </c>
      <c r="K4236" s="23" t="inlineStr">
        <is>
          <t>75х108 1/32</t>
        </is>
      </c>
      <c r="L4236" s="23" t="inlineStr">
        <is>
          <t>мяг</t>
        </is>
      </c>
      <c r="M4236" s="23" t="n">
        <v>288</v>
      </c>
      <c r="N4236" s="23" t="n">
        <v>2017</v>
      </c>
      <c r="O4236" s="23" t="n">
        <v>196</v>
      </c>
      <c r="P4236" s="23" t="n"/>
      <c r="Q4236" s="23" t="n"/>
      <c r="R4236" s="25" t="n"/>
      <c r="S4236" s="26">
        <f>HYPERLINK("http://www.cnpol.ru/covers/17407.jpg","фото на сайте")</f>
        <v/>
      </c>
    </row>
    <row r="4237" ht="50.1" customHeight="1" s="3">
      <c r="A4237" s="23" t="n"/>
      <c r="B4237" s="24" t="inlineStr">
        <is>
          <t>18352</t>
        </is>
      </c>
      <c r="C4237" s="23" t="inlineStr">
        <is>
          <t>ПРОДУКТЫ</t>
        </is>
      </c>
      <c r="D4237" s="23" t="inlineStr">
        <is>
          <t>Пигулевская И.С.</t>
        </is>
      </c>
      <c r="E4237" s="23" t="inlineStr">
        <is>
          <t>Сыр вкусный, целебный. Варим, едим, лечимся</t>
        </is>
      </c>
      <c r="F4237" s="23" t="inlineStr">
        <is>
          <t>        </t>
        </is>
      </c>
      <c r="G4237" s="23" t="n">
        <v>248</v>
      </c>
      <c r="H4237" s="23" t="n">
        <v>10</v>
      </c>
      <c r="I4237" s="23" t="n">
        <v>16</v>
      </c>
      <c r="J4237" s="23" t="inlineStr">
        <is>
          <t>978-5-227-08285-5</t>
        </is>
      </c>
      <c r="K4237" s="23" t="inlineStr">
        <is>
          <t>84x108 1/32 (обл)</t>
        </is>
      </c>
      <c r="L4237" s="23" t="inlineStr">
        <is>
          <t>мяг</t>
        </is>
      </c>
      <c r="M4237" s="23" t="n">
        <v>256</v>
      </c>
      <c r="N4237" s="23" t="n">
        <v>2018</v>
      </c>
      <c r="O4237" s="23" t="n">
        <v>156</v>
      </c>
      <c r="P4237" s="23" t="n"/>
      <c r="Q4237" s="23" t="n"/>
      <c r="R4237" s="25" t="n"/>
      <c r="S4237" s="26">
        <f>HYPERLINK("http://www.cnpol.ru/covers/18352.jpg","фото на сайте")</f>
        <v/>
      </c>
    </row>
    <row r="4238" ht="50.1" customHeight="1" s="3">
      <c r="A4238" s="23" t="n"/>
      <c r="B4238" s="24" t="inlineStr">
        <is>
          <t>2804</t>
        </is>
      </c>
      <c r="C4238" s="23" t="inlineStr">
        <is>
          <t>ПРОЗА</t>
        </is>
      </c>
      <c r="D4238" s="23" t="inlineStr">
        <is>
          <t>Чулаки М.</t>
        </is>
      </c>
      <c r="E4238" s="23" t="inlineStr">
        <is>
          <t>Большой футбол Господень</t>
        </is>
      </c>
      <c r="F4238" s="23" t="inlineStr">
        <is>
          <t>        </t>
        </is>
      </c>
      <c r="G4238" s="23" t="n">
        <v>428</v>
      </c>
      <c r="H4238" s="23" t="n">
        <v>10</v>
      </c>
      <c r="I4238" s="23" t="n">
        <v>12</v>
      </c>
      <c r="J4238" s="23" t="inlineStr">
        <is>
          <t>5-227-01490-6</t>
        </is>
      </c>
      <c r="K4238" s="23" t="inlineStr">
        <is>
          <t>80x100 1/32</t>
        </is>
      </c>
      <c r="L4238" s="23" t="inlineStr">
        <is>
          <t>тв</t>
        </is>
      </c>
      <c r="M4238" s="23" t="n">
        <v>540</v>
      </c>
      <c r="N4238" s="23" t="n">
        <v>2001</v>
      </c>
      <c r="O4238" s="23" t="n">
        <v>372</v>
      </c>
      <c r="P4238" s="23" t="n"/>
      <c r="Q4238" s="23" t="n"/>
      <c r="R4238" s="25" t="inlineStr">
        <is>
          <t>В новом романе популярного петербургского прозаика открывается взгляд на земную жизнь сверху - с точки зрения Господствующего Божества. В то же время на Земле "религиозный вундеркинд" старшеклассник Денис выступает со своим учением, становясь во главе Храма Божественных Супругов. В модную секту с разных сторон стекаются люди, пережившие горести в жизни, - девушка, искавшая в Чечне пропавшего жениха, мать убитого ребенка, бизнесмен, опасающийся мести... Автор пишет о вещах серьезных (о поразившем общество духовном застое, рождающем религиозное легковерие, о возникновении массовых психозов, о способах манипулирования общественным мнением), но делает это легко, иронично, проявляя талант бытописателя и тонкого психолога, мастерство плетения хитроумной интриги.</t>
        </is>
      </c>
      <c r="S4238" s="26">
        <f>HYPERLINK("http://www.cnpol.ru/covers/2804.jpg","фото на сайте")</f>
        <v/>
      </c>
    </row>
    <row r="4239" ht="50.1" customHeight="1" s="3">
      <c r="A4239" s="23" t="n"/>
      <c r="B4239" s="24" t="inlineStr">
        <is>
          <t>2738</t>
        </is>
      </c>
      <c r="C4239" s="23" t="inlineStr">
        <is>
          <t>ПРОЗА</t>
        </is>
      </c>
      <c r="D4239" s="23" t="inlineStr">
        <is>
          <t>Киреев Р.</t>
        </is>
      </c>
      <c r="E4239" s="23" t="inlineStr">
        <is>
          <t>Лот из Содома</t>
        </is>
      </c>
      <c r="F4239" s="23" t="inlineStr">
        <is>
          <t>        </t>
        </is>
      </c>
      <c r="G4239" s="23" t="n">
        <v>428</v>
      </c>
      <c r="H4239" s="23" t="n">
        <v>10</v>
      </c>
      <c r="I4239" s="23" t="n">
        <v>10</v>
      </c>
      <c r="J4239" s="23" t="inlineStr">
        <is>
          <t>5-227-01393-4</t>
        </is>
      </c>
      <c r="K4239" s="23" t="inlineStr">
        <is>
          <t>80x100 1/32</t>
        </is>
      </c>
      <c r="L4239" s="23" t="inlineStr">
        <is>
          <t>тв</t>
        </is>
      </c>
      <c r="M4239" s="23" t="n">
        <v>510</v>
      </c>
      <c r="N4239" s="23" t="n">
        <v>2001</v>
      </c>
      <c r="O4239" s="23" t="n">
        <v>424</v>
      </c>
      <c r="P4239" s="23" t="n"/>
      <c r="Q4239" s="23" t="n"/>
      <c r="R4239" s="25" t="inlineStr">
        <is>
          <t>Произведения Р. Киреева найдут своих читателей среди тех, кто любит поразмышлять над сложной неоднозначной прозой, кому необходим умный, обогащающий его собеседник-писатель. Объединенные единым местом действия (небольшой южный город), романы написаны динамично, в своеобразной, подчас экспериментальной, манере. Роман "Апология* представляет собой защитительную речь главного героя, который с первых же слов заявляет о своей невиновности в смерти возлюбленной. Так это или нет - становится ясно лишь к концу повествования. В романе "Лот из Содома" две линии: современная, в которой описываются перипетии борьбы могущественных кланов, и библейская, занимающая сравнительно небольшое место, где дается новая трактовка известного библейского мифа о Лоте. Как и в первом романе, одна из главных коллизий здесь - любовная.</t>
        </is>
      </c>
      <c r="S4239" s="26">
        <f>HYPERLINK("http://www.cnpol.ru/covers/2738.jpg","фото на сайте")</f>
        <v/>
      </c>
    </row>
    <row r="4240" ht="50.1" customHeight="1" s="3">
      <c r="A4240" s="23" t="n"/>
      <c r="B4240" s="24" t="inlineStr">
        <is>
          <t>3184</t>
        </is>
      </c>
      <c r="C4240" s="23" t="inlineStr">
        <is>
          <t>ПРОЗА</t>
        </is>
      </c>
      <c r="D4240" s="23" t="inlineStr">
        <is>
          <t>Ким А.</t>
        </is>
      </c>
      <c r="E4240" s="23" t="inlineStr">
        <is>
          <t>Остров Ионы</t>
        </is>
      </c>
      <c r="F4240" s="23" t="inlineStr">
        <is>
          <t>        </t>
        </is>
      </c>
      <c r="G4240" s="23" t="n">
        <v>428</v>
      </c>
      <c r="H4240" s="23" t="n">
        <v>10</v>
      </c>
      <c r="I4240" s="23" t="n">
        <v>12</v>
      </c>
      <c r="J4240" s="23" t="inlineStr">
        <is>
          <t>5-227-01602-X</t>
        </is>
      </c>
      <c r="K4240" s="23" t="inlineStr">
        <is>
          <t>80x100 1/32</t>
        </is>
      </c>
      <c r="L4240" s="23" t="inlineStr">
        <is>
          <t>тв</t>
        </is>
      </c>
      <c r="M4240" s="23" t="n">
        <v>557</v>
      </c>
      <c r="N4240" s="23" t="n">
        <v>2002</v>
      </c>
      <c r="O4240" s="23" t="n">
        <v>412</v>
      </c>
      <c r="P4240" s="23" t="n"/>
      <c r="Q4240" s="23" t="n"/>
      <c r="R4240" s="25" t="n"/>
      <c r="S4240" s="26">
        <f>HYPERLINK("http://www.cnpol.ru/covers/3184.jpg","фото на сайте")</f>
        <v/>
      </c>
    </row>
    <row r="4241" ht="50.1" customHeight="1" s="3">
      <c r="A4241" s="23" t="n"/>
      <c r="B4241" s="24" t="inlineStr">
        <is>
          <t>2987</t>
        </is>
      </c>
      <c r="C4241" s="23" t="inlineStr">
        <is>
          <t>ПРОЗА</t>
        </is>
      </c>
      <c r="D4241" s="23" t="inlineStr">
        <is>
          <t>Павлов О.</t>
        </is>
      </c>
      <c r="E4241" s="23" t="inlineStr">
        <is>
          <t>Повести последних дней</t>
        </is>
      </c>
      <c r="F4241" s="23" t="inlineStr">
        <is>
          <t>        </t>
        </is>
      </c>
      <c r="G4241" s="23" t="n">
        <v>428</v>
      </c>
      <c r="H4241" s="23" t="n">
        <v>10</v>
      </c>
      <c r="I4241" s="23" t="n">
        <v>14</v>
      </c>
      <c r="J4241" s="23" t="inlineStr">
        <is>
          <t>5-227-01543-0</t>
        </is>
      </c>
      <c r="K4241" s="23" t="inlineStr">
        <is>
          <t>80x100 1/32</t>
        </is>
      </c>
      <c r="L4241" s="23" t="inlineStr">
        <is>
          <t>тв</t>
        </is>
      </c>
      <c r="M4241" s="23" t="n">
        <v>494</v>
      </c>
      <c r="N4241" s="23" t="n">
        <v>2001</v>
      </c>
      <c r="O4241" s="23" t="n">
        <v>354</v>
      </c>
      <c r="P4241" s="23" t="n"/>
      <c r="Q4241" s="23" t="n"/>
      <c r="R4241" s="25" t="n"/>
      <c r="S4241" s="26">
        <f>HYPERLINK("http://www.cnpol.ru/covers/2987.jpg","фото на сайте")</f>
        <v/>
      </c>
    </row>
    <row r="4242" ht="50.1" customHeight="1" s="3">
      <c r="A4242" s="23" t="n"/>
      <c r="B4242" s="24" t="inlineStr">
        <is>
          <t>2426</t>
        </is>
      </c>
      <c r="C4242" s="23" t="inlineStr">
        <is>
          <t>ПРОЗА</t>
        </is>
      </c>
      <c r="D4242" s="23" t="inlineStr">
        <is>
          <t>Наумов М.</t>
        </is>
      </c>
      <c r="E4242" s="23" t="inlineStr">
        <is>
          <t>Престолонаследник</t>
        </is>
      </c>
      <c r="F4242" s="23" t="inlineStr">
        <is>
          <t>        </t>
        </is>
      </c>
      <c r="G4242" s="23" t="n">
        <v>428</v>
      </c>
      <c r="H4242" s="23" t="n">
        <v>10</v>
      </c>
      <c r="I4242" s="23" t="n">
        <v>10</v>
      </c>
      <c r="J4242" s="23" t="inlineStr">
        <is>
          <t>5-227-01190-7</t>
        </is>
      </c>
      <c r="K4242" s="23" t="inlineStr">
        <is>
          <t>80x100 1/32</t>
        </is>
      </c>
      <c r="L4242" s="23" t="inlineStr">
        <is>
          <t>тв</t>
        </is>
      </c>
      <c r="M4242" s="23" t="n">
        <v>556</v>
      </c>
      <c r="N4242" s="23" t="n">
        <v>2001</v>
      </c>
      <c r="O4242" s="23" t="n">
        <v>458</v>
      </c>
      <c r="P4242" s="23" t="n"/>
      <c r="Q4242" s="23" t="n"/>
      <c r="R4242" s="25" t="n"/>
      <c r="S4242" s="26">
        <f>HYPERLINK("http://www.cnpol.ru/covers/2426.jpg","фото на сайте")</f>
        <v/>
      </c>
    </row>
    <row r="4243" ht="50.1" customHeight="1" s="3">
      <c r="A4243" s="23" t="n"/>
      <c r="B4243" s="24" t="inlineStr">
        <is>
          <t>3185</t>
        </is>
      </c>
      <c r="C4243" s="23" t="inlineStr">
        <is>
          <t>ПРОЗА</t>
        </is>
      </c>
      <c r="D4243" s="23" t="inlineStr">
        <is>
          <t>Курчаткин А.</t>
        </is>
      </c>
      <c r="E4243" s="23" t="inlineStr">
        <is>
          <t>Счастье Вениамина Л</t>
        </is>
      </c>
      <c r="F4243" s="23" t="inlineStr">
        <is>
          <t>        </t>
        </is>
      </c>
      <c r="G4243" s="23" t="n">
        <v>428</v>
      </c>
      <c r="H4243" s="23" t="n">
        <v>10</v>
      </c>
      <c r="I4243" s="23" t="n">
        <v>14</v>
      </c>
      <c r="J4243" s="23" t="inlineStr">
        <is>
          <t>5-227-01147-8</t>
        </is>
      </c>
      <c r="K4243" s="23" t="inlineStr">
        <is>
          <t>80x100 1/32</t>
        </is>
      </c>
      <c r="L4243" s="23" t="inlineStr">
        <is>
          <t>тв</t>
        </is>
      </c>
      <c r="M4243" s="23" t="n">
        <v>542</v>
      </c>
      <c r="N4243" s="23" t="n">
        <v>2002</v>
      </c>
      <c r="O4243" s="23" t="n">
        <v>380</v>
      </c>
      <c r="P4243" s="23" t="n"/>
      <c r="Q4243" s="23" t="n"/>
      <c r="R4243" s="25" t="n"/>
      <c r="S4243" s="26">
        <f>HYPERLINK("http://www.cnpol.ru/covers/3185.jpg","фото на сайте")</f>
        <v/>
      </c>
    </row>
    <row r="4244" ht="50.1" customHeight="1" s="3">
      <c r="A4244" s="23" t="n"/>
      <c r="B4244" s="24" t="inlineStr">
        <is>
          <t>2369</t>
        </is>
      </c>
      <c r="C4244" s="23" t="inlineStr">
        <is>
          <t>ПРОЗА</t>
        </is>
      </c>
      <c r="D4244" s="23" t="inlineStr">
        <is>
          <t>Попов В.</t>
        </is>
      </c>
      <c r="E4244" s="23" t="inlineStr">
        <is>
          <t>Чернильный ангел</t>
        </is>
      </c>
      <c r="F4244" s="23" t="inlineStr">
        <is>
          <t>        </t>
        </is>
      </c>
      <c r="G4244" s="23" t="n">
        <v>428</v>
      </c>
      <c r="H4244" s="23" t="n">
        <v>10</v>
      </c>
      <c r="I4244" s="23" t="n">
        <v>10</v>
      </c>
      <c r="J4244" s="23" t="inlineStr">
        <is>
          <t>5-227-01083-8</t>
        </is>
      </c>
      <c r="K4244" s="23" t="inlineStr">
        <is>
          <t>80x100 1/32</t>
        </is>
      </c>
      <c r="L4244" s="23" t="inlineStr">
        <is>
          <t>тв</t>
        </is>
      </c>
      <c r="M4244" s="23" t="n">
        <v>620</v>
      </c>
      <c r="N4244" s="23" t="n">
        <v>2001</v>
      </c>
      <c r="O4244" s="23" t="n">
        <v>498</v>
      </c>
      <c r="P4244" s="23" t="n"/>
      <c r="Q4244" s="23" t="n"/>
      <c r="R4244" s="25" t="n"/>
      <c r="S4244" s="26">
        <f>HYPERLINK("http://www.cnpol.ru/covers/2369.jpg","фото на сайте")</f>
        <v/>
      </c>
    </row>
    <row r="4245" ht="50.1" customHeight="1" s="3">
      <c r="A4245" s="23" t="n"/>
      <c r="B4245" s="24" t="inlineStr">
        <is>
          <t>7936</t>
        </is>
      </c>
      <c r="C4245" s="23" t="inlineStr">
        <is>
          <t>Профром</t>
        </is>
      </c>
      <c r="D4245" s="23" t="inlineStr">
        <is>
          <t>Малюгин А.</t>
        </is>
      </c>
      <c r="E4245" s="23" t="inlineStr">
        <is>
          <t>Аферисты BIGЛАЖАTOUR или Как развести клиента на бабло</t>
        </is>
      </c>
      <c r="F4245" s="23" t="inlineStr">
        <is>
          <t>        </t>
        </is>
      </c>
      <c r="G4245" s="23" t="n">
        <v>408</v>
      </c>
      <c r="H4245" s="23" t="n">
        <v>10</v>
      </c>
      <c r="I4245" s="23" t="n">
        <v>16</v>
      </c>
      <c r="J4245" s="23" t="inlineStr">
        <is>
          <t>978-5-9524-2876-8</t>
        </is>
      </c>
      <c r="K4245" s="23" t="inlineStr">
        <is>
          <t>84x108 1/32</t>
        </is>
      </c>
      <c r="L4245" s="23" t="inlineStr">
        <is>
          <t>тв</t>
        </is>
      </c>
      <c r="M4245" s="23" t="n">
        <v>254</v>
      </c>
      <c r="N4245" s="23" t="n">
        <v>2008</v>
      </c>
      <c r="O4245" s="23" t="n">
        <v>270</v>
      </c>
      <c r="P4245" s="23" t="n"/>
      <c r="Q4245" s="23" t="n"/>
      <c r="R4245" s="25" t="inlineStr">
        <is>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is>
      </c>
      <c r="S4245" s="26">
        <f>HYPERLINK("http://www.cnpol.ru/covers/7936.jpg","фото на сайте")</f>
        <v/>
      </c>
    </row>
    <row r="4246" ht="50.1" customHeight="1" s="3">
      <c r="A4246" s="23" t="n"/>
      <c r="B4246" s="24" t="inlineStr">
        <is>
          <t>8787</t>
        </is>
      </c>
      <c r="C4246" s="23" t="inlineStr">
        <is>
          <t>Профром</t>
        </is>
      </c>
      <c r="D4246" s="23" t="inlineStr">
        <is>
          <t>Морозова О.</t>
        </is>
      </c>
      <c r="E4246" s="23" t="inlineStr">
        <is>
          <t>Дегустаторы</t>
        </is>
      </c>
      <c r="F4246" s="23" t="inlineStr">
        <is>
          <t>        </t>
        </is>
      </c>
      <c r="G4246" s="23" t="n">
        <v>408</v>
      </c>
      <c r="H4246" s="23" t="n">
        <v>10</v>
      </c>
      <c r="I4246" s="23" t="n">
        <v>18</v>
      </c>
      <c r="J4246" s="23" t="inlineStr">
        <is>
          <t>978-5-9524-3029-7</t>
        </is>
      </c>
      <c r="K4246" s="23" t="inlineStr">
        <is>
          <t>84x108 1/32</t>
        </is>
      </c>
      <c r="L4246" s="23" t="inlineStr">
        <is>
          <t>тв</t>
        </is>
      </c>
      <c r="M4246" s="23" t="n">
        <v>255</v>
      </c>
      <c r="N4246" s="23" t="n">
        <v>2008</v>
      </c>
      <c r="O4246" s="23" t="n">
        <v>256</v>
      </c>
      <c r="P4246" s="23" t="n"/>
      <c r="Q4246" s="23" t="n"/>
      <c r="R4246" s="25" t="inlineStr">
        <is>
          <t>"Пивной детектив" Ольги Морозовой изобилует профессиональными терминами, что нисколько не сказывается на занимательности книги. Пиво льется рекой, а эмоции хлещут через край - по соседству с холодными пивными емкостями кипят человеческие страсти: зависть, ревность, коварство...</t>
        </is>
      </c>
      <c r="S4246" s="26">
        <f>HYPERLINK("http://www.cnpol.ru/covers/8787.jpg","фото на сайте")</f>
        <v/>
      </c>
    </row>
    <row r="4247" ht="50.1" customHeight="1" s="3">
      <c r="A4247" s="23" t="n"/>
      <c r="B4247" s="24" t="inlineStr">
        <is>
          <t>10274</t>
        </is>
      </c>
      <c r="C4247" s="23" t="inlineStr">
        <is>
          <t>Профром</t>
        </is>
      </c>
      <c r="D4247" s="23" t="inlineStr">
        <is>
          <t>Болле М.</t>
        </is>
      </c>
      <c r="E4247" s="23" t="inlineStr">
        <is>
          <t>Черный риелтор</t>
        </is>
      </c>
      <c r="F4247" s="23" t="inlineStr">
        <is>
          <t>        </t>
        </is>
      </c>
      <c r="G4247" s="23" t="n">
        <v>615</v>
      </c>
      <c r="H4247" s="23" t="n">
        <v>10</v>
      </c>
      <c r="I4247" s="23" t="n">
        <v>16</v>
      </c>
      <c r="J4247" s="23" t="inlineStr">
        <is>
          <t>978-5-9524-3449-3</t>
        </is>
      </c>
      <c r="K4247" s="23" t="inlineStr">
        <is>
          <t>84x108 1/32</t>
        </is>
      </c>
      <c r="L4247" s="23" t="inlineStr">
        <is>
          <t>тв</t>
        </is>
      </c>
      <c r="M4247" s="23" t="n">
        <v>287</v>
      </c>
      <c r="N4247" s="23" t="n">
        <v>2008</v>
      </c>
      <c r="O4247" s="23" t="n">
        <v>286</v>
      </c>
      <c r="P4247" s="23" t="n"/>
      <c r="Q4247" s="23" t="n"/>
      <c r="R4247" s="25" t="n"/>
      <c r="S4247" s="26">
        <f>HYPERLINK("http://www.cnpol.ru/covers/10274.jpg","фото на сайте")</f>
        <v/>
      </c>
    </row>
    <row r="4248" ht="50.1" customHeight="1" s="3">
      <c r="A4248" s="23" t="n"/>
      <c r="B4248" s="24" t="inlineStr">
        <is>
          <t>12548</t>
        </is>
      </c>
      <c r="C4248" s="23" t="inlineStr">
        <is>
          <t>ПС</t>
        </is>
      </c>
      <c r="D4248" s="23" t="inlineStr">
        <is>
          <t>Некрасов А.А.</t>
        </is>
      </c>
      <c r="E4248" s="23" t="inlineStr">
        <is>
          <t>Зачетная книжка жизни. Учимся любить</t>
        </is>
      </c>
      <c r="F4248" s="23" t="inlineStr">
        <is>
          <t>        </t>
        </is>
      </c>
      <c r="G4248" s="23" t="n">
        <v>593</v>
      </c>
      <c r="H4248" s="23" t="n">
        <v>10</v>
      </c>
      <c r="I4248" s="23" t="n">
        <v>24</v>
      </c>
      <c r="J4248" s="23" t="inlineStr">
        <is>
          <t>978-5-227-02637-8</t>
        </is>
      </c>
      <c r="K4248" s="23" t="inlineStr">
        <is>
          <t>84x108 1/32</t>
        </is>
      </c>
      <c r="L4248" s="23" t="inlineStr">
        <is>
          <t>тв</t>
        </is>
      </c>
      <c r="M4248" s="23" t="n">
        <v>224</v>
      </c>
      <c r="N4248" s="23" t="n">
        <v>2011</v>
      </c>
      <c r="O4248" s="23" t="n">
        <v>218</v>
      </c>
      <c r="P4248" s="23" t="n"/>
      <c r="Q4248" s="23" t="n"/>
      <c r="R4248" s="25" t="inlineStr">
        <is>
          <t>"Если человек желает познать свой внутренний мир и прожить долгую и счастливую жизнь, перед ним рано или поздно встает вопрос – что такое истинная любовь и как построить полноценные отношения со своей половинкой и с окружающими? Работы студентов Школы Мудрости, уже сделавших свои первые открытия в постижении любви, доказывают, что учиться любить можно и нужно! С помощью опытного Учителя и наставника, Анатолия Некрасова, вы не только овладеете искусством любить себя, других, природу и мир в целом, но и сможете:
• создать вокруг себя пространство любви и счастья;
• укрепить свою семью;
• мудро выстроить систему жизненных ценностей;
• благотворно повлиять на судьбы детей;
• правильно построить отношения с любым партнером, несмотря на разницу в возрасте или положение в обществе;
• наладить отношения  не только с родителями, но и со своим родом в целом.
 Почувствуйте настоящую радость жизни и научитесь жить счастливо!
"</t>
        </is>
      </c>
      <c r="S4248" s="26">
        <f>HYPERLINK("http://www.cnpol.ru/covers/12548.jpg","фото на сайте")</f>
        <v/>
      </c>
    </row>
    <row r="4249" ht="50.1" customHeight="1" s="3">
      <c r="A4249" s="23" t="n"/>
      <c r="B4249" s="24" t="inlineStr">
        <is>
          <t>13899</t>
        </is>
      </c>
      <c r="C4249" s="23" t="inlineStr">
        <is>
          <t>ПС</t>
        </is>
      </c>
      <c r="D4249" s="23" t="inlineStr">
        <is>
          <t>Некрасов А.А.</t>
        </is>
      </c>
      <c r="E4249" s="23" t="inlineStr">
        <is>
          <t>Как быть, а не казаться. Викторина жизни в вопросах и ответах</t>
        </is>
      </c>
      <c r="F4249" s="23" t="inlineStr">
        <is>
          <t>        </t>
        </is>
      </c>
      <c r="G4249" s="23" t="n">
        <v>593</v>
      </c>
      <c r="H4249" s="23" t="n">
        <v>10</v>
      </c>
      <c r="I4249" s="23" t="n">
        <v>16</v>
      </c>
      <c r="J4249" s="23" t="inlineStr">
        <is>
          <t>978-5-227-03940-8</t>
        </is>
      </c>
      <c r="K4249" s="23" t="inlineStr">
        <is>
          <t>84x108 1/32</t>
        </is>
      </c>
      <c r="L4249" s="23" t="inlineStr">
        <is>
          <t>тв</t>
        </is>
      </c>
      <c r="M4249" s="23" t="n">
        <v>224</v>
      </c>
      <c r="N4249" s="23" t="n">
        <v>2012</v>
      </c>
      <c r="O4249" s="23" t="n">
        <v>262</v>
      </c>
      <c r="P4249" s="23" t="n"/>
      <c r="Q4249" s="23" t="n"/>
      <c r="R4249" s="25" t="inlineStr">
        <is>
          <t>Перед вами новое произведение известного российского писателя и практикующего психолога — Анатолия Некрасова. Книга необычная по своему стилю: она напоминает викторину, в которой сама жизнь задает вопросы на самые животрепещущие темы. Большая часть текста — письма к автору: живые, пронзительно откровенные, порой похожие на исповедь. Их авторы делятся своей болью, вскрывают душевные раны и опять задают вопросы: себе, жизни, автору. Анатолий Некрасов отвечает, комментирует, советует. Некоторые вопросы автор сознательно оставляет без ответа, давая читателю возможность задуматься и ответить самому…</t>
        </is>
      </c>
      <c r="S4249" s="26">
        <f>HYPERLINK("http://www.cnpol.ru/covers/13899.jpg","фото на сайте")</f>
        <v/>
      </c>
    </row>
    <row r="4250" ht="50.1" customHeight="1" s="3">
      <c r="A4250" s="23" t="n"/>
      <c r="B4250" s="24" t="inlineStr">
        <is>
          <t>16279</t>
        </is>
      </c>
      <c r="C4250" s="23" t="inlineStr">
        <is>
          <t>ПС</t>
        </is>
      </c>
      <c r="D4250" s="23" t="inlineStr">
        <is>
          <t>Некрасов А.А.</t>
        </is>
      </c>
      <c r="E4250" s="23" t="inlineStr">
        <is>
          <t>Классно быть богом, или школа мудрости</t>
        </is>
      </c>
      <c r="F4250" s="23" t="inlineStr">
        <is>
          <t>        </t>
        </is>
      </c>
      <c r="G4250" s="27" t="n">
        <v>1648</v>
      </c>
      <c r="H4250" s="23" t="n">
        <v>10</v>
      </c>
      <c r="I4250" s="23" t="n">
        <v>4</v>
      </c>
      <c r="J4250" s="23" t="inlineStr">
        <is>
          <t>978-5-227-06342-7</t>
        </is>
      </c>
      <c r="K4250" s="23" t="inlineStr">
        <is>
          <t>70x100 1/16</t>
        </is>
      </c>
      <c r="L4250" s="23" t="inlineStr">
        <is>
          <t>тв</t>
        </is>
      </c>
      <c r="M4250" s="23" t="n">
        <v>768</v>
      </c>
      <c r="N4250" s="23" t="n">
        <v>2015</v>
      </c>
      <c r="O4250" s="23" t="n">
        <v>1064</v>
      </c>
      <c r="P4250" s="23" t="n"/>
      <c r="Q4250" s="23" t="n"/>
      <c r="R4250" s="25" t="inlineStr">
        <is>
          <t>Перед вами уникальный сборник лучших произведений Анатолия Александровича Некрасова, вышедших ранее в нашем издательстве. В нём собрана квинтэссенция мудрости автора, которой он щедро делится с читателями. Причём мудрость, рождённая в этих книгах, не заоблачная и не кабинетная, а очень тесно связанная с реальностью жизни, сама мудрость жизни! Её в сборнике собрано столько, что хватит для того, чтобы преобразить любую, самую трудную жизнь, и сделать её счастливой!_x000D_
Автор определяет мудрость просто — это УМ, НАПОЛНЕННЫЙ ЛЮБОВЬЮ! Анатолий Некрасов уверен, что только ключ любви открывает дверь мудрости. Поэтому эта книга наполнена любовью. Читайте, вникайте, учитесь, делайте выводы, направляйте свою судьбу в счастливое русло. Прожив эту книгу, вы реально будете управлять собой и своей жизнью.</t>
        </is>
      </c>
      <c r="S4250" s="26">
        <f>HYPERLINK("http://www.cnpol.ru/covers/16279.jpg","фото на сайте")</f>
        <v/>
      </c>
    </row>
    <row r="4251" ht="50.1" customHeight="1" s="3">
      <c r="A4251" s="23" t="n"/>
      <c r="B4251" s="24" t="inlineStr">
        <is>
          <t>13160</t>
        </is>
      </c>
      <c r="C4251" s="23" t="inlineStr">
        <is>
          <t>ПС</t>
        </is>
      </c>
      <c r="D4251" s="23" t="inlineStr">
        <is>
          <t>Некрасов А.А.</t>
        </is>
      </c>
      <c r="E4251" s="23" t="inlineStr">
        <is>
          <t>Путы материнской любви</t>
        </is>
      </c>
      <c r="F4251" s="23" t="inlineStr">
        <is>
          <t>        </t>
        </is>
      </c>
      <c r="G4251" s="23" t="n">
        <v>382</v>
      </c>
      <c r="H4251" s="23" t="n">
        <v>10</v>
      </c>
      <c r="I4251" s="23" t="n">
        <v>18</v>
      </c>
      <c r="J4251" s="23" t="inlineStr">
        <is>
          <t>978-5-227-03212-6</t>
        </is>
      </c>
      <c r="K4251" s="23" t="inlineStr">
        <is>
          <t>84x108 1/32</t>
        </is>
      </c>
      <c r="L4251" s="23" t="inlineStr">
        <is>
          <t>Интегр</t>
        </is>
      </c>
      <c r="M4251" s="23" t="n">
        <v>249</v>
      </c>
      <c r="N4251" s="23" t="n">
        <v>2012</v>
      </c>
      <c r="O4251" s="23" t="n">
        <v>282</v>
      </c>
      <c r="P4251" s="23" t="n"/>
      <c r="Q4251" s="23" t="n"/>
      <c r="R4251" s="25" t="n"/>
      <c r="S4251" s="26">
        <f>HYPERLINK("http://www.cnpol.ru/covers/13160.jpg","фото на сайте")</f>
        <v/>
      </c>
    </row>
    <row r="4252" ht="50.1" customHeight="1" s="3">
      <c r="A4252" s="23" t="n"/>
      <c r="B4252" s="24" t="inlineStr">
        <is>
          <t>20112</t>
        </is>
      </c>
      <c r="C4252" s="23" t="inlineStr">
        <is>
          <t>ПС</t>
        </is>
      </c>
      <c r="D4252" s="23" t="inlineStr">
        <is>
          <t>Некрасов А.А.</t>
        </is>
      </c>
      <c r="E4252" s="23" t="inlineStr">
        <is>
          <t>Путы материнской любви</t>
        </is>
      </c>
      <c r="F4252" s="23" t="inlineStr">
        <is>
          <t>        </t>
        </is>
      </c>
      <c r="G4252" s="23" t="n">
        <v>593</v>
      </c>
      <c r="H4252" s="23" t="n">
        <v>10</v>
      </c>
      <c r="I4252" s="23" t="n">
        <v>20</v>
      </c>
      <c r="J4252" s="23" t="inlineStr">
        <is>
          <t>978-5-227-09882-5</t>
        </is>
      </c>
      <c r="K4252" s="23" t="inlineStr">
        <is>
          <t>84x108 1/32</t>
        </is>
      </c>
      <c r="L4252" s="23" t="inlineStr">
        <is>
          <t>тв</t>
        </is>
      </c>
      <c r="M4252" s="23" t="n">
        <v>256</v>
      </c>
      <c r="N4252" s="23" t="n">
        <v>2022</v>
      </c>
      <c r="O4252" s="23" t="n">
        <v>302</v>
      </c>
      <c r="P4252" s="23" t="n"/>
      <c r="Q4252" s="23" t="n"/>
      <c r="R4252" s="25" t="n"/>
      <c r="S4252" s="26">
        <f>HYPERLINK("http://www.cnpol.ru/covers/20112.jpg","фото на сайте")</f>
        <v/>
      </c>
    </row>
    <row r="4253" ht="50.1" customHeight="1" s="3">
      <c r="A4253" s="23" t="n"/>
      <c r="B4253" s="24" t="inlineStr">
        <is>
          <t>20107</t>
        </is>
      </c>
      <c r="C4253" s="23" t="inlineStr">
        <is>
          <t>ПС</t>
        </is>
      </c>
      <c r="D4253" s="23" t="inlineStr">
        <is>
          <t>Некрасов А.А.</t>
        </is>
      </c>
      <c r="E4253" s="23" t="inlineStr">
        <is>
          <t>Сильная женщина, или Обопрись о мое плечо</t>
        </is>
      </c>
      <c r="F4253" s="23" t="inlineStr">
        <is>
          <t>        </t>
        </is>
      </c>
      <c r="G4253" s="23" t="n">
        <v>593</v>
      </c>
      <c r="H4253" s="23" t="n">
        <v>10</v>
      </c>
      <c r="I4253" s="23" t="n">
        <v>12</v>
      </c>
      <c r="J4253" s="23" t="inlineStr">
        <is>
          <t>978-5-227-09768-2</t>
        </is>
      </c>
      <c r="K4253" s="23" t="inlineStr">
        <is>
          <t>84x108 1/32</t>
        </is>
      </c>
      <c r="L4253" s="23" t="inlineStr">
        <is>
          <t>тв</t>
        </is>
      </c>
      <c r="M4253" s="23" t="n">
        <v>288</v>
      </c>
      <c r="N4253" s="23" t="n">
        <v>2022</v>
      </c>
      <c r="O4253" s="23" t="n">
        <v>318</v>
      </c>
      <c r="P4253" s="23" t="n"/>
      <c r="Q4253" s="23" t="n"/>
      <c r="R4253" s="25" t="n"/>
      <c r="S4253" s="26">
        <f>HYPERLINK("http://www.cnpol.ru/covers/20107.jpg","фото на сайте")</f>
        <v/>
      </c>
    </row>
    <row r="4254" ht="50.1" customHeight="1" s="3">
      <c r="A4254" s="23" t="n"/>
      <c r="B4254" s="24" t="inlineStr">
        <is>
          <t>10948</t>
        </is>
      </c>
      <c r="C4254" s="23" t="inlineStr">
        <is>
          <t>ПС</t>
        </is>
      </c>
      <c r="D4254" s="23" t="inlineStr">
        <is>
          <t>Кильдишев О.</t>
        </is>
      </c>
      <c r="E4254" s="23" t="inlineStr">
        <is>
          <t>Управляя мужчиной - управляешь жизнью</t>
        </is>
      </c>
      <c r="F4254" s="23" t="inlineStr">
        <is>
          <t>        </t>
        </is>
      </c>
      <c r="G4254" s="23" t="n">
        <v>345</v>
      </c>
      <c r="H4254" s="23" t="n">
        <v>10</v>
      </c>
      <c r="I4254" s="23" t="n">
        <v>18</v>
      </c>
      <c r="J4254" s="23" t="inlineStr">
        <is>
          <t>978-5-9524-4128-6</t>
        </is>
      </c>
      <c r="K4254" s="23" t="inlineStr">
        <is>
          <t>84x108 1/32</t>
        </is>
      </c>
      <c r="L4254" s="23" t="inlineStr">
        <is>
          <t>Интегр</t>
        </is>
      </c>
      <c r="M4254" s="23" t="n">
        <v>284</v>
      </c>
      <c r="N4254" s="23" t="n">
        <v>2008</v>
      </c>
      <c r="O4254" s="23" t="n">
        <v>212</v>
      </c>
      <c r="P4254" s="23" t="n"/>
      <c r="Q4254" s="23" t="n"/>
      <c r="R4254" s="25" t="n"/>
      <c r="S4254" s="26">
        <f>HYPERLINK("http://www.cnpol.ru/covers/10948.jpg","фото на сайте")</f>
        <v/>
      </c>
    </row>
    <row r="4255" ht="50.1" customHeight="1" s="3">
      <c r="A4255" s="23" t="n"/>
      <c r="B4255" s="24" t="inlineStr">
        <is>
          <t>8835</t>
        </is>
      </c>
      <c r="C4255" s="23" t="inlineStr">
        <is>
          <t>ПС Фактор</t>
        </is>
      </c>
      <c r="D4255" s="23" t="inlineStr">
        <is>
          <t>Юрченко В.</t>
        </is>
      </c>
      <c r="E4255" s="23" t="inlineStr">
        <is>
          <t>Фэн-шуй для стройной фигуры</t>
        </is>
      </c>
      <c r="F4255" s="23" t="inlineStr">
        <is>
          <t>        </t>
        </is>
      </c>
      <c r="G4255" s="23" t="n">
        <v>300</v>
      </c>
      <c r="H4255" s="23" t="n">
        <v>10</v>
      </c>
      <c r="I4255" s="23" t="n">
        <v>12</v>
      </c>
      <c r="J4255" s="23" t="inlineStr">
        <is>
          <t>978-5-9524-3049-5</t>
        </is>
      </c>
      <c r="K4255" s="23" t="inlineStr">
        <is>
          <t>84x100 1/32</t>
        </is>
      </c>
      <c r="L4255" s="23" t="inlineStr">
        <is>
          <t>тв</t>
        </is>
      </c>
      <c r="M4255" s="23" t="n">
        <v>415</v>
      </c>
      <c r="N4255" s="23" t="n">
        <v>2008</v>
      </c>
      <c r="O4255" s="23" t="n">
        <v>354</v>
      </c>
      <c r="P4255" s="23" t="n"/>
      <c r="Q4255" s="23" t="n"/>
      <c r="R4255" s="25" t="n"/>
      <c r="S4255" s="26">
        <f>HYPERLINK("http://www.cnpol.ru/covers/8835.jpg","фото на сайте")</f>
        <v/>
      </c>
    </row>
    <row r="4256" ht="50.1" customHeight="1" s="3">
      <c r="A4256" s="23" t="n"/>
      <c r="B4256" s="24" t="inlineStr">
        <is>
          <t>3353</t>
        </is>
      </c>
      <c r="C4256" s="23" t="inlineStr">
        <is>
          <t>ПСР</t>
        </is>
      </c>
      <c r="D4256" s="23" t="inlineStr">
        <is>
          <t>Уайт Н.</t>
        </is>
      </c>
      <c r="E4256" s="23" t="inlineStr">
        <is>
          <t>Изучаем науку с помощью бумаги</t>
        </is>
      </c>
      <c r="F4256" s="23" t="inlineStr">
        <is>
          <t>        </t>
        </is>
      </c>
      <c r="G4256" s="23" t="n">
        <v>79</v>
      </c>
      <c r="H4256" s="23" t="n">
        <v>10</v>
      </c>
      <c r="I4256" s="23" t="n">
        <v>44</v>
      </c>
      <c r="J4256" s="23" t="inlineStr">
        <is>
          <t>5-227-01897-9</t>
        </is>
      </c>
      <c r="K4256" s="23" t="inlineStr">
        <is>
          <t>84x108 1/32 (обл)</t>
        </is>
      </c>
      <c r="L4256" s="23" t="inlineStr">
        <is>
          <t>мяг</t>
        </is>
      </c>
      <c r="M4256" s="23" t="n">
        <v>127</v>
      </c>
      <c r="N4256" s="23" t="n">
        <v>2002</v>
      </c>
      <c r="O4256" s="23" t="n">
        <v>78</v>
      </c>
      <c r="P4256" s="23" t="n"/>
      <c r="Q4256" s="23" t="n"/>
      <c r="R4256" s="25" t="inlineStr">
        <is>
          <t>Приведенная в книге увлекательная история возникновения и основные принципы производства бумаги, интереснейшие эксперименты помогут вам лучше понять законы физики и химии. Практические рекомендации, как в домашних условиях сделать настоящую бумагу с собственным водяным знаком, как построить модель небоскреба, написать невидимые приглашения на вечеринку, научат логически мыслить и разнообразят ваш досуг. В книге много познавательной информации, которая несомненно будет полезна как детям, так и родителям, а также воспитателям детских садов и учителям.</t>
        </is>
      </c>
      <c r="S4256" s="26">
        <f>HYPERLINK("http://www.cnpol.ru/covers/3353.jpg","фото на сайте")</f>
        <v/>
      </c>
    </row>
    <row r="4257" ht="50.1" customHeight="1" s="3">
      <c r="A4257" s="23" t="n"/>
      <c r="B4257" s="24" t="inlineStr">
        <is>
          <t>2670</t>
        </is>
      </c>
      <c r="C4257" s="23" t="inlineStr">
        <is>
          <t>ПСР</t>
        </is>
      </c>
      <c r="D4257" s="23" t="inlineStr">
        <is>
          <t>Риджуэй</t>
        </is>
      </c>
      <c r="E4257" s="23" t="inlineStr">
        <is>
          <t>Как сделать и запустить воздушного змея</t>
        </is>
      </c>
      <c r="F4257" s="23" t="inlineStr">
        <is>
          <t>        </t>
        </is>
      </c>
      <c r="G4257" s="23" t="n">
        <v>79</v>
      </c>
      <c r="H4257" s="23" t="n">
        <v>10</v>
      </c>
      <c r="I4257" s="23" t="n">
        <v>32</v>
      </c>
      <c r="J4257" s="23" t="inlineStr">
        <is>
          <t>5-227-00859-0</t>
        </is>
      </c>
      <c r="K4257" s="23" t="inlineStr">
        <is>
          <t>84x108 1/32 (обл)</t>
        </is>
      </c>
      <c r="L4257" s="23" t="inlineStr">
        <is>
          <t>мяг</t>
        </is>
      </c>
      <c r="M4257" s="23" t="n">
        <v>204</v>
      </c>
      <c r="N4257" s="23" t="n">
        <v>2001</v>
      </c>
      <c r="O4257" s="23" t="n">
        <v>70</v>
      </c>
      <c r="P4257" s="23" t="n"/>
      <c r="Q4257" s="23" t="n"/>
      <c r="R4257" s="25" t="inlineStr">
        <is>
          <t>В книге приведено два десятка лучших конструкций воздушных змеев и подробно рассказывается, как изготовить их в домашних условиях. Советы по созданию змея собственной конструкции помогут сделать целую коллекцию змеев, которой вы будете гордиться. А изучение сопутствующих конструированию наук поможет вам освоить принципы механики, основные законы физики и понять многие естественные процессы, происходяшие в природе.</t>
        </is>
      </c>
      <c r="S4257" s="26">
        <f>HYPERLINK("http://www.cnpol.ru/covers/2670.jpg","фото на сайте")</f>
        <v/>
      </c>
    </row>
    <row r="4258" ht="50.1" customHeight="1" s="3">
      <c r="A4258" s="23" t="n"/>
      <c r="B4258" s="24" t="inlineStr">
        <is>
          <t>17197</t>
        </is>
      </c>
      <c r="C4258" s="23" t="inlineStr">
        <is>
          <t>ПУТЕБРОДИТЕЛЬ</t>
        </is>
      </c>
      <c r="D4258" s="23" t="inlineStr">
        <is>
          <t>Сутормин В.</t>
        </is>
      </c>
      <c r="E4258" s="23" t="inlineStr">
        <is>
          <t>Вокруг Кремля и Китай-Города.</t>
        </is>
      </c>
      <c r="F4258" s="23" t="inlineStr">
        <is>
          <t>        </t>
        </is>
      </c>
      <c r="G4258" s="27" t="n">
        <v>1036</v>
      </c>
      <c r="H4258" s="23" t="n">
        <v>10</v>
      </c>
      <c r="I4258" s="23" t="n">
        <v>8</v>
      </c>
      <c r="J4258" s="23" t="inlineStr">
        <is>
          <t>978-5-227-07189-7</t>
        </is>
      </c>
      <c r="K4258" s="23" t="inlineStr">
        <is>
          <t>84x108 1/32</t>
        </is>
      </c>
      <c r="L4258" s="23" t="inlineStr">
        <is>
          <t>тв</t>
        </is>
      </c>
      <c r="M4258" s="23" t="n">
        <v>480</v>
      </c>
      <c r="N4258" s="23" t="n">
        <v>2016</v>
      </c>
      <c r="O4258" s="23" t="n">
        <v>480</v>
      </c>
      <c r="P4258" s="23" t="n"/>
      <c r="Q4258" s="23" t="n"/>
      <c r="R4258" s="25" t="inlineStr">
        <is>
          <t>Москва — это не только переплетение улиц и проспектов, но также и пересечение судеб людей, создававших и населявших город. Он рос и менялся в столкновении воль и характеров, новых веяний и освящённых веками традиций, здравого смысла обывателей и установлений начальства, продуманных планов и непредвиденных событий. Жители Москвы — богатые и бедные, местные и чужестранцы, обогнавшие свой век или приверженные традициям — создали этот город и передали его нам, а сами остались в названиях переулков, в силуэтах домов, в городских легендах и поговорках. Хотите узнать об этом? Вам поможет ПутеБродитель — серия авторских экскурсий, которые вы можете совершить самостоятельно (и даже не выходя из дому, если не повезло с по­годой). Большое количество фотографий старой Москвы превратит каждую такую прогулку в настоящее путешествие во времени. Иван Грозный и Наполеон Бонапарт, ­Аристотель Фиораванти и Василий Баженов, Савва Мамонтов и Матиас Руст, Алексей Щусев и Пётр Барановский — вот лишь немногие из тех, с кем вы повстречаетесь на маршруте «Вокруг Кремля и Китай­города». Следующая часть ПутеБродителя, «Три дома Маргариты», в настоящее время готовится к печати.</t>
        </is>
      </c>
      <c r="S4258" s="26">
        <f>HYPERLINK("http://www.cnpol.ru/covers/17197.jpg","фото на сайте")</f>
        <v/>
      </c>
    </row>
    <row r="4259" ht="50.1" customHeight="1" s="3">
      <c r="A4259" s="23" t="n"/>
      <c r="B4259" s="24" t="inlineStr">
        <is>
          <t>17196</t>
        </is>
      </c>
      <c r="C4259" s="23" t="inlineStr">
        <is>
          <t>ПУТЕБРОДИТЕЛЬ</t>
        </is>
      </c>
      <c r="D4259" s="23" t="inlineStr">
        <is>
          <t>Сутормин В.</t>
        </is>
      </c>
      <c r="E4259" s="23" t="inlineStr">
        <is>
          <t>По обе стороны Арбата, или Три дома Маргариты</t>
        </is>
      </c>
      <c r="F4259" s="23" t="inlineStr">
        <is>
          <t>        </t>
        </is>
      </c>
      <c r="G4259" s="27" t="n">
        <v>1036</v>
      </c>
      <c r="H4259" s="23" t="n">
        <v>10</v>
      </c>
      <c r="I4259" s="23" t="n">
        <v>8</v>
      </c>
      <c r="J4259" s="23" t="inlineStr">
        <is>
          <t>978-5-227-07190-3</t>
        </is>
      </c>
      <c r="K4259" s="23" t="inlineStr">
        <is>
          <t>84x108 1/32</t>
        </is>
      </c>
      <c r="L4259" s="23" t="inlineStr">
        <is>
          <t>тв</t>
        </is>
      </c>
      <c r="M4259" s="23" t="n">
        <v>544</v>
      </c>
      <c r="N4259" s="23" t="n">
        <v>2016</v>
      </c>
      <c r="O4259" s="23" t="n">
        <v>534</v>
      </c>
      <c r="P4259" s="23" t="n"/>
      <c r="Q4259" s="23" t="n"/>
      <c r="R4259" s="25" t="n"/>
      <c r="S4259" s="26">
        <f>HYPERLINK("http://www.cnpol.ru/covers/17196.jpg","фото на сайте")</f>
        <v/>
      </c>
    </row>
    <row r="4260" ht="50.1" customHeight="1" s="3">
      <c r="A4260" s="23" t="n"/>
      <c r="B4260" s="24" t="inlineStr">
        <is>
          <t>10324</t>
        </is>
      </c>
      <c r="C4260" s="23" t="inlineStr">
        <is>
          <t>ПЯЖ</t>
        </is>
      </c>
      <c r="D4260" s="23" t="inlineStr">
        <is>
          <t>Дмитриевская Л.</t>
        </is>
      </c>
      <c r="E4260" s="23" t="inlineStr">
        <is>
          <t>Прыжок в новую жизнь c СD</t>
        </is>
      </c>
      <c r="F4260" s="23" t="inlineStr">
        <is>
          <t>        </t>
        </is>
      </c>
      <c r="G4260" s="23" t="n">
        <v>428</v>
      </c>
      <c r="H4260" s="23" t="n">
        <v>22</v>
      </c>
      <c r="I4260" s="23" t="n">
        <v>20</v>
      </c>
      <c r="J4260" s="23" t="inlineStr">
        <is>
          <t>978-5-9524-3420-2</t>
        </is>
      </c>
      <c r="K4260" s="23" t="inlineStr">
        <is>
          <t>84x108 1/32</t>
        </is>
      </c>
      <c r="L4260" s="23" t="inlineStr">
        <is>
          <t>тв</t>
        </is>
      </c>
      <c r="M4260" s="23" t="n">
        <v>224</v>
      </c>
      <c r="N4260" s="23" t="n">
        <v>2008</v>
      </c>
      <c r="O4260" s="23" t="n">
        <v>236</v>
      </c>
      <c r="P4260" s="23" t="n"/>
      <c r="Q4260" s="23" t="n"/>
      <c r="R4260" s="25" t="n"/>
      <c r="S4260" s="26">
        <f>HYPERLINK("http://www.cnpol.ru/covers/10324.jpg","фото на сайте")</f>
        <v/>
      </c>
    </row>
    <row r="4261" ht="50.1" customHeight="1" s="3">
      <c r="A4261" s="23" t="n"/>
      <c r="B4261" s="24" t="inlineStr">
        <is>
          <t>10625</t>
        </is>
      </c>
      <c r="C4261" s="23" t="inlineStr">
        <is>
          <t>ПЯЖ</t>
        </is>
      </c>
      <c r="D4261" s="23" t="inlineStr">
        <is>
          <t>Торнео</t>
        </is>
      </c>
      <c r="E4261" s="23" t="inlineStr">
        <is>
          <t>Свадьба без проколов и испорченного настроения</t>
        </is>
      </c>
      <c r="F4261" s="23" t="inlineStr">
        <is>
          <t>        </t>
        </is>
      </c>
      <c r="G4261" s="23" t="n">
        <v>389</v>
      </c>
      <c r="H4261" s="23" t="n">
        <v>10</v>
      </c>
      <c r="I4261" s="23" t="n">
        <v>24</v>
      </c>
      <c r="J4261" s="23" t="inlineStr">
        <is>
          <t>978-5-9524-3784-5</t>
        </is>
      </c>
      <c r="K4261" s="23" t="inlineStr">
        <is>
          <t>84x108 1/32</t>
        </is>
      </c>
      <c r="L4261" s="23" t="inlineStr">
        <is>
          <t>тв</t>
        </is>
      </c>
      <c r="M4261" s="23" t="n">
        <v>222</v>
      </c>
      <c r="N4261" s="23" t="n">
        <v>2008</v>
      </c>
      <c r="O4261" s="23" t="n">
        <v>196</v>
      </c>
      <c r="P4261" s="23" t="n"/>
      <c r="Q4261" s="23" t="n"/>
      <c r="R4261" s="25" t="n"/>
      <c r="S4261" s="26">
        <f>HYPERLINK("http://www.cnpol.ru/covers/10625.jpg","фото на сайте")</f>
        <v/>
      </c>
    </row>
    <row r="4262" ht="50.1" customHeight="1" s="3">
      <c r="A4262" s="23" t="n"/>
      <c r="B4262" s="24" t="inlineStr">
        <is>
          <t>10132</t>
        </is>
      </c>
      <c r="C4262" s="23" t="inlineStr">
        <is>
          <t>РА</t>
        </is>
      </c>
      <c r="D4262" s="23" t="inlineStr">
        <is>
          <t>Туринская Т.</t>
        </is>
      </c>
      <c r="E4262" s="23" t="inlineStr">
        <is>
          <t>Безумное пари</t>
        </is>
      </c>
      <c r="F4262" s="23" t="inlineStr">
        <is>
          <t>        </t>
        </is>
      </c>
      <c r="G4262" s="23" t="n">
        <v>62</v>
      </c>
      <c r="H4262" s="23" t="n">
        <v>10</v>
      </c>
      <c r="I4262" s="23" t="n">
        <v>40</v>
      </c>
      <c r="J4262" s="23" t="inlineStr">
        <is>
          <t>978-5-9524-3283-3</t>
        </is>
      </c>
      <c r="K4262" s="23" t="inlineStr">
        <is>
          <t>70x100 1/32</t>
        </is>
      </c>
      <c r="L4262" s="23" t="inlineStr">
        <is>
          <t>мяг</t>
        </is>
      </c>
      <c r="M4262" s="23" t="n">
        <v>127</v>
      </c>
      <c r="N4262" s="23" t="n">
        <v>2008</v>
      </c>
      <c r="O4262" s="23" t="n">
        <v>60</v>
      </c>
      <c r="P4262" s="23" t="n"/>
      <c r="Q4262" s="23" t="n"/>
      <c r="R4262" s="25" t="inlineStr">
        <is>
          <t>Елена и не мечтала о лучшем женихе. Сергей был талантлив, привлекателен, нежен с ней. И в тот день, когда они подали заявление в ЗАГС, Лена считала себя счастливейшей из женщин, представляла, как будет выбирать платье и подписывать пригласительные открытки, но Сергей вдруг попросил отложить свадьбу на год. Лене осталось только подчиниться. Но прошел месяц, и девушка уже не жалела, что та свадьба не состоялась. Она любила другого человека, но ведь богачи женятся на Золушках лишь в сказках...</t>
        </is>
      </c>
      <c r="S4262" s="26">
        <f>HYPERLINK("http://www.cnpol.ru/covers/10132.jpg","фото на сайте")</f>
        <v/>
      </c>
    </row>
    <row r="4263" ht="50.1" customHeight="1" s="3">
      <c r="A4263" s="23" t="n"/>
      <c r="B4263" s="24" t="inlineStr">
        <is>
          <t>8815</t>
        </is>
      </c>
      <c r="C4263" s="23" t="inlineStr">
        <is>
          <t>РА</t>
        </is>
      </c>
      <c r="D4263" s="23" t="inlineStr">
        <is>
          <t>Миронова Е.</t>
        </is>
      </c>
      <c r="E4263" s="23" t="inlineStr">
        <is>
          <t>Воровка</t>
        </is>
      </c>
      <c r="F4263" s="23" t="inlineStr">
        <is>
          <t>        </t>
        </is>
      </c>
      <c r="G4263" s="23" t="n">
        <v>97</v>
      </c>
      <c r="H4263" s="23" t="n">
        <v>10</v>
      </c>
      <c r="I4263" s="23" t="n">
        <v>40</v>
      </c>
      <c r="J4263" s="23" t="inlineStr">
        <is>
          <t>978-5-9524-3084-6</t>
        </is>
      </c>
      <c r="K4263" s="23" t="inlineStr">
        <is>
          <t>70x100 1/32</t>
        </is>
      </c>
      <c r="L4263" s="23" t="inlineStr">
        <is>
          <t>мяг</t>
        </is>
      </c>
      <c r="M4263" s="23" t="n">
        <v>125</v>
      </c>
      <c r="N4263" s="23" t="n">
        <v>2008</v>
      </c>
      <c r="O4263" s="23" t="n">
        <v>62</v>
      </c>
      <c r="P4263" s="23" t="n"/>
      <c r="Q4263" s="23" t="n"/>
      <c r="R4263" s="25" t="inlineStr">
        <is>
          <t>Настя получает письмо от своей младшей сестры Юлии, которая убеждена, что муж ей изменяет, и просит ее проследить за ним. Настя лезет в квартиру зятя через балкон, рассчитывая по обстановке определить, есть ли у него другие женщины. Однако она случайно попадает в соседнюю квартиру, где натыкается на возмущенных соседей…</t>
        </is>
      </c>
      <c r="S4263" s="26">
        <f>HYPERLINK("http://www.cnpol.ru/covers/8815.jpg","фото на сайте")</f>
        <v/>
      </c>
    </row>
    <row r="4264" ht="50.1" customHeight="1" s="3">
      <c r="A4264" s="23" t="n"/>
      <c r="B4264" s="24" t="inlineStr">
        <is>
          <t>10330</t>
        </is>
      </c>
      <c r="C4264" s="23" t="inlineStr">
        <is>
          <t>РА</t>
        </is>
      </c>
      <c r="D4264" s="23" t="inlineStr">
        <is>
          <t>Любавина К.</t>
        </is>
      </c>
      <c r="E4264" s="23" t="inlineStr">
        <is>
          <t>Душенька</t>
        </is>
      </c>
      <c r="F4264" s="23" t="inlineStr">
        <is>
          <t>        </t>
        </is>
      </c>
      <c r="G4264" s="23" t="n">
        <v>97</v>
      </c>
      <c r="H4264" s="23" t="n">
        <v>10</v>
      </c>
      <c r="I4264" s="23" t="n">
        <v>40</v>
      </c>
      <c r="J4264" s="23" t="inlineStr">
        <is>
          <t>978-5-9524-3483-7</t>
        </is>
      </c>
      <c r="K4264" s="23" t="inlineStr">
        <is>
          <t>70x100 1/32</t>
        </is>
      </c>
      <c r="L4264" s="23" t="inlineStr">
        <is>
          <t>мяг</t>
        </is>
      </c>
      <c r="M4264" s="23" t="n">
        <v>128</v>
      </c>
      <c r="N4264" s="23" t="n">
        <v>2008</v>
      </c>
      <c r="O4264" s="23" t="n">
        <v>60</v>
      </c>
      <c r="P4264" s="23" t="n"/>
      <c r="Q4264" s="23" t="n"/>
      <c r="R4264" s="25" t="inlineStr">
        <is>
          <t>Людмилу всегда привлекала роль музы при талантливом супруге. Только мужчины почему-то не "приживаются"... Впрочем, она не так уж одинока: дочь Саша и маленькая внучка живут вместе с ней. Случай сводит ее с бизнесменом Петром Булыгиным, который в юности хотел стать писателем, а теперь все течение его жизни препятствует этому. Но в конце концов он всерьез берется за осуществление юношеской мечты - разводится с женой и оставляет фирму. Освободившись от прежних обязательств, Петр начинает писать роман, а его муза и соавтор Людмила помогает ему. Тем временем среди "молодого поколения" закручиваются подлинные страсти: Артем, стремясь вернуть отца в семью, начинает ухаживать за Сашей, по ошибке приняв ее за отцовскую пассию...</t>
        </is>
      </c>
      <c r="S4264" s="26">
        <f>HYPERLINK("http://www.cnpol.ru/covers/10330.jpg","фото на сайте")</f>
        <v/>
      </c>
    </row>
    <row r="4265" ht="50.1" customHeight="1" s="3">
      <c r="A4265" s="23" t="n"/>
      <c r="B4265" s="24" t="inlineStr">
        <is>
          <t>7039</t>
        </is>
      </c>
      <c r="C4265" s="23" t="inlineStr">
        <is>
          <t>РА</t>
        </is>
      </c>
      <c r="D4265" s="23" t="inlineStr">
        <is>
          <t>Осипова А.Ю.</t>
        </is>
      </c>
      <c r="E4265" s="23" t="inlineStr">
        <is>
          <t>Красное платье</t>
        </is>
      </c>
      <c r="F4265" s="23" t="inlineStr">
        <is>
          <t>        </t>
        </is>
      </c>
      <c r="G4265" s="23" t="n">
        <v>97</v>
      </c>
      <c r="H4265" s="23" t="n">
        <v>10</v>
      </c>
      <c r="I4265" s="23" t="n">
        <v>40</v>
      </c>
      <c r="J4265" s="23" t="inlineStr">
        <is>
          <t>978-5-9524-3135-5</t>
        </is>
      </c>
      <c r="K4265" s="23" t="inlineStr">
        <is>
          <t>70x100 1/32</t>
        </is>
      </c>
      <c r="L4265" s="23" t="inlineStr">
        <is>
          <t>мяг</t>
        </is>
      </c>
      <c r="M4265" s="23" t="n">
        <v>125</v>
      </c>
      <c r="N4265" s="23" t="n">
        <v>2008</v>
      </c>
      <c r="O4265" s="23" t="n">
        <v>62</v>
      </c>
      <c r="P4265" s="23" t="n"/>
      <c r="Q4265" s="23" t="n"/>
      <c r="R4265" s="25" t="inlineStr">
        <is>
          <t>Жизнь молодой матери полна забот, - нелегко прожить с младенцем, больной мамой и слепой бабушкой на руках. Еще совсем недавно семья Лизы была благополучной, но все рухнуло в одночасье. Чтобы хоть как-то прокормиться, Лиза работает уборщицей в офисе. Конечно, она совсем иначе представляла свое будущее: хотела стать модельером, мечтала о красном шелковом платье… За что Бог так несправедлив к ней? Может, Лизе стоит научиться не роптать, принимая каждый день с благодарностью, и тогда она встретит того, кто поможет ей осуществить все мечты?..</t>
        </is>
      </c>
      <c r="S4265" s="26">
        <f>HYPERLINK("http://www.cnpol.ru/covers/7039.jpg","фото на сайте")</f>
        <v/>
      </c>
    </row>
    <row r="4266" ht="50.1" customHeight="1" s="3">
      <c r="A4266" s="23" t="n"/>
      <c r="B4266" s="24" t="inlineStr">
        <is>
          <t>11639</t>
        </is>
      </c>
      <c r="C4266" s="23" t="inlineStr">
        <is>
          <t>РА</t>
        </is>
      </c>
      <c r="D4266" s="23" t="inlineStr">
        <is>
          <t>Булганова Е.</t>
        </is>
      </c>
      <c r="E4266" s="23" t="inlineStr">
        <is>
          <t>Любовь до востребования</t>
        </is>
      </c>
      <c r="F4266" s="23" t="inlineStr">
        <is>
          <t>        </t>
        </is>
      </c>
      <c r="G4266" s="23" t="n">
        <v>97</v>
      </c>
      <c r="H4266" s="23" t="n">
        <v>10</v>
      </c>
      <c r="I4266" s="23" t="n">
        <v>40</v>
      </c>
      <c r="J4266" s="23" t="inlineStr">
        <is>
          <t>978-5-9524-4778-3</t>
        </is>
      </c>
      <c r="K4266" s="23" t="inlineStr">
        <is>
          <t>70x100 1/32</t>
        </is>
      </c>
      <c r="L4266" s="23" t="inlineStr">
        <is>
          <t>мяг</t>
        </is>
      </c>
      <c r="M4266" s="23" t="n">
        <v>127</v>
      </c>
      <c r="N4266" s="23" t="n">
        <v>2009</v>
      </c>
      <c r="O4266" s="23" t="n">
        <v>62</v>
      </c>
      <c r="P4266" s="23" t="n"/>
      <c r="Q4266" s="23" t="n"/>
      <c r="R4266" s="25" t="inlineStr">
        <is>
          <t>Вале нравился уравновешенный Илья, но она привычно уступила кавалера своей более напористой подруге Галине. А сама вышла замуж за требовательного Степана. Галка на Валиной свадьбе рассказала, что Илья ушел в армию и теперь ждет от нее писем. Но она писать не собирается, потому что не желает терять два года. Валя тайком от мужа пишет ему письмо от имени вероломной подружки. Проходит много лет, и совершенно случайно в руки Валентины попадает новое письмо от Ильи. И с этого момента ее встреча с ним становится неотвратим</t>
        </is>
      </c>
      <c r="S4266" s="26">
        <f>HYPERLINK("http://www.cnpol.ru/covers/11639.jpg","фото на сайте")</f>
        <v/>
      </c>
    </row>
    <row r="4267" ht="50.1" customHeight="1" s="3">
      <c r="A4267" s="23" t="n"/>
      <c r="B4267" s="24" t="inlineStr">
        <is>
          <t>10723</t>
        </is>
      </c>
      <c r="C4267" s="23" t="inlineStr">
        <is>
          <t>РА</t>
        </is>
      </c>
      <c r="D4267" s="23" t="inlineStr">
        <is>
          <t>Доманчук Н.А.</t>
        </is>
      </c>
      <c r="E4267" s="23" t="inlineStr">
        <is>
          <t>Не зови меня дурой</t>
        </is>
      </c>
      <c r="F4267" s="23" t="inlineStr">
        <is>
          <t>        </t>
        </is>
      </c>
      <c r="G4267" s="23" t="n">
        <v>97</v>
      </c>
      <c r="H4267" s="23" t="n">
        <v>10</v>
      </c>
      <c r="I4267" s="23" t="n">
        <v>40</v>
      </c>
      <c r="J4267" s="23" t="inlineStr">
        <is>
          <t>978-5-9524-3874-3</t>
        </is>
      </c>
      <c r="K4267" s="23" t="inlineStr">
        <is>
          <t>70x100 1/32</t>
        </is>
      </c>
      <c r="L4267" s="23" t="inlineStr">
        <is>
          <t>мяг</t>
        </is>
      </c>
      <c r="M4267" s="23" t="n">
        <v>127</v>
      </c>
      <c r="N4267" s="23" t="n">
        <v>2008</v>
      </c>
      <c r="O4267" s="23" t="n">
        <v>60</v>
      </c>
      <c r="P4267" s="23" t="n"/>
      <c r="Q4267" s="23" t="n"/>
      <c r="R4267" s="25" t="n"/>
      <c r="S4267" s="26">
        <f>HYPERLINK("http://www.cnpol.ru/covers/10723.jpg","фото на сайте")</f>
        <v/>
      </c>
    </row>
    <row r="4268" ht="50.1" customHeight="1" s="3">
      <c r="A4268" s="23" t="n"/>
      <c r="B4268" s="24" t="inlineStr">
        <is>
          <t>8816</t>
        </is>
      </c>
      <c r="C4268" s="23" t="inlineStr">
        <is>
          <t>РА</t>
        </is>
      </c>
      <c r="D4268" s="23" t="inlineStr">
        <is>
          <t>Глушенко Е.</t>
        </is>
      </c>
      <c r="E4268" s="23" t="inlineStr">
        <is>
          <t>Отличница</t>
        </is>
      </c>
      <c r="F4268" s="23" t="inlineStr">
        <is>
          <t>        </t>
        </is>
      </c>
      <c r="G4268" s="23" t="n">
        <v>97</v>
      </c>
      <c r="H4268" s="23" t="n">
        <v>10</v>
      </c>
      <c r="I4268" s="23" t="n">
        <v>40</v>
      </c>
      <c r="J4268" s="23" t="inlineStr">
        <is>
          <t>978-5-9524-3083-9</t>
        </is>
      </c>
      <c r="K4268" s="23" t="inlineStr">
        <is>
          <t>70x100 1/32</t>
        </is>
      </c>
      <c r="L4268" s="23" t="inlineStr">
        <is>
          <t>мяг</t>
        </is>
      </c>
      <c r="M4268" s="23" t="n">
        <v>125</v>
      </c>
      <c r="N4268" s="23" t="n">
        <v>2008</v>
      </c>
      <c r="O4268" s="23" t="n">
        <v>62</v>
      </c>
      <c r="P4268" s="23" t="n"/>
      <c r="Q4268" s="23" t="n"/>
      <c r="R4268" s="25" t="n"/>
      <c r="S4268" s="26">
        <f>HYPERLINK("http://www.cnpol.ru/covers/8816.jpg","фото на сайте")</f>
        <v/>
      </c>
    </row>
    <row r="4269" ht="50.1" customHeight="1" s="3">
      <c r="A4269" s="23" t="n"/>
      <c r="B4269" s="24" t="inlineStr">
        <is>
          <t>11393</t>
        </is>
      </c>
      <c r="C4269" s="23" t="inlineStr">
        <is>
          <t>РА</t>
        </is>
      </c>
      <c r="D4269" s="23" t="inlineStr">
        <is>
          <t>Любавина К.</t>
        </is>
      </c>
      <c r="E4269" s="23" t="inlineStr">
        <is>
          <t>С видом на счастье</t>
        </is>
      </c>
      <c r="F4269" s="23" t="inlineStr">
        <is>
          <t>        </t>
        </is>
      </c>
      <c r="G4269" s="23" t="n">
        <v>97</v>
      </c>
      <c r="H4269" s="23" t="n">
        <v>10</v>
      </c>
      <c r="I4269" s="23" t="n">
        <v>40</v>
      </c>
      <c r="J4269" s="23" t="inlineStr">
        <is>
          <t>978-5-9524-4330-3</t>
        </is>
      </c>
      <c r="K4269" s="23" t="inlineStr">
        <is>
          <t>70x100 1/32</t>
        </is>
      </c>
      <c r="L4269" s="23" t="inlineStr">
        <is>
          <t>мяг</t>
        </is>
      </c>
      <c r="M4269" s="23" t="n">
        <v>126</v>
      </c>
      <c r="N4269" s="23" t="n">
        <v>2009</v>
      </c>
      <c r="O4269" s="23" t="n">
        <v>60</v>
      </c>
      <c r="P4269" s="23" t="n"/>
      <c r="Q4269" s="23" t="n"/>
      <c r="R4269" s="25" t="n"/>
      <c r="S4269" s="26">
        <f>HYPERLINK("http://www.cnpol.ru/covers/11393.jpg","фото на сайте")</f>
        <v/>
      </c>
    </row>
    <row r="4270" ht="50.1" customHeight="1" s="3">
      <c r="A4270" s="23" t="n"/>
      <c r="B4270" s="24" t="inlineStr">
        <is>
          <t>10225</t>
        </is>
      </c>
      <c r="C4270" s="23" t="inlineStr">
        <is>
          <t>РА</t>
        </is>
      </c>
      <c r="D4270" s="23" t="inlineStr">
        <is>
          <t>Глушенко Е.</t>
        </is>
      </c>
      <c r="E4270" s="23" t="inlineStr">
        <is>
          <t>Сказка для девушек за 30</t>
        </is>
      </c>
      <c r="F4270" s="23" t="inlineStr">
        <is>
          <t>        </t>
        </is>
      </c>
      <c r="G4270" s="23" t="n">
        <v>97</v>
      </c>
      <c r="H4270" s="23" t="n">
        <v>10</v>
      </c>
      <c r="I4270" s="23" t="n">
        <v>40</v>
      </c>
      <c r="J4270" s="23" t="inlineStr">
        <is>
          <t>978-5-9524-3389-2</t>
        </is>
      </c>
      <c r="K4270" s="23" t="inlineStr">
        <is>
          <t>70x100 1/32</t>
        </is>
      </c>
      <c r="L4270" s="23" t="inlineStr">
        <is>
          <t>мяг</t>
        </is>
      </c>
      <c r="M4270" s="23" t="n">
        <v>128</v>
      </c>
      <c r="N4270" s="23" t="n">
        <v>2008</v>
      </c>
      <c r="O4270" s="23" t="n">
        <v>60</v>
      </c>
      <c r="P4270" s="23" t="n"/>
      <c r="Q4270" s="23" t="n"/>
      <c r="R4270" s="25" t="n"/>
      <c r="S4270" s="26">
        <f>HYPERLINK("http://www.cnpol.ru/covers/10225.jpg","фото на сайте")</f>
        <v/>
      </c>
    </row>
    <row r="4271" ht="50.1" customHeight="1" s="3">
      <c r="A4271" s="23" t="n"/>
      <c r="B4271" s="24" t="inlineStr">
        <is>
          <t>10008</t>
        </is>
      </c>
      <c r="C4271" s="23" t="inlineStr">
        <is>
          <t>РА</t>
        </is>
      </c>
      <c r="D4271" s="23" t="inlineStr">
        <is>
          <t>Булганова Е.</t>
        </is>
      </c>
      <c r="E4271" s="23" t="inlineStr">
        <is>
          <t>Срочно требуется семейное счастье</t>
        </is>
      </c>
      <c r="F4271" s="23" t="inlineStr">
        <is>
          <t>        </t>
        </is>
      </c>
      <c r="G4271" s="23" t="n">
        <v>97</v>
      </c>
      <c r="H4271" s="23" t="n">
        <v>10</v>
      </c>
      <c r="I4271" s="23" t="n">
        <v>40</v>
      </c>
      <c r="J4271" s="23" t="inlineStr">
        <is>
          <t>978-5-9524-3227-7</t>
        </is>
      </c>
      <c r="K4271" s="23" t="inlineStr">
        <is>
          <t>70x100 1/32</t>
        </is>
      </c>
      <c r="L4271" s="23" t="inlineStr">
        <is>
          <t>мяг</t>
        </is>
      </c>
      <c r="M4271" s="23" t="n">
        <v>125</v>
      </c>
      <c r="N4271" s="23" t="n">
        <v>2008</v>
      </c>
      <c r="O4271" s="23" t="n">
        <v>60</v>
      </c>
      <c r="P4271" s="23" t="n"/>
      <c r="Q4271" s="23" t="n"/>
      <c r="R4271" s="25" t="n"/>
      <c r="S4271" s="26">
        <f>HYPERLINK("http://www.cnpol.ru/covers/10008.jpg","фото на сайте")</f>
        <v/>
      </c>
    </row>
    <row r="4272" ht="50.1" customHeight="1" s="3">
      <c r="A4272" s="23" t="n"/>
      <c r="B4272" s="24" t="inlineStr">
        <is>
          <t>71</t>
        </is>
      </c>
      <c r="C4272" s="23" t="inlineStr">
        <is>
          <t>РА</t>
        </is>
      </c>
      <c r="D4272" s="23" t="inlineStr">
        <is>
          <t>Миронова Е.</t>
        </is>
      </c>
      <c r="E4272" s="23" t="inlineStr">
        <is>
          <t>Фотография с обложки</t>
        </is>
      </c>
      <c r="F4272" s="23" t="inlineStr">
        <is>
          <t>        </t>
        </is>
      </c>
      <c r="G4272" s="23" t="n">
        <v>97</v>
      </c>
      <c r="H4272" s="23" t="n">
        <v>10</v>
      </c>
      <c r="I4272" s="23" t="n">
        <v>40</v>
      </c>
      <c r="J4272" s="23" t="inlineStr">
        <is>
          <t>978-5-9524-3185-0</t>
        </is>
      </c>
      <c r="K4272" s="23" t="inlineStr">
        <is>
          <t>70x100 1/32</t>
        </is>
      </c>
      <c r="L4272" s="23" t="inlineStr">
        <is>
          <t>мяг</t>
        </is>
      </c>
      <c r="M4272" s="23" t="n">
        <v>125</v>
      </c>
      <c r="N4272" s="23" t="n">
        <v>2008</v>
      </c>
      <c r="O4272" s="23" t="n">
        <v>62</v>
      </c>
      <c r="P4272" s="23" t="n"/>
      <c r="Q4272" s="23" t="n"/>
      <c r="R4272" s="25" t="n"/>
      <c r="S4272" s="26">
        <f>HYPERLINK("http://www.cnpol.ru/covers/71.jpg","фото на сайте")</f>
        <v/>
      </c>
    </row>
    <row r="4273" ht="50.1" customHeight="1" s="3">
      <c r="A4273" s="23" t="inlineStr">
        <is>
          <t>Н</t>
        </is>
      </c>
      <c r="B4273" s="24" t="inlineStr">
        <is>
          <t>21413</t>
        </is>
      </c>
      <c r="C4273" s="23" t="inlineStr">
        <is>
          <t>РАЗВЕДКА</t>
        </is>
      </c>
      <c r="D4273" s="23" t="inlineStr">
        <is>
          <t>Уолтон К.</t>
        </is>
      </c>
      <c r="E4273" s="23" t="inlineStr">
        <is>
          <t>Британская разведка во времена холодной войны. Секретные операции МИ-5 и МИ-6</t>
        </is>
      </c>
      <c r="F4273" s="23" t="inlineStr">
        <is>
          <t>        </t>
        </is>
      </c>
      <c r="G4273" s="27" t="n">
        <v>1405</v>
      </c>
      <c r="H4273" s="23" t="n">
        <v>10</v>
      </c>
      <c r="I4273" s="23" t="n">
        <v>8</v>
      </c>
      <c r="J4273" s="23" t="inlineStr">
        <is>
          <t>978-5-9524-6285-4</t>
        </is>
      </c>
      <c r="K4273" s="23" t="inlineStr">
        <is>
          <t>84x108 1/32</t>
        </is>
      </c>
      <c r="L4273" s="23" t="inlineStr">
        <is>
          <t>тв</t>
        </is>
      </c>
      <c r="M4273" s="23" t="n">
        <v>543</v>
      </c>
      <c r="N4273" s="23" t="n">
        <v>2025</v>
      </c>
      <c r="O4273" s="23" t="n">
        <v>538</v>
      </c>
      <c r="P4273" s="23" t="n"/>
      <c r="Q4273" s="23" t="n"/>
      <c r="R4273" s="25" t="inlineStr">
        <is>
          <t>Известный ученый К. Уолтон представляет тайную историю конца Британской империи и участие в этом процессе британской разведки. Автор дает панорамный обзор секретных действий правительства: от шпионажа времен войны в пустынях Северной Африки до сомнительных закулисных контактов с африканскими диктаторами, от карательных акций против повстанческого движения в джунглях Малайи, Кении и горах Кипра до военных действий в Палестине и на Аравийском полуострове. Уолтон раскрывает заговоры ЦРУ и тайную деятельность в британских колониях, убийства от рук агентов КГБ и неудавшиеся перевороты, спонсируемые правительствами Великобритании и США на Ближнем Востоке, главной целью которых было овладеть нефтью и другими природными ресурсами. Книга основана на недавно рассекреченных документах разведки и частных собраниях из целого ряда архивов.</t>
        </is>
      </c>
      <c r="S4273" s="26">
        <f>HYPERLINK("http://www.cnpol.ru/covers/21413.jpg","фото на сайте")</f>
        <v/>
      </c>
    </row>
    <row r="4274" ht="50.1" customHeight="1" s="3">
      <c r="A4274" s="23" t="inlineStr">
        <is>
          <t>Н</t>
        </is>
      </c>
      <c r="B4274" s="24" t="inlineStr">
        <is>
          <t>21886</t>
        </is>
      </c>
      <c r="C4274" s="23" t="inlineStr">
        <is>
          <t>РАЗВЕДКА</t>
        </is>
      </c>
      <c r="D4274" s="23" t="inlineStr">
        <is>
          <t>Локкарт Б.</t>
        </is>
      </c>
      <c r="E4274" s="23" t="inlineStr">
        <is>
          <t>Воспоминания британского агента. Русская революция глазами видного дипломата и офицера разведки</t>
        </is>
      </c>
      <c r="F4274" s="23" t="inlineStr">
        <is>
          <t>        </t>
        </is>
      </c>
      <c r="G4274" s="27" t="n">
        <v>1057</v>
      </c>
      <c r="H4274" s="23" t="n">
        <v>10</v>
      </c>
      <c r="I4274" s="23" t="n">
        <v>10</v>
      </c>
      <c r="J4274" s="23" t="inlineStr">
        <is>
          <t>978-5-9524-6535-0</t>
        </is>
      </c>
      <c r="K4274" s="23" t="inlineStr">
        <is>
          <t>84x108 1/32</t>
        </is>
      </c>
      <c r="L4274" s="23" t="inlineStr">
        <is>
          <t>тв</t>
        </is>
      </c>
      <c r="M4274" s="23" t="n">
        <v>350</v>
      </c>
      <c r="N4274" s="23" t="n">
        <v>2026</v>
      </c>
      <c r="O4274" s="23" t="n">
        <v>220</v>
      </c>
      <c r="P4274" s="23" t="n"/>
      <c r="Q4274" s="23" t="n"/>
      <c r="R4274" s="25" t="inlineStr">
        <is>
          <t>Роберт Гамильтон Брюс Локкарт занимал пост генерального консула Великобритании в Москве, а с января по сентябрь 1918 года возглавлял британскую миссию при советском правительстве. Кипучая деятельность молодого посла, его последовательная вера в принципы демократии, умение бороться за свои идеалы и?дружить привлекала к нему сторонников враждебных лагерей. В своей книге он оставил прекрасные политические портреты Троцкого, Ленина и Дзержинского, особенно яркие страницы посвящены катастрофе огромного масштаба, случившейся в России. Его книга стала классической в жанре художественной публицистики, до сих пор она удивляет своей свежестью, смелостью мыслей и оценок.</t>
        </is>
      </c>
      <c r="S4274" s="26">
        <f>HYPERLINK("http://www.cnpol.ru/covers/21886.jpg","фото на сайте")</f>
        <v/>
      </c>
    </row>
    <row r="4275" ht="50.1" customHeight="1" s="3">
      <c r="A4275" s="23" t="inlineStr">
        <is>
          <t>Н</t>
        </is>
      </c>
      <c r="B4275" s="24" t="inlineStr">
        <is>
          <t>22201</t>
        </is>
      </c>
      <c r="C4275" s="23" t="inlineStr">
        <is>
          <t>РАЗВЕДКА</t>
        </is>
      </c>
      <c r="D4275" s="23" t="inlineStr">
        <is>
          <t>Вольтон Т</t>
        </is>
      </c>
      <c r="E4275" s="23" t="inlineStr">
        <is>
          <t>КГБ во Франции. Рассекреченная война советских спецслужб против западных демократий</t>
        </is>
      </c>
      <c r="F4275" s="23" t="inlineStr">
        <is>
          <t>        </t>
        </is>
      </c>
      <c r="G4275" s="27" t="n">
        <v>1318</v>
      </c>
      <c r="H4275" s="23" t="n">
        <v>10</v>
      </c>
      <c r="I4275" s="23" t="n">
        <v>10</v>
      </c>
      <c r="J4275" s="23" t="inlineStr">
        <is>
          <t>978-5-9524-6635-7</t>
        </is>
      </c>
      <c r="K4275" s="23" t="inlineStr">
        <is>
          <t>84x108 1/32</t>
        </is>
      </c>
      <c r="L4275" s="23" t="inlineStr">
        <is>
          <t>тв</t>
        </is>
      </c>
      <c r="M4275" s="23" t="n">
        <v>475</v>
      </c>
      <c r="N4275" s="23" t="n">
        <v>2026</v>
      </c>
      <c r="O4275" s="23" t="n">
        <v>511</v>
      </c>
      <c r="P4275" s="23" t="n"/>
      <c r="Q4275" s="23" t="n"/>
      <c r="R4275" s="25" t="inlineStr">
        <is>
          <t>Французский журналист расследует деятельность советской разведки и контрразведки, а также спецслужб восточноевропейских стран на территории Франции. В своей книге он показывает, как на протяжении десятилетий, несмотря на устойчивые советско-французские отношения, разведка стран соцлагеря проникала в государственные тайны Франции.</t>
        </is>
      </c>
      <c r="S4275" s="26">
        <f>HYPERLINK("http://www.cnpol.ru/covers/22201.jpg","фото на сайте")</f>
        <v/>
      </c>
    </row>
    <row r="4276" ht="50.1" customHeight="1" s="3">
      <c r="A4276" s="23" t="inlineStr">
        <is>
          <t>Н</t>
        </is>
      </c>
      <c r="B4276" s="24" t="inlineStr">
        <is>
          <t>21401</t>
        </is>
      </c>
      <c r="C4276" s="23" t="inlineStr">
        <is>
          <t>РАЗВЕДКА</t>
        </is>
      </c>
      <c r="D4276" s="23" t="inlineStr">
        <is>
          <t>Милн Т</t>
        </is>
      </c>
      <c r="E4276" s="23" t="inlineStr">
        <is>
          <t>Ким Филби. Неизвестная история супершпиона КГБ. Откровения близкого друга и коллеги по МИ-6</t>
        </is>
      </c>
      <c r="F4276" s="23" t="inlineStr">
        <is>
          <t>        </t>
        </is>
      </c>
      <c r="G4276" s="23" t="n">
        <v>936</v>
      </c>
      <c r="H4276" s="23" t="n">
        <v>10</v>
      </c>
      <c r="I4276" s="23" t="n">
        <v>14</v>
      </c>
      <c r="J4276" s="23" t="inlineStr">
        <is>
          <t>978-5-9524-6283-0</t>
        </is>
      </c>
      <c r="K4276" s="23" t="inlineStr">
        <is>
          <t>84x108 1/32</t>
        </is>
      </c>
      <c r="L4276" s="23" t="inlineStr">
        <is>
          <t>тв</t>
        </is>
      </c>
      <c r="M4276" s="23" t="n">
        <v>287</v>
      </c>
      <c r="N4276" s="23" t="n">
        <v>2025</v>
      </c>
      <c r="O4276" s="23" t="n">
        <v>345</v>
      </c>
      <c r="P4276" s="23" t="n"/>
      <c r="Q4276" s="23" t="n"/>
      <c r="R4276" s="25" t="inlineStr">
        <is>
          <t>Автор настоящих мемуаров Тим Милн — друг и ближайший соратник агента советской разведки Кима Филби по МИ-6, секретной разведывательной службе Великобритании. Книга представляет собой откровенный в своих оценках рассказ о тридцатисемилетней дружбе, включившей десять лет тесной совместной работы, подробные воспоминания отношений двух близких людей, показанные как с личной, так и с политической стороны. Портрет крупнейшего шпиона КГБ, члена Кембриджской пятерки — самой сильной агентурной группы во время Второй мировой войны, по сути предателя своей страны, написан тем не менее без злобы и горечи.</t>
        </is>
      </c>
      <c r="S4276" s="26">
        <f>HYPERLINK("http://www.cnpol.ru/covers/21401.jpg","фото на сайте")</f>
        <v/>
      </c>
    </row>
    <row r="4277" ht="50.1" customHeight="1" s="3">
      <c r="A4277" s="23" t="inlineStr">
        <is>
          <t>Н</t>
        </is>
      </c>
      <c r="B4277" s="24" t="inlineStr">
        <is>
          <t>22250</t>
        </is>
      </c>
      <c r="C4277" s="23" t="inlineStr">
        <is>
          <t>РАЗВЕДКА</t>
        </is>
      </c>
      <c r="D4277" s="23" t="inlineStr">
        <is>
          <t>Граймс С., Вертефей Ж.</t>
        </is>
      </c>
      <c r="E4277" s="23" t="inlineStr">
        <is>
          <t>Круг измен. Отчет ЦРУ о крупнейшем советском шпионе Олдриче Эймсе и тех, кого он предал</t>
        </is>
      </c>
      <c r="F4277" s="23" t="inlineStr">
        <is>
          <t>        </t>
        </is>
      </c>
      <c r="G4277" s="23" t="n">
        <v>888</v>
      </c>
      <c r="H4277" s="23" t="n">
        <v>10</v>
      </c>
      <c r="I4277" s="23" t="n">
        <v>10</v>
      </c>
      <c r="J4277" s="23" t="inlineStr">
        <is>
          <t>978-5-9524-6727-9</t>
        </is>
      </c>
      <c r="K4277" s="23" t="inlineStr">
        <is>
          <t>84x108 1/32</t>
        </is>
      </c>
      <c r="L4277" s="23" t="inlineStr">
        <is>
          <t>тв</t>
        </is>
      </c>
      <c r="M4277" s="23" t="n">
        <v>255</v>
      </c>
      <c r="N4277" s="23" t="n">
        <v>2026</v>
      </c>
      <c r="O4277" s="23" t="n">
        <v>323</v>
      </c>
      <c r="P4277" s="23" t="n"/>
      <c r="Q4277" s="23" t="n"/>
      <c r="R4277" s="25" t="inlineStr">
        <is>
          <t>В разгар холодной войны у контрразведки ЦРУ появились подозрения, что кто-то из сотрудников высокого ранга передает Советскому Союзу информацию, которая в конечном счете способствовала рассекречиванию по меньшей мере десяти советских разведчиков, шпионивших в пользу Соединенных Штатов. В этой книге два офицера ЦРУ, непосредственно ответственные за поиски изменника, описывают детали охоты на «крота» в своем ведомстве. Считая это личной миссией, Сандра Граймс и Жанна Вертефей посвятили себя выявлению предателя, ответственного за казнь или заключение в тюрьму советских агентов, с которыми они непосредственно сотрудничали. Упорная аналитическая работа привела их к давнему знакомому по службе в отделе СССР и стран Восточной Европы и Центре контрразведки, Олдричу Эймсу — как оказалось, самому разрушительному предателю в истории американских спецслужб. Это не только первая книга, написанная главными фигурантами операции ЦРУ, но и первая, в которой подробно рассказано об оперативных контактах с агентами, которых предал Эймс, в частности о генерале Дмитрии Федоровиче Полякове, занимавшем высокую должность в ГРУ Министерства обороны СССР.</t>
        </is>
      </c>
      <c r="S4277" s="26">
        <f>HYPERLINK("http://www.cnpol.ru/covers/22250.jpg","фото на сайте")</f>
        <v/>
      </c>
    </row>
    <row r="4278" ht="50.1" customHeight="1" s="3">
      <c r="A4278" s="23" t="inlineStr">
        <is>
          <t>Н</t>
        </is>
      </c>
      <c r="B4278" s="24" t="inlineStr">
        <is>
          <t>22281</t>
        </is>
      </c>
      <c r="C4278" s="23" t="inlineStr">
        <is>
          <t>РАЗВЕДКА</t>
        </is>
      </c>
      <c r="D4278" s="23" t="inlineStr">
        <is>
          <t>Кривицкий В.Г.</t>
        </is>
      </c>
      <c r="E4278" s="23" t="inlineStr">
        <is>
          <t>На службе в сталинской разведке. Тайны русских спецслужб от бывшего шефа советской разведки в Западной Европе</t>
        </is>
      </c>
      <c r="F4278" s="23" t="inlineStr">
        <is>
          <t>        </t>
        </is>
      </c>
      <c r="G4278" s="27" t="n">
        <v>1009</v>
      </c>
      <c r="H4278" s="23" t="n">
        <v>10</v>
      </c>
      <c r="I4278" s="23" t="n">
        <v>8</v>
      </c>
      <c r="J4278" s="23" t="inlineStr">
        <is>
          <t>978-5-227-11340-5</t>
        </is>
      </c>
      <c r="K4278" s="23" t="inlineStr">
        <is>
          <t>84x108 1/32</t>
        </is>
      </c>
      <c r="L4278" s="23" t="inlineStr">
        <is>
          <t>тв</t>
        </is>
      </c>
      <c r="M4278" s="23" t="n">
        <v>319</v>
      </c>
      <c r="N4278" s="23" t="n">
        <v>2026</v>
      </c>
      <c r="O4278" s="23" t="n">
        <v>367</v>
      </c>
      <c r="P4278" s="23" t="n"/>
      <c r="Q4278" s="23" t="n"/>
      <c r="R4278" s="25" t="inlineStr">
        <is>
          <t>Вальтер Германович Кривицкий — под этим именем он был известен в списках личного состава Разведывательного управления Штаба РККА. Настоящее его имя было Самуил Гинзбург. Он был одним из крупнейших специалистов Разведывательного управления по западноевропейским странам, преподавал в Высшей школе подготовки разведчиков, занимая должность, соответствующую званию командира бригады РККА, с 1933 по 1934 год был директором Института военной промышленности. Сталинский произвол и некоторые внешнеполитические акции советского руководства, мысль о возможном аресте вызывали большое беспокойство у Кривицкого. Однако он не сразу решился на крайний шаг — стать невозвращенцем.</t>
        </is>
      </c>
      <c r="S4278" s="26">
        <f>HYPERLINK("http://www.cnpol.ru/covers/22281.jpg","фото на сайте")</f>
        <v/>
      </c>
    </row>
    <row r="4279" ht="50.1" customHeight="1" s="3">
      <c r="A4279" s="23" t="inlineStr">
        <is>
          <t>Н</t>
        </is>
      </c>
      <c r="B4279" s="24" t="inlineStr">
        <is>
          <t>22249</t>
        </is>
      </c>
      <c r="C4279" s="23" t="inlineStr">
        <is>
          <t>РАЗВЕДКА</t>
        </is>
      </c>
      <c r="D4279" s="23" t="inlineStr">
        <is>
          <t>Гуттман А.</t>
        </is>
      </c>
      <c r="E4279" s="23" t="inlineStr">
        <is>
          <t>Операция «Гнев Божий». Тайная история ликвидации палестинских террористов израильской разведкой Моссад при содействии европейских спецслужб</t>
        </is>
      </c>
      <c r="F4279" s="23" t="inlineStr">
        <is>
          <t>        </t>
        </is>
      </c>
      <c r="G4279" s="27" t="n">
        <v>1063</v>
      </c>
      <c r="H4279" s="23" t="n">
        <v>10</v>
      </c>
      <c r="I4279" s="23" t="n">
        <v>10</v>
      </c>
      <c r="J4279" s="23" t="inlineStr">
        <is>
          <t>978-5-9524-6720-0</t>
        </is>
      </c>
      <c r="K4279" s="23" t="inlineStr">
        <is>
          <t>84x108 1/32</t>
        </is>
      </c>
      <c r="L4279" s="23" t="inlineStr">
        <is>
          <t>тв</t>
        </is>
      </c>
      <c r="M4279" s="23" t="n">
        <v>351</v>
      </c>
      <c r="N4279" s="23" t="n">
        <v>2026</v>
      </c>
      <c r="O4279" s="23" t="n">
        <v>405</v>
      </c>
      <c r="P4279" s="23" t="n"/>
      <c r="Q4279" s="23" t="n"/>
      <c r="R4279" s="25" t="inlineStr">
        <is>
          <t>Авива Гуттман, преподаватель стратегии и разведки Аберистуитского университета, посвятила свою книгу сотрудничеству европейских разведок и Моссада при реализации операции «Гнев Божий». Трагедия, произошедшая на Олимпийских играх в Мюнхене в 1972 году, заставила правительства всего мира пересмотреть систему безопасности спортивных мероприятий. Проведенная операция по уничтожению причастных к ней палестинских террористов из организации «Черный сентябрь», во время которой удалось предотвратить и целый ряд других палестинских террористических актов на территории Европы, стала достоянием гласности благодаря автору данного издания, получившего доступ к архивам Бернского клуба, организации для обмена разведданными между спецслужбами 28 государств Европейского союза. Гуттман приводит детали выслеживания и подробности ликвидации всех участников мюнхенского теракта. Эта не имеющая аналогов книга воссоздает скрытый мир международной разведки и показывает, как он позволял межгосударственным отношениям развиваться независимо от официальных внешнеполитических ограничений и внимания общественности.</t>
        </is>
      </c>
      <c r="S4279" s="26">
        <f>HYPERLINK("http://www.cnpol.ru/covers/22249.jpg","фото на сайте")</f>
        <v/>
      </c>
    </row>
    <row r="4280" ht="50.1" customHeight="1" s="3">
      <c r="A4280" s="23" t="inlineStr">
        <is>
          <t>Д</t>
        </is>
      </c>
      <c r="B4280" s="24" t="inlineStr">
        <is>
          <t>22163</t>
        </is>
      </c>
      <c r="C4280" s="23" t="inlineStr">
        <is>
          <t>РАЗВЕДКА</t>
        </is>
      </c>
      <c r="D4280" s="23" t="inlineStr">
        <is>
          <t>Шелленберг В.</t>
        </is>
      </c>
      <c r="E4280" s="23" t="inlineStr">
        <is>
          <t>Разведывательная служба Третьего рейха. Секретные операции нацистской внешней разведки</t>
        </is>
      </c>
      <c r="F4280" s="23" t="inlineStr">
        <is>
          <t>        </t>
        </is>
      </c>
      <c r="G4280" s="23" t="n">
        <v>672</v>
      </c>
      <c r="H4280" s="23" t="n">
        <v>10</v>
      </c>
      <c r="I4280" s="23" t="n">
        <v>10</v>
      </c>
      <c r="J4280" s="23" t="inlineStr">
        <is>
          <t>978-5-9524-6690-6</t>
        </is>
      </c>
      <c r="K4280" s="23" t="inlineStr">
        <is>
          <t>84x108 1/32</t>
        </is>
      </c>
      <c r="L4280" s="23" t="inlineStr">
        <is>
          <t>тв</t>
        </is>
      </c>
      <c r="M4280" s="23" t="n">
        <v>447</v>
      </c>
      <c r="N4280" s="23" t="n">
        <v>2026</v>
      </c>
      <c r="O4280" s="23" t="n">
        <v>353</v>
      </c>
      <c r="P4280" s="23" t="n"/>
      <c r="Q4280" s="23" t="n"/>
      <c r="R4280" s="25" t="inlineStr">
        <is>
          <t>Воспоминания Вальтера Шелленберга, начальника внешней разведки службы безопасности Третьего рейха, – это описание подлинных событий, в которых он принимал личное участие или получал сведения из первых рук. Дело Зорге, заговор с целью убийства Сталина, история операции «Цицерон», рассказ о личной жизни Гитлера, Гиммлера, Геринга и Гейдриха, операция «Цеппелин», «Красная капелла» и многие другие интригующие секреты разведки нацистов вплоть до краха Третьего рейха... Шелленберг описал все это без прикрас, не стремясь к самооправданию, скорее вновь переживая ощущения обладания властью и собственной значимости. По общей оценке британских «охотников на шпионов», проводивших допрос Шелленберга, это был человек без понятий о чести, верности и правилах приличий, хладнокровный, всегда расчетливый реалист, ничего не оставляющий на волю случая.</t>
        </is>
      </c>
      <c r="S4280" s="26">
        <f>HYPERLINK("http://www.cnpol.ru/covers/22163.jpg","фото на сайте")</f>
        <v/>
      </c>
    </row>
    <row r="4281" ht="50.1" customHeight="1" s="3">
      <c r="A4281" s="23" t="inlineStr">
        <is>
          <t>Д</t>
        </is>
      </c>
      <c r="B4281" s="24" t="inlineStr">
        <is>
          <t>22023</t>
        </is>
      </c>
      <c r="C4281" s="23" t="inlineStr">
        <is>
          <t>РАЗВЕДКА</t>
        </is>
      </c>
      <c r="D4281" s="23" t="inlineStr">
        <is>
          <t>Вейнер Т.</t>
        </is>
      </c>
      <c r="E4281" s="23" t="inlineStr">
        <is>
          <t>ФБР. Правдивая история</t>
        </is>
      </c>
      <c r="F4281" s="23" t="inlineStr">
        <is>
          <t>        </t>
        </is>
      </c>
      <c r="G4281" s="27" t="n">
        <v>1654</v>
      </c>
      <c r="H4281" s="23" t="n">
        <v>10</v>
      </c>
      <c r="I4281" s="23" t="n">
        <v>10</v>
      </c>
      <c r="J4281" s="23" t="inlineStr">
        <is>
          <t>978-5-227-05040-3</t>
        </is>
      </c>
      <c r="K4281" s="23" t="inlineStr">
        <is>
          <t>60x90 1/16</t>
        </is>
      </c>
      <c r="L4281" s="23" t="inlineStr">
        <is>
          <t>тв</t>
        </is>
      </c>
      <c r="M4281" s="23" t="n">
        <v>558</v>
      </c>
      <c r="N4281" s="23" t="n">
        <v>2014</v>
      </c>
      <c r="O4281" s="23" t="n">
        <v>650</v>
      </c>
      <c r="P4281" s="23" t="n"/>
      <c r="Q4281" s="23" t="n"/>
      <c r="R4281" s="25" t="inlineStr">
        <is>
          <t>Провокационная, чрезвычайно интересная, скрупулезно выверенная книга лауреата Пулитцеровской премии Тима Вейнера посвящена вековой истории ФБР и может по праву считаться исчерпывающей энциклопедией деятельности этой тайной разведывательной службы США. Опираясь на рассекреченные в последние годы досье, автор представляет в истинном свете отца-основателя ФБР Дж. Эдгара Гувера. Рассказывает, как создавалась и совершенствовалась агентурная сеть. Как Гувер выполнял  почти немыслимые задания: осуществлял слежку за руководителями Советского Союза и Китая в самый мрачный период холодной войны, контролировал государственные перевороты против демократически избранных лидеров иностранных государств, искусно дестабилизировал положение президентов Соединенных Штатов. Как вел политическую войну и управлял государственными делами в целях национальной безопасности, зачастую действуя в ущерб морали. Подвергая анализу усилия руководителей ФБР в войне с террористами, шпионами, анархистами и наемными убийцами, Тим Вейнер поднимает важный нравственный вопрос о том, готово ли общество отказаться от гарантий свободы, допустить незаконное проникновение агентов спецслужб в личную жизнь граждан ради обещаний безопасности.</t>
        </is>
      </c>
      <c r="S4281" s="26">
        <f>HYPERLINK("http://www.cnpol.ru/covers/22023.jpg","фото на сайте")</f>
        <v/>
      </c>
    </row>
    <row r="4282" ht="50.1" customHeight="1" s="3">
      <c r="A4282" s="23" t="inlineStr">
        <is>
          <t>Д</t>
        </is>
      </c>
      <c r="B4282" s="24" t="inlineStr">
        <is>
          <t>22093</t>
        </is>
      </c>
      <c r="C4282" s="23" t="inlineStr">
        <is>
          <t>РАЗВЕДКА</t>
        </is>
      </c>
      <c r="D4282" s="23" t="inlineStr">
        <is>
          <t>Вейнер Т.</t>
        </is>
      </c>
      <c r="E4282" s="23" t="inlineStr">
        <is>
          <t>ЦРУ. Правдивая история</t>
        </is>
      </c>
      <c r="F4282" s="23" t="inlineStr">
        <is>
          <t>        </t>
        </is>
      </c>
      <c r="G4282" s="27" t="n">
        <v>1850</v>
      </c>
      <c r="H4282" s="23" t="n">
        <v>10</v>
      </c>
      <c r="I4282" s="23" t="n">
        <v>5</v>
      </c>
      <c r="J4282" s="23" t="inlineStr">
        <is>
          <t>978-5-227-04455-6</t>
        </is>
      </c>
      <c r="K4282" s="23" t="inlineStr">
        <is>
          <t>60x90 1/16</t>
        </is>
      </c>
      <c r="L4282" s="23" t="inlineStr">
        <is>
          <t>тв</t>
        </is>
      </c>
      <c r="M4282" s="23" t="n">
        <v>719</v>
      </c>
      <c r="N4282" s="23" t="n">
        <v>2013</v>
      </c>
      <c r="O4282" s="23" t="n">
        <v>811</v>
      </c>
      <c r="P4282" s="23" t="n"/>
      <c r="Q4282" s="23" t="n"/>
      <c r="R4282" s="25" t="inlineStr">
        <is>
          <t>Провокационная, весьма поучительная и чрезвычайно интересная книга лауреата Пулитцеровской премии Тима Вейнера посвящена 60-летней истории ЦРУ. В основу исследования легли тысячи архивных документов, интервью с действующими агентами, ветеранами и бывшими руководителями главного американского шпионского ведомства. Автор без прикрас описывает военные операции ЦРУ на Кубе, во Вьетнаме, Афганистане, Ираке и множестве других стран, раскрывает тайные стороны отношений двух великих держав — СССР и США — в период холодной войны. Повествует об ошибках управления внутри ведомства, бездумном распылении колоссального бюджета и о том, как просчеты ЦРУ повлияли на состояние национальной безопасности США, следствием которых стала трагедия 11 сентября 2001 года. Предупреждает об опасной неспособности видеть мир таким, какой он есть, что недопустимо при угрозе мирового терроризма.</t>
        </is>
      </c>
      <c r="S4282" s="26">
        <f>HYPERLINK("http://www.cnpol.ru/covers/22093.jpg","фото на сайте")</f>
        <v/>
      </c>
    </row>
    <row r="4283" ht="50.1" customHeight="1" s="3">
      <c r="A4283" s="23" t="inlineStr">
        <is>
          <t>Д</t>
        </is>
      </c>
      <c r="B4283" s="24" t="inlineStr">
        <is>
          <t>21347</t>
        </is>
      </c>
      <c r="C4283" s="23" t="inlineStr">
        <is>
          <t>РАЗВЕДКА</t>
        </is>
      </c>
      <c r="D4283" s="23" t="inlineStr">
        <is>
          <t>Даллин Д.</t>
        </is>
      </c>
      <c r="E4283" s="23" t="inlineStr">
        <is>
          <t>Шпионаж по-советски. Объекты и агенты советской разведки</t>
        </is>
      </c>
      <c r="F4283" s="23" t="inlineStr">
        <is>
          <t>        </t>
        </is>
      </c>
      <c r="G4283" s="27" t="n">
        <v>1265</v>
      </c>
      <c r="H4283" s="23" t="n">
        <v>10</v>
      </c>
      <c r="I4283" s="23" t="n">
        <v>8</v>
      </c>
      <c r="J4283" s="23" t="inlineStr">
        <is>
          <t>978-5-9524-6247-2</t>
        </is>
      </c>
      <c r="K4283" s="23" t="inlineStr">
        <is>
          <t>84x108 1/32</t>
        </is>
      </c>
      <c r="L4283" s="23" t="inlineStr">
        <is>
          <t>тв</t>
        </is>
      </c>
      <c r="M4283" s="23" t="n">
        <v>462</v>
      </c>
      <c r="N4283" s="23" t="n">
        <v>2024</v>
      </c>
      <c r="O4283" s="23" t="n">
        <v>495</v>
      </c>
      <c r="P4283" s="23" t="n"/>
      <c r="Q4283" s="23" t="n"/>
      <c r="R4283" s="25" t="inlineStr">
        <is>
          <t>Автор собрал обширный материал о деятельности советской разведки в 20—50-х годах ХХ века. По обилию фактуры и имен этот труд даже превосходит нашумевшую книгу английского историка Кристофера Эндрю и бывшего полковника советской внешней разведки Олега Гордиевского «КГБ: разведывательные операции от Ленина до Горбачева». По словам Дэвида Даллина, ему удалось рассказать о работе советских спецслужб за рубежом настолько объективно и точно, насколько это было возможно в существовавших условиях. Некоторые описываемые автором события носят поистине уникальный характер, поскольку прежде никогда не предавались гласности.</t>
        </is>
      </c>
      <c r="S4283" s="26">
        <f>HYPERLINK("http://www.cnpol.ru/covers/21347.jpg","фото на сайте")</f>
        <v/>
      </c>
    </row>
    <row r="4284" ht="50.1" customHeight="1" s="3">
      <c r="A4284" s="23" t="n"/>
      <c r="B4284" s="24" t="inlineStr">
        <is>
          <t>15821</t>
        </is>
      </c>
      <c r="C4284" s="23" t="inlineStr">
        <is>
          <t>РАЗГОВОРНИ</t>
        </is>
      </c>
      <c r="D4284" s="23" t="inlineStr">
        <is>
          <t>Чернореченский А.</t>
        </is>
      </c>
      <c r="E4284" s="23" t="inlineStr">
        <is>
          <t>Популярный русско-испанский разговорник</t>
        </is>
      </c>
      <c r="F4284" s="23" t="inlineStr">
        <is>
          <t>        </t>
        </is>
      </c>
      <c r="G4284" s="23" t="n">
        <v>140</v>
      </c>
      <c r="H4284" s="23" t="n">
        <v>10</v>
      </c>
      <c r="I4284" s="23" t="n">
        <v>40</v>
      </c>
      <c r="J4284" s="23" t="inlineStr">
        <is>
          <t>978-5-227-05882-9</t>
        </is>
      </c>
      <c r="K4284" s="23" t="inlineStr">
        <is>
          <t>70x90 1/32</t>
        </is>
      </c>
      <c r="L4284" s="23" t="inlineStr">
        <is>
          <t>мяг</t>
        </is>
      </c>
      <c r="M4284" s="23" t="n">
        <v>174</v>
      </c>
      <c r="N4284" s="23" t="n">
        <v>2015</v>
      </c>
      <c r="O4284" s="23" t="n">
        <v>74</v>
      </c>
      <c r="P4284" s="23" t="n"/>
      <c r="Q4284" s="23" t="n"/>
      <c r="R4284" s="25" t="n"/>
      <c r="S4284" s="26">
        <f>HYPERLINK("http://www.cnpol.ru/covers/15821.jpg","фото на сайте")</f>
        <v/>
      </c>
    </row>
    <row r="4285" ht="50.1" customHeight="1" s="3">
      <c r="A4285" s="23" t="n"/>
      <c r="B4285" s="24" t="inlineStr">
        <is>
          <t>10145</t>
        </is>
      </c>
      <c r="C4285" s="23" t="inlineStr">
        <is>
          <t>РАЗГОВОРНИ</t>
        </is>
      </c>
      <c r="D4285" s="23" t="inlineStr">
        <is>
          <t>Селезнева</t>
        </is>
      </c>
      <c r="E4285" s="23" t="inlineStr">
        <is>
          <t>Популярный русско-турецкий разговорник</t>
        </is>
      </c>
      <c r="F4285" s="23" t="inlineStr">
        <is>
          <t>        </t>
        </is>
      </c>
      <c r="G4285" s="23" t="n">
        <v>123</v>
      </c>
      <c r="H4285" s="23" t="n">
        <v>10</v>
      </c>
      <c r="I4285" s="23" t="n">
        <v>30</v>
      </c>
      <c r="J4285" s="23" t="inlineStr">
        <is>
          <t>978-5-9524-3328-1</t>
        </is>
      </c>
      <c r="K4285" s="23" t="inlineStr">
        <is>
          <t>70x90 1/32</t>
        </is>
      </c>
      <c r="L4285" s="23" t="inlineStr">
        <is>
          <t>мяг</t>
        </is>
      </c>
      <c r="M4285" s="23" t="n">
        <v>222</v>
      </c>
      <c r="N4285" s="23" t="n">
        <v>2008</v>
      </c>
      <c r="O4285" s="23" t="inlineStr">
        <is>
          <t>     </t>
        </is>
      </c>
      <c r="P4285" s="23" t="n"/>
      <c r="Q4285" s="23" t="n"/>
      <c r="R4285" s="25" t="n"/>
      <c r="S4285" s="26">
        <f>HYPERLINK("http://www.cnpol.ru/covers/10145.jpg","фото на сайте")</f>
        <v/>
      </c>
    </row>
    <row r="4286" ht="50.1" customHeight="1" s="3">
      <c r="A4286" s="23" t="n"/>
      <c r="B4286" s="24" t="inlineStr">
        <is>
          <t>14987</t>
        </is>
      </c>
      <c r="C4286" s="23" t="inlineStr">
        <is>
          <t>РАЗГОВОРНИ</t>
        </is>
      </c>
      <c r="D4286" s="23" t="inlineStr">
        <is>
          <t>Чернореченский А.</t>
        </is>
      </c>
      <c r="E4286" s="23" t="inlineStr">
        <is>
          <t>Популярный русско-финский разговорник</t>
        </is>
      </c>
      <c r="F4286" s="23" t="inlineStr">
        <is>
          <t>        </t>
        </is>
      </c>
      <c r="G4286" s="23" t="n">
        <v>140</v>
      </c>
      <c r="H4286" s="23" t="n">
        <v>10</v>
      </c>
      <c r="I4286" s="23" t="n">
        <v>40</v>
      </c>
      <c r="J4286" s="23" t="inlineStr">
        <is>
          <t>978-5-227-04910-0</t>
        </is>
      </c>
      <c r="K4286" s="23" t="inlineStr">
        <is>
          <t>70x90 1/32</t>
        </is>
      </c>
      <c r="L4286" s="23" t="inlineStr">
        <is>
          <t>мяг</t>
        </is>
      </c>
      <c r="M4286" s="23" t="n">
        <v>156</v>
      </c>
      <c r="N4286" s="23" t="n">
        <v>2014</v>
      </c>
      <c r="O4286" s="23" t="n">
        <v>70</v>
      </c>
      <c r="P4286" s="23" t="n"/>
      <c r="Q4286" s="23" t="n"/>
      <c r="R4286" s="25" t="n"/>
      <c r="S4286" s="26">
        <f>HYPERLINK("http://www.cnpol.ru/covers/14987.jpg","фото на сайте")</f>
        <v/>
      </c>
    </row>
    <row r="4287" ht="50.1" customHeight="1" s="3">
      <c r="A4287" s="23" t="n"/>
      <c r="B4287" s="24" t="inlineStr">
        <is>
          <t>11879</t>
        </is>
      </c>
      <c r="C4287" s="23" t="inlineStr">
        <is>
          <t>РАЗГОВОРНИ</t>
        </is>
      </c>
      <c r="D4287" s="23" t="inlineStr">
        <is>
          <t>Чернореченский А.</t>
        </is>
      </c>
      <c r="E4287" s="23" t="inlineStr">
        <is>
          <t>Популярный русско-финский разговорник</t>
        </is>
      </c>
      <c r="F4287" s="23" t="inlineStr">
        <is>
          <t>        </t>
        </is>
      </c>
      <c r="G4287" s="23" t="n">
        <v>123</v>
      </c>
      <c r="H4287" s="23" t="n">
        <v>10</v>
      </c>
      <c r="I4287" s="23" t="n">
        <v>36</v>
      </c>
      <c r="J4287" s="23" t="inlineStr">
        <is>
          <t>978-5-227-02032-1</t>
        </is>
      </c>
      <c r="K4287" s="23" t="inlineStr">
        <is>
          <t>70x90 1/32</t>
        </is>
      </c>
      <c r="L4287" s="23" t="inlineStr">
        <is>
          <t>мяг</t>
        </is>
      </c>
      <c r="M4287" s="23" t="n">
        <v>156</v>
      </c>
      <c r="N4287" s="23" t="n">
        <v>2010</v>
      </c>
      <c r="O4287" s="23" t="n">
        <v>72</v>
      </c>
      <c r="P4287" s="23" t="n"/>
      <c r="Q4287" s="23" t="n"/>
      <c r="R4287" s="25" t="n"/>
      <c r="S4287" s="26">
        <f>HYPERLINK("http://www.cnpol.ru/covers/11879.jpg","фото на сайте")</f>
        <v/>
      </c>
    </row>
    <row r="4288" ht="50.1" customHeight="1" s="3">
      <c r="A4288" s="23" t="n"/>
      <c r="B4288" s="24" t="inlineStr">
        <is>
          <t>20215</t>
        </is>
      </c>
      <c r="C4288" s="23" t="inlineStr">
        <is>
          <t>РАМКА КЛАССИКА</t>
        </is>
      </c>
      <c r="D4288" s="23" t="inlineStr">
        <is>
          <t>Веденеев В.В.</t>
        </is>
      </c>
      <c r="E4288" s="23" t="inlineStr">
        <is>
          <t>Дикое поле</t>
        </is>
      </c>
      <c r="F4288" s="23" t="inlineStr">
        <is>
          <t>        </t>
        </is>
      </c>
      <c r="G4288" s="27" t="n">
        <v>1547</v>
      </c>
      <c r="H4288" s="23" t="n">
        <v>10</v>
      </c>
      <c r="I4288" s="23" t="n">
        <v>10</v>
      </c>
      <c r="J4288" s="23" t="inlineStr">
        <is>
          <t>978-5-227-09831-3</t>
        </is>
      </c>
      <c r="K4288" s="23" t="inlineStr">
        <is>
          <t>84x108 1/32</t>
        </is>
      </c>
      <c r="L4288" s="23" t="inlineStr">
        <is>
          <t>тв</t>
        </is>
      </c>
      <c r="M4288" s="23" t="n">
        <v>607</v>
      </c>
      <c r="N4288" s="23" t="n">
        <v>2022</v>
      </c>
      <c r="O4288" s="23" t="n">
        <v>620</v>
      </c>
      <c r="P4288" s="23" t="n"/>
      <c r="Q4288" s="23" t="n"/>
      <c r="R4288" s="25" t="inlineStr">
        <is>
          <t>Историко­приключенческий роман «Дикое поле» посвящен истории зарождения российской разведки. Середина XVII века. Тайная разведшкола в монастыре. Смертельные сечи и погони, секретная миссия казака Тимофея Головина в Стамбул, где решаются судьбы войны и мира. Невольничьи рынки, мусульманские галеры, дерзкие побеги и борьба с венецианской, турецкой и польской разведками — таков путь молодого русского разведчика.</t>
        </is>
      </c>
      <c r="S4288" s="26">
        <f>HYPERLINK("http://www.cnpol.ru/covers/20215.jpg","фото на сайте")</f>
        <v/>
      </c>
    </row>
    <row r="4289" ht="50.1" customHeight="1" s="3">
      <c r="A4289" s="23" t="n"/>
      <c r="B4289" s="24" t="inlineStr">
        <is>
          <t>20031</t>
        </is>
      </c>
      <c r="C4289" s="23" t="inlineStr">
        <is>
          <t>РАМКА КЛАССИКА</t>
        </is>
      </c>
      <c r="D4289" s="23" t="inlineStr">
        <is>
          <t>Штильмарк Р. А.</t>
        </is>
      </c>
      <c r="E4289" s="23" t="inlineStr">
        <is>
          <t>Наследник из Калькутты</t>
        </is>
      </c>
      <c r="F4289" s="23" t="inlineStr">
        <is>
          <t>        </t>
        </is>
      </c>
      <c r="G4289" s="27" t="n">
        <v>1790</v>
      </c>
      <c r="H4289" s="23" t="n">
        <v>10</v>
      </c>
      <c r="I4289" s="23" t="n">
        <v>8</v>
      </c>
      <c r="J4289" s="23" t="inlineStr">
        <is>
          <t>978-5-227-09762-0</t>
        </is>
      </c>
      <c r="K4289" s="23" t="inlineStr">
        <is>
          <t>84x108 1/32</t>
        </is>
      </c>
      <c r="L4289" s="23" t="inlineStr">
        <is>
          <t>тв</t>
        </is>
      </c>
      <c r="M4289" s="23" t="n">
        <v>848</v>
      </c>
      <c r="N4289" s="23" t="n">
        <v>2021</v>
      </c>
      <c r="O4289" s="23" t="n">
        <v>762</v>
      </c>
      <c r="P4289" s="23" t="n"/>
      <c r="Q4289" s="23" t="n"/>
      <c r="R4289" s="25" t="n"/>
      <c r="S4289" s="26">
        <f>HYPERLINK("http://www.cnpol.ru/covers/20031.jpg","фото на сайте")</f>
        <v/>
      </c>
    </row>
    <row r="4290" ht="50.1" customHeight="1" s="3">
      <c r="A4290" s="23" t="n"/>
      <c r="B4290" s="24" t="inlineStr">
        <is>
          <t>20030</t>
        </is>
      </c>
      <c r="C4290" s="23" t="inlineStr">
        <is>
          <t>РАМКА КЛАССИКА</t>
        </is>
      </c>
      <c r="D4290" s="23" t="inlineStr">
        <is>
          <t>Катериничев П.В.</t>
        </is>
      </c>
      <c r="E4290" s="23" t="inlineStr">
        <is>
          <t>Редкая птица; Огонь на поражение</t>
        </is>
      </c>
      <c r="F4290" s="23" t="inlineStr">
        <is>
          <t>        </t>
        </is>
      </c>
      <c r="G4290" s="27" t="n">
        <v>1522</v>
      </c>
      <c r="H4290" s="23" t="n">
        <v>10</v>
      </c>
      <c r="I4290" s="23" t="n">
        <v>10</v>
      </c>
      <c r="J4290" s="23" t="inlineStr">
        <is>
          <t>978-5-227-09717-0</t>
        </is>
      </c>
      <c r="K4290" s="23" t="inlineStr">
        <is>
          <t>84x108 1/32</t>
        </is>
      </c>
      <c r="L4290" s="23" t="inlineStr">
        <is>
          <t>тв</t>
        </is>
      </c>
      <c r="M4290" s="23" t="n">
        <v>511</v>
      </c>
      <c r="N4290" s="23" t="n">
        <v>2021</v>
      </c>
      <c r="O4290" s="23" t="n">
        <v>544</v>
      </c>
      <c r="P4290" s="23" t="n"/>
      <c r="Q4290" s="23" t="n"/>
      <c r="R4290" s="25" t="n"/>
      <c r="S4290" s="26">
        <f>HYPERLINK("http://www.cnpol.ru/covers/20030.jpg","фото на сайте")</f>
        <v/>
      </c>
    </row>
    <row r="4291" ht="50.1" customHeight="1" s="3">
      <c r="A4291" s="23" t="n"/>
      <c r="B4291" s="24" t="inlineStr">
        <is>
          <t>20154</t>
        </is>
      </c>
      <c r="C4291" s="23" t="inlineStr">
        <is>
          <t>РАМКА КЛАССИКА</t>
        </is>
      </c>
      <c r="D4291" s="23" t="inlineStr">
        <is>
          <t>Леонов Н. И.</t>
        </is>
      </c>
      <c r="E4291" s="23" t="inlineStr">
        <is>
          <t>Трактир на Пятницкой; Агония</t>
        </is>
      </c>
      <c r="F4291" s="23" t="inlineStr">
        <is>
          <t>        </t>
        </is>
      </c>
      <c r="G4291" s="27" t="n">
        <v>1270</v>
      </c>
      <c r="H4291" s="23" t="n">
        <v>10</v>
      </c>
      <c r="I4291" s="23" t="n">
        <v>12</v>
      </c>
      <c r="J4291" s="23" t="inlineStr">
        <is>
          <t>978-5-227-09814-6</t>
        </is>
      </c>
      <c r="K4291" s="23" t="inlineStr">
        <is>
          <t>84x108 1/32</t>
        </is>
      </c>
      <c r="L4291" s="23" t="inlineStr">
        <is>
          <t>тв</t>
        </is>
      </c>
      <c r="M4291" s="23" t="n">
        <v>399</v>
      </c>
      <c r="N4291" s="23" t="n">
        <v>2022</v>
      </c>
      <c r="O4291" s="23" t="n">
        <v>420</v>
      </c>
      <c r="P4291" s="23" t="n"/>
      <c r="Q4291" s="23" t="n"/>
      <c r="R4291" s="25" t="n"/>
      <c r="S4291" s="26">
        <f>HYPERLINK("http://www.cnpol.ru/covers/20154.jpg","фото на сайте")</f>
        <v/>
      </c>
    </row>
    <row r="4292" ht="50.1" customHeight="1" s="3">
      <c r="A4292" s="23" t="n"/>
      <c r="B4292" s="24" t="inlineStr">
        <is>
          <t>20264</t>
        </is>
      </c>
      <c r="C4292" s="23" t="inlineStr">
        <is>
          <t>РАМКА КЛАССИКА</t>
        </is>
      </c>
      <c r="D4292" s="23" t="inlineStr">
        <is>
          <t>Катериничев П.В.</t>
        </is>
      </c>
      <c r="E4292" s="23" t="inlineStr">
        <is>
          <t>Тропа барса</t>
        </is>
      </c>
      <c r="F4292" s="23" t="inlineStr">
        <is>
          <t>        </t>
        </is>
      </c>
      <c r="G4292" s="27" t="n">
        <v>1547</v>
      </c>
      <c r="H4292" s="23" t="n">
        <v>10</v>
      </c>
      <c r="I4292" s="23" t="n">
        <v>10</v>
      </c>
      <c r="J4292" s="23" t="inlineStr">
        <is>
          <t>978-5-227-09881-8</t>
        </is>
      </c>
      <c r="K4292" s="23" t="inlineStr">
        <is>
          <t>84x108 1/32</t>
        </is>
      </c>
      <c r="L4292" s="23" t="inlineStr">
        <is>
          <t>тв</t>
        </is>
      </c>
      <c r="M4292" s="23" t="n">
        <v>574</v>
      </c>
      <c r="N4292" s="23" t="n">
        <v>2022</v>
      </c>
      <c r="O4292" s="23" t="n">
        <v>456</v>
      </c>
      <c r="P4292" s="23" t="n"/>
      <c r="Q4292" s="23" t="n"/>
      <c r="R4292" s="25" t="n"/>
      <c r="S4292" s="26">
        <f>HYPERLINK("http://www.cnpol.ru/covers/20264.jpg","фото на сайте")</f>
        <v/>
      </c>
    </row>
    <row r="4293" ht="50.1" customHeight="1" s="3">
      <c r="A4293" s="23" t="n"/>
      <c r="B4293" s="24" t="inlineStr">
        <is>
          <t>16095</t>
        </is>
      </c>
      <c r="C4293" s="23" t="inlineStr">
        <is>
          <t>РАМКА НОВАЯ</t>
        </is>
      </c>
      <c r="D4293" s="23" t="inlineStr">
        <is>
          <t>Ромов А.С</t>
        </is>
      </c>
      <c r="E4293" s="23" t="inlineStr">
        <is>
          <t>Бесспорной версии нет</t>
        </is>
      </c>
      <c r="F4293" s="23" t="inlineStr">
        <is>
          <t>        </t>
        </is>
      </c>
      <c r="G4293" s="23" t="n">
        <v>653</v>
      </c>
      <c r="H4293" s="23" t="n">
        <v>10</v>
      </c>
      <c r="I4293" s="23" t="n">
        <v>12</v>
      </c>
      <c r="J4293" s="23" t="inlineStr">
        <is>
          <t>978-5-227-05741-9</t>
        </is>
      </c>
      <c r="K4293" s="23" t="inlineStr">
        <is>
          <t>84x108 1/32</t>
        </is>
      </c>
      <c r="L4293" s="23" t="inlineStr">
        <is>
          <t>тв</t>
        </is>
      </c>
      <c r="M4293" s="23" t="n">
        <v>320</v>
      </c>
      <c r="N4293" s="23" t="n">
        <v>2015</v>
      </c>
      <c r="O4293" s="23" t="n">
        <v>268</v>
      </c>
      <c r="P4293" s="23" t="n"/>
      <c r="Q4293" s="23" t="n"/>
      <c r="R4293" s="25" t="inlineStr">
        <is>
          <t>В сборник входят повести «Бесспорной версии нет» и «Условия ­договора». В первой из них рассказывается о раскрытии работниками ­прокуратуры и милиции преступной группы рэкетиров, действующей в Москве. В центре второй скромный заместитель начальника районного УВД волей случая столкнулся с «антикварной мафией», действующей в Грузии.</t>
        </is>
      </c>
      <c r="S4293" s="26">
        <f>HYPERLINK("http://www.cnpol.ru/covers/16095.jpg","фото на сайте")</f>
        <v/>
      </c>
    </row>
    <row r="4294" ht="50.1" customHeight="1" s="3">
      <c r="A4294" s="23" t="n"/>
      <c r="B4294" s="24" t="inlineStr">
        <is>
          <t>16791</t>
        </is>
      </c>
      <c r="C4294" s="23" t="inlineStr">
        <is>
          <t>РАМКА НОВАЯ</t>
        </is>
      </c>
      <c r="D4294" s="23" t="inlineStr">
        <is>
          <t>Прасолов В.Г.</t>
        </is>
      </c>
      <c r="E4294" s="23" t="inlineStr">
        <is>
          <t>Вангол-3. По следу "Аненербе"</t>
        </is>
      </c>
      <c r="F4294" s="23" t="inlineStr">
        <is>
          <t>        </t>
        </is>
      </c>
      <c r="G4294" s="23" t="n">
        <v>653</v>
      </c>
      <c r="H4294" s="23" t="n">
        <v>10</v>
      </c>
      <c r="I4294" s="23" t="n">
        <v>14</v>
      </c>
      <c r="J4294" s="23" t="inlineStr">
        <is>
          <t>978-5-227-06675-6</t>
        </is>
      </c>
      <c r="K4294" s="23" t="inlineStr">
        <is>
          <t>84x108 1/32</t>
        </is>
      </c>
      <c r="L4294" s="23" t="inlineStr">
        <is>
          <t>тв</t>
        </is>
      </c>
      <c r="M4294" s="23" t="n">
        <v>320</v>
      </c>
      <c r="N4294" s="23" t="n">
        <v>2016</v>
      </c>
      <c r="O4294" s="23" t="n">
        <v>288</v>
      </c>
      <c r="P4294" s="23" t="n"/>
      <c r="Q4294" s="23" t="n"/>
      <c r="R4294" s="25" t="n"/>
      <c r="S4294" s="26">
        <f>HYPERLINK("http://www.cnpol.ru/covers/16791.jpg","фото на сайте")</f>
        <v/>
      </c>
    </row>
    <row r="4295" ht="50.1" customHeight="1" s="3">
      <c r="A4295" s="23" t="n"/>
      <c r="B4295" s="24" t="inlineStr">
        <is>
          <t>18310</t>
        </is>
      </c>
      <c r="C4295" s="23" t="inlineStr">
        <is>
          <t>РАМКА НОВАЯ</t>
        </is>
      </c>
      <c r="D4295" s="23" t="inlineStr">
        <is>
          <t>Прасолов В.Г.</t>
        </is>
      </c>
      <c r="E4295" s="23" t="inlineStr">
        <is>
          <t>Вангол-4. Ледовый материк</t>
        </is>
      </c>
      <c r="F4295" s="23" t="inlineStr">
        <is>
          <t>        </t>
        </is>
      </c>
      <c r="G4295" s="23" t="n">
        <v>653</v>
      </c>
      <c r="H4295" s="23" t="n">
        <v>10</v>
      </c>
      <c r="I4295" s="23" t="n">
        <v>14</v>
      </c>
      <c r="J4295" s="23" t="inlineStr">
        <is>
          <t>978-5-9524-5347-0</t>
        </is>
      </c>
      <c r="K4295" s="23" t="inlineStr">
        <is>
          <t>84x108 1/32</t>
        </is>
      </c>
      <c r="L4295" s="23" t="inlineStr">
        <is>
          <t>тв</t>
        </is>
      </c>
      <c r="M4295" s="23" t="n">
        <v>288</v>
      </c>
      <c r="N4295" s="23" t="n">
        <v>2018</v>
      </c>
      <c r="O4295" s="23" t="n">
        <v>254</v>
      </c>
      <c r="P4295" s="23" t="n"/>
      <c r="Q4295" s="23" t="n"/>
      <c r="R4295" s="25" t="inlineStr">
        <is>
          <t>Книга завершает историю Вангола, человека невероятной судьбы, обладающего удивительными, сверхъестественными способностями. Разведывательная группа «Северный ветер», возглавляемая Ванголом, на подводных лодках достигает берегов Антарктиды. Здесь, в секретных лабораториях Новой Швабии, немцы создают супермощное оружие, с помощью которого Германия надеется покорить весь мир, конструируют летательные аппараты нового типа, культивируют новую совершенную расу. Многочисленные трудности и приключения выпадают на долю разведчиков, прежде чем они ступают на зеленый берег подледной Антарктиды. Пойдя на риск, бойцы отряда Вангола совместно с немецкими инженерами­антифашистами проводят успешную операцию по захвату поселка, где расположен закрытый технический комплекс, ведущий работу над проектом «Хронос». В подледной Антарктиде Вангол встречается со своей женой Ольгой, внедренной ранее в тыл врага. Но минуты личного счастья пролетают быстро — Ванголу, в совершенстве владеющему немецким языком, приходится под видом гауптмана Шварца отправиться на вражеской подводной лодке на Большую землю, чтобы передать командованию полученные разведданные. В этом походе Вангол отдает свою жизнь ради Победы, стремясь предотвратить доставку на фронт нового, обладающего разрушительной силой химического оружия.</t>
        </is>
      </c>
      <c r="S4295" s="26">
        <f>HYPERLINK("http://www.cnpol.ru/covers/18310.jpg","фото на сайте")</f>
        <v/>
      </c>
    </row>
    <row r="4296" ht="50.1" customHeight="1" s="3">
      <c r="A4296" s="23" t="n"/>
      <c r="B4296" s="24" t="inlineStr">
        <is>
          <t>19839</t>
        </is>
      </c>
      <c r="C4296" s="23" t="inlineStr">
        <is>
          <t>РАМКА НОВАЯ</t>
        </is>
      </c>
      <c r="D4296" s="23" t="inlineStr">
        <is>
          <t>Прасолов В.Г.</t>
        </is>
      </c>
      <c r="E4296" s="23" t="inlineStr">
        <is>
          <t>Вангол­5. Чеченский этап</t>
        </is>
      </c>
      <c r="F4296" s="23" t="inlineStr">
        <is>
          <t>        </t>
        </is>
      </c>
      <c r="G4296" s="23" t="n">
        <v>653</v>
      </c>
      <c r="H4296" s="23" t="n">
        <v>10</v>
      </c>
      <c r="I4296" s="23" t="n">
        <v>12</v>
      </c>
      <c r="J4296" s="23" t="inlineStr">
        <is>
          <t>978-5-9524-5502-3</t>
        </is>
      </c>
      <c r="K4296" s="23" t="inlineStr">
        <is>
          <t>84x108 1/32</t>
        </is>
      </c>
      <c r="L4296" s="23" t="inlineStr">
        <is>
          <t>тв</t>
        </is>
      </c>
      <c r="M4296" s="23" t="n">
        <v>319</v>
      </c>
      <c r="N4296" s="23" t="n">
        <v>2021</v>
      </c>
      <c r="O4296" s="23" t="n">
        <v>274</v>
      </c>
      <c r="P4296" s="23" t="n"/>
      <c r="Q4296" s="23" t="n"/>
      <c r="R4296" s="25" t="inlineStr">
        <is>
          <t>В этой книге, следуя за героями романа «Вангол», автор раскрывает послевоенную судьбу Кольши, вернувшегося после невероятных путешествий на родные берега великой сибирской реки Енисей. Воспитанный в староверской деревне, прошедший чистилище войны, он намерен восстановить свое сожженное органами НКВД селение._x000D_
В послевоенные годы Сибирь была буквально напичкана лагерями и ссыльными. Именно там теперь была сконцентрирована вся боль пережившего все войны и лишения российского народа. Военнопленные японцы и немцы, итальянцы и румыны, предатели всех мастей, власовцы и бандеровцы, «лесные братья» из Прибалтики, финны, чеченцы и ингуши, репрессированные в 1944 году, мужчины и женщины, дети врагов народа — весь этот страшный людской водоворот крутился в огромном пространстве Сибири. В него и попал Кольша… О том, как он выжил и нашел себя в этой жизни, и повествует автор.</t>
        </is>
      </c>
      <c r="S4296" s="26">
        <f>HYPERLINK("http://www.cnpol.ru/covers/19839.jpg","фото на сайте")</f>
        <v/>
      </c>
    </row>
    <row r="4297" ht="50.1" customHeight="1" s="3">
      <c r="A4297" s="23" t="n"/>
      <c r="B4297" s="24" t="inlineStr">
        <is>
          <t>16980</t>
        </is>
      </c>
      <c r="C4297" s="23" t="inlineStr">
        <is>
          <t>РАМКА НОВАЯ</t>
        </is>
      </c>
      <c r="D4297" s="23" t="inlineStr">
        <is>
          <t>Булычев К.</t>
        </is>
      </c>
      <c r="E4297" s="23" t="inlineStr">
        <is>
          <t>Жизнь за трицераптопса</t>
        </is>
      </c>
      <c r="F4297" s="23" t="inlineStr">
        <is>
          <t>        </t>
        </is>
      </c>
      <c r="G4297" s="23" t="n">
        <v>704</v>
      </c>
      <c r="H4297" s="23" t="n">
        <v>10</v>
      </c>
      <c r="I4297" s="23" t="n">
        <v>12</v>
      </c>
      <c r="J4297" s="23" t="inlineStr">
        <is>
          <t>978-5-227-05823-2</t>
        </is>
      </c>
      <c r="K4297" s="23" t="inlineStr">
        <is>
          <t>84x108 1/32</t>
        </is>
      </c>
      <c r="L4297" s="23" t="inlineStr">
        <is>
          <t>тв</t>
        </is>
      </c>
      <c r="M4297" s="23" t="n">
        <v>381</v>
      </c>
      <c r="N4297" s="23" t="n">
        <v>2016</v>
      </c>
      <c r="O4297" s="23" t="n">
        <v>310</v>
      </c>
      <c r="P4297" s="23" t="n"/>
      <c r="Q4297" s="23" t="n"/>
      <c r="R4297" s="25" t="n"/>
      <c r="S4297" s="26">
        <f>HYPERLINK("http://www.cnpol.ru/covers/16980.jpg","фото на сайте")</f>
        <v/>
      </c>
    </row>
    <row r="4298" ht="50.1" customHeight="1" s="3">
      <c r="A4298" s="23" t="n"/>
      <c r="B4298" s="24" t="inlineStr">
        <is>
          <t>16741</t>
        </is>
      </c>
      <c r="C4298" s="23" t="inlineStr">
        <is>
          <t>РАМКА НОВАЯ</t>
        </is>
      </c>
      <c r="D4298" s="23" t="inlineStr">
        <is>
          <t>Веденеев В.В.</t>
        </is>
      </c>
      <c r="E4298" s="23" t="inlineStr">
        <is>
          <t>Игра без правил</t>
        </is>
      </c>
      <c r="F4298" s="23" t="inlineStr">
        <is>
          <t>        </t>
        </is>
      </c>
      <c r="G4298" s="23" t="n">
        <v>704</v>
      </c>
      <c r="H4298" s="23" t="n">
        <v>10</v>
      </c>
      <c r="I4298" s="23" t="n">
        <v>10</v>
      </c>
      <c r="J4298" s="23" t="inlineStr">
        <is>
          <t>978-5-227-06729-6</t>
        </is>
      </c>
      <c r="K4298" s="23" t="inlineStr">
        <is>
          <t>84x108 1/32</t>
        </is>
      </c>
      <c r="L4298" s="23" t="inlineStr">
        <is>
          <t>тв</t>
        </is>
      </c>
      <c r="M4298" s="23" t="n">
        <v>416</v>
      </c>
      <c r="N4298" s="23" t="n">
        <v>2016</v>
      </c>
      <c r="O4298" s="23" t="n">
        <v>316</v>
      </c>
      <c r="P4298" s="23" t="n"/>
      <c r="Q4298" s="23" t="n"/>
      <c r="R4298" s="25" t="inlineStr">
        <is>
          <t>Автор многочисленных популярных детективов Василий Веденеев значительную часть жизни проработал в МУРе. В центре настоящего его криминального романа — беспощадная, коварная борьба московских мафий. Черное порождение перестройки — «драконы», подобно оказавшимся в одной банке тарантулам, впиваются друг в друга. Яд и кинжал, пистолет и взрывчатка — вот подручные средства главных персонажей повествования. А жертвы их кровавых деяний закатаны в толщу асфальта, замурованы в бетонные балки, зарыты в полях бескрайней державы…</t>
        </is>
      </c>
      <c r="S4298" s="26">
        <f>HYPERLINK("http://www.cnpol.ru/covers/16741.jpg","фото на сайте")</f>
        <v/>
      </c>
    </row>
    <row r="4299" ht="50.1" customHeight="1" s="3">
      <c r="A4299" s="23" t="n"/>
      <c r="B4299" s="24" t="inlineStr">
        <is>
          <t>18456</t>
        </is>
      </c>
      <c r="C4299" s="23" t="inlineStr">
        <is>
          <t>РАМКА НОВАЯ</t>
        </is>
      </c>
      <c r="D4299" s="23" t="inlineStr">
        <is>
          <t>Безуглов А.А.</t>
        </is>
      </c>
      <c r="E4299" s="23" t="inlineStr">
        <is>
          <t>Изувер</t>
        </is>
      </c>
      <c r="F4299" s="23" t="inlineStr">
        <is>
          <t>        </t>
        </is>
      </c>
      <c r="G4299" s="23" t="n">
        <v>653</v>
      </c>
      <c r="H4299" s="23" t="n">
        <v>10</v>
      </c>
      <c r="I4299" s="23" t="n">
        <v>12</v>
      </c>
      <c r="J4299" s="23" t="inlineStr">
        <is>
          <t>978-5-9524-5308-1</t>
        </is>
      </c>
      <c r="K4299" s="23" t="inlineStr">
        <is>
          <t>84x108 1/32</t>
        </is>
      </c>
      <c r="L4299" s="23" t="inlineStr">
        <is>
          <t>тв</t>
        </is>
      </c>
      <c r="M4299" s="23" t="n">
        <v>352</v>
      </c>
      <c r="N4299" s="23" t="n">
        <v>2019</v>
      </c>
      <c r="O4299" s="23" t="n">
        <v>288</v>
      </c>
      <c r="P4299" s="23" t="n"/>
      <c r="Q4299" s="23" t="n"/>
      <c r="R4299" s="25" t="inlineStr">
        <is>
          <t>В повести «Изувер» рассказывается о трагедии в дачном поселке: убиты несколько человек. Сложное расследование дойдет до суда и закончится смертным приговором._x000D_
«Инспектор милиции» — это производственный роман из жизни участкового. По распределению Дмитрий из Москвы попадает в донскую станицу. Не на такое он рассчитывал, но неудачная шутка закадычного друга обернулась именно так. Все будет в Диминой станичной жизни и службе: и неудачи, и проклятия, и людская благодарность, и любовь.</t>
        </is>
      </c>
      <c r="S4299" s="26">
        <f>HYPERLINK("http://www.cnpol.ru/covers/18456.jpg","фото на сайте")</f>
        <v/>
      </c>
    </row>
    <row r="4300" ht="50.1" customHeight="1" s="3">
      <c r="A4300" s="23" t="n"/>
      <c r="B4300" s="24" t="inlineStr">
        <is>
          <t>16640</t>
        </is>
      </c>
      <c r="C4300" s="23" t="inlineStr">
        <is>
          <t>РАМКА НОВАЯ</t>
        </is>
      </c>
      <c r="D4300" s="23" t="inlineStr">
        <is>
          <t>Веденеев В.В.</t>
        </is>
      </c>
      <c r="E4300" s="23" t="inlineStr">
        <is>
          <t>Казино "Бон Шанс"</t>
        </is>
      </c>
      <c r="F4300" s="23" t="inlineStr">
        <is>
          <t>        </t>
        </is>
      </c>
      <c r="G4300" s="23" t="n">
        <v>704</v>
      </c>
      <c r="H4300" s="23" t="n">
        <v>10</v>
      </c>
      <c r="I4300" s="23" t="n">
        <v>10</v>
      </c>
      <c r="J4300" s="23" t="inlineStr">
        <is>
          <t>978-5-227-06544-5</t>
        </is>
      </c>
      <c r="K4300" s="23" t="inlineStr">
        <is>
          <t>84x108 1/32</t>
        </is>
      </c>
      <c r="L4300" s="23" t="inlineStr">
        <is>
          <t>тв</t>
        </is>
      </c>
      <c r="M4300" s="23" t="n">
        <v>448</v>
      </c>
      <c r="N4300" s="23" t="n">
        <v>2016</v>
      </c>
      <c r="O4300" s="23" t="n">
        <v>344</v>
      </c>
      <c r="P4300" s="23" t="n"/>
      <c r="Q4300" s="23" t="n"/>
      <c r="R4300" s="25" t="inlineStr">
        <is>
          <t>Неожиданно приехавший к Петру Меркулову старый приятель латыш Юри скончался от инфаркта. Отыскивая в его вещах паспорт, Петр обнаружил ультрасовременную шпионскую аппаратуру и оружие. Уже на следующее утро Меркулову позвонил неизвестный и предложил явиться на похороны покойного. А затем раздался звонок из Риги – Петру назначили встречу. Он понимает, что с подачи Юри попал в круг интересов очень серьезных людей. Той же ночью убит хозяин сети игорных заведений, а его подельников очень беспокоит смерть Юри, исчезнувшее оборудование и надвигающаяся война с конкурирующей группировкой…</t>
        </is>
      </c>
      <c r="S4300" s="26">
        <f>HYPERLINK("http://www.cnpol.ru/covers/16640.jpg","фото на сайте")</f>
        <v/>
      </c>
    </row>
    <row r="4301" ht="50.1" customHeight="1" s="3">
      <c r="A4301" s="23" t="n"/>
      <c r="B4301" s="24" t="inlineStr">
        <is>
          <t>18774</t>
        </is>
      </c>
      <c r="C4301" s="23" t="inlineStr">
        <is>
          <t>РАМКА НОВАЯ</t>
        </is>
      </c>
      <c r="D4301" s="23" t="inlineStr">
        <is>
          <t>Малик В.К.</t>
        </is>
      </c>
      <c r="E4301" s="23" t="inlineStr">
        <is>
          <t>Князь Игорь. Витязи червлёных щитов</t>
        </is>
      </c>
      <c r="F4301" s="23" t="inlineStr">
        <is>
          <t>        </t>
        </is>
      </c>
      <c r="G4301" s="23" t="n">
        <v>704</v>
      </c>
      <c r="H4301" s="23" t="n">
        <v>10</v>
      </c>
      <c r="I4301" s="23" t="n">
        <v>10</v>
      </c>
      <c r="J4301" s="23" t="inlineStr">
        <is>
          <t>978-5-9524-5379-1</t>
        </is>
      </c>
      <c r="K4301" s="23" t="inlineStr">
        <is>
          <t>84x108 1/32</t>
        </is>
      </c>
      <c r="L4301" s="23" t="inlineStr">
        <is>
          <t>тв</t>
        </is>
      </c>
      <c r="M4301" s="23" t="n">
        <v>448</v>
      </c>
      <c r="N4301" s="23" t="n">
        <v>2019</v>
      </c>
      <c r="O4301" s="23" t="n">
        <v>272</v>
      </c>
      <c r="P4301" s="23" t="n"/>
      <c r="Q4301" s="23" t="n"/>
      <c r="R4301" s="25" t="inlineStr">
        <is>
          <t>Известный писатель, лауреат премии Леси Украинки, автор целой серии увлекательнейших исторических романов воспроизводит драматические события, произошедшие на Руси в ХII веке. Писатель представляет картину кровопролитных схваток и среди них такую, каких ещё не видано было на Руси, — полный разгром всей воинской силы целого княжества на Каяле. Автор детально описывает сам поход Игоря, бои на речках Сюурлий и Каяле, поражение северских войск, плен и бегство князя из плена. Строго придерживаясь исторических фактов, Малик создает живые, яркие образы реальных персонажей и вымышленных героев. Это рассказ о самоотверженной борьбе русских богатырей с дикими ордами, о прекрасных людях, о настоящей дружбе, о преданности родной земле.</t>
        </is>
      </c>
      <c r="S4301" s="26">
        <f>HYPERLINK("http://www.cnpol.ru/covers/18774.jpg","фото на сайте")</f>
        <v/>
      </c>
    </row>
    <row r="4302" ht="50.1" customHeight="1" s="3">
      <c r="A4302" s="23" t="n"/>
      <c r="B4302" s="24" t="inlineStr">
        <is>
          <t>18856</t>
        </is>
      </c>
      <c r="C4302" s="23" t="inlineStr">
        <is>
          <t>РАМКА НОВАЯ</t>
        </is>
      </c>
      <c r="D4302" s="23" t="inlineStr">
        <is>
          <t>Малик В.К.</t>
        </is>
      </c>
      <c r="E4302" s="23" t="inlineStr">
        <is>
          <t>Князь Кий</t>
        </is>
      </c>
      <c r="F4302" s="23" t="inlineStr">
        <is>
          <t>        </t>
        </is>
      </c>
      <c r="G4302" s="23" t="n">
        <v>704</v>
      </c>
      <c r="H4302" s="23" t="n">
        <v>10</v>
      </c>
      <c r="I4302" s="23" t="n">
        <v>14</v>
      </c>
      <c r="J4302" s="23" t="inlineStr">
        <is>
          <t>978-5-9524-5384-5</t>
        </is>
      </c>
      <c r="K4302" s="23" t="inlineStr">
        <is>
          <t>84x108 1/32</t>
        </is>
      </c>
      <c r="L4302" s="23" t="inlineStr">
        <is>
          <t>тв</t>
        </is>
      </c>
      <c r="M4302" s="23" t="n">
        <v>288</v>
      </c>
      <c r="N4302" s="23" t="n">
        <v>2019</v>
      </c>
      <c r="O4302" s="23" t="n">
        <v>254</v>
      </c>
      <c r="P4302" s="23" t="n"/>
      <c r="Q4302" s="23" t="n"/>
      <c r="R4302" s="25" t="inlineStr">
        <is>
          <t>Согласно «Повести временных лет» князь Кий был выдающейся исторической личностью. Неспроста за полтысячелетия, что прошло от Кия до Нестора, народ в памяти сберёг важнейшие факты его политической биографии: поставил столицу на Днепре, ходил в Царьград, срубил Киевец, городок на Дунае, вернулся в Киев, где и «жизнь свою окончил». Владимир Малик, известный украинский писатель, автор серии увлекательных исторических романов, реконструировал молодые годы будущего основателя Киева, которому суждено было стать во главе славянского племени полян и отразить нападение одной из орд гуннов, кочевавшей в причерноморских степях после распада державы Аттилы.</t>
        </is>
      </c>
      <c r="S4302" s="26">
        <f>HYPERLINK("http://www.cnpol.ru/covers/18856.jpg","фото на сайте")</f>
        <v/>
      </c>
    </row>
    <row r="4303" ht="50.1" customHeight="1" s="3">
      <c r="A4303" s="23" t="n"/>
      <c r="B4303" s="24" t="inlineStr">
        <is>
          <t>19189</t>
        </is>
      </c>
      <c r="C4303" s="23" t="inlineStr">
        <is>
          <t>РАМКА НОВАЯ</t>
        </is>
      </c>
      <c r="D4303" s="23" t="inlineStr">
        <is>
          <t>Кларов Ю.М.,Безуглов А.А.</t>
        </is>
      </c>
      <c r="E4303" s="23" t="inlineStr">
        <is>
          <t>Конец Хитрова рынка</t>
        </is>
      </c>
      <c r="F4303" s="23" t="inlineStr">
        <is>
          <t>        </t>
        </is>
      </c>
      <c r="G4303" s="23" t="n">
        <v>888</v>
      </c>
      <c r="H4303" s="23" t="n">
        <v>10</v>
      </c>
      <c r="I4303" s="23" t="n">
        <v>6</v>
      </c>
      <c r="J4303" s="23" t="inlineStr">
        <is>
          <t>978-5-9524-5354-8</t>
        </is>
      </c>
      <c r="K4303" s="23" t="inlineStr">
        <is>
          <t>84x108 1/32</t>
        </is>
      </c>
      <c r="L4303" s="23" t="inlineStr">
        <is>
          <t>тв</t>
        </is>
      </c>
      <c r="M4303" s="23" t="n">
        <v>699</v>
      </c>
      <c r="N4303" s="23" t="n">
        <v>2020</v>
      </c>
      <c r="O4303" s="23" t="n">
        <v>506</v>
      </c>
      <c r="P4303" s="23" t="n"/>
      <c r="Q4303" s="23" t="n"/>
      <c r="R4303" s="25" t="inlineStr">
        <is>
          <t>В трилогию Юрия Кларова и Анатолия Безуглова входят повести «Конец Хитрова рынка», «В полосе отчуждения» и роман «Покушение». В них рассказывается о работниках уголовного розыска в первые годы советской власти. Авторам удалось передать характер изображаемой эпохи, ее атмосферу, своеобразие быта, а главное — раскрыть революционный героизм молодежи.</t>
        </is>
      </c>
      <c r="S4303" s="26">
        <f>HYPERLINK("http://www.cnpol.ru/covers/19189.jpg","фото на сайте")</f>
        <v/>
      </c>
    </row>
    <row r="4304" ht="50.1" customHeight="1" s="3">
      <c r="A4304" s="23" t="n"/>
      <c r="B4304" s="24" t="inlineStr">
        <is>
          <t>19441</t>
        </is>
      </c>
      <c r="C4304" s="23" t="inlineStr">
        <is>
          <t>РАМКА НОВАЯ</t>
        </is>
      </c>
      <c r="D4304" s="23" t="inlineStr">
        <is>
          <t>Кивинов А.В.</t>
        </is>
      </c>
      <c r="E4304" s="23" t="inlineStr">
        <is>
          <t>Кошмар на улице Стачек</t>
        </is>
      </c>
      <c r="F4304" s="23" t="inlineStr">
        <is>
          <t>        </t>
        </is>
      </c>
      <c r="G4304" s="23" t="n">
        <v>653</v>
      </c>
      <c r="H4304" s="23" t="n">
        <v>10</v>
      </c>
      <c r="I4304" s="23" t="n">
        <v>12</v>
      </c>
      <c r="J4304" s="23" t="inlineStr">
        <is>
          <t>978-5-9524-5358-6</t>
        </is>
      </c>
      <c r="K4304" s="23" t="inlineStr">
        <is>
          <t>84x108 1/32</t>
        </is>
      </c>
      <c r="L4304" s="23" t="inlineStr">
        <is>
          <t>тв</t>
        </is>
      </c>
      <c r="M4304" s="23" t="n">
        <v>288</v>
      </c>
      <c r="N4304" s="23" t="n">
        <v>2020</v>
      </c>
      <c r="O4304" s="23" t="n">
        <v>242</v>
      </c>
      <c r="P4304" s="23" t="n"/>
      <c r="Q4304" s="23" t="n"/>
      <c r="R4304" s="25" t="inlineStr">
        <is>
          <t>Книга Андрея Кивинова возвращает нас в начало «лихих» девяностых. В сборник вошло три повести: «Кошмар на улице Стачек», «Обнесенные ветром», «Попутчики». Все они написаны в теперь уже далеком 1994 году. Автор знаком с работой в милиции не понаслышке, он сам в это время был начальником уголовного розыска одного из районов Петербурга… Кивинов внесен в Книгу рекордов Санкт­Петербурга, как создатель литературной основы самого долгоиграющего сериала в истории нашего отечественного телевидения — «Улицы разбитых фонарей», герои которого вот уже много лет любимы зрителями. Правда будней петербургской милиции пройдет перед глазами читателей. Все персонажи имеют реальных прототипов. Рисуя весьма печальную картину городских будней, автор умудряется сохранить иронию и находить смешное в непростых обстоятельствах…</t>
        </is>
      </c>
      <c r="S4304" s="26">
        <f>HYPERLINK("http://www.cnpol.ru/covers/19441.jpg","фото на сайте")</f>
        <v/>
      </c>
    </row>
    <row r="4305" ht="50.1" customHeight="1" s="3">
      <c r="A4305" s="23" t="n"/>
      <c r="B4305" s="24" t="inlineStr">
        <is>
          <t>18734</t>
        </is>
      </c>
      <c r="C4305" s="23" t="inlineStr">
        <is>
          <t>РАМКА НОВАЯ</t>
        </is>
      </c>
      <c r="D4305" s="23" t="inlineStr">
        <is>
          <t>Безуглов А.А.</t>
        </is>
      </c>
      <c r="E4305" s="23" t="inlineStr">
        <is>
          <t>Мафия</t>
        </is>
      </c>
      <c r="F4305" s="23" t="inlineStr">
        <is>
          <t>        </t>
        </is>
      </c>
      <c r="G4305" s="23" t="n">
        <v>653</v>
      </c>
      <c r="H4305" s="23" t="n">
        <v>10</v>
      </c>
      <c r="I4305" s="23" t="n">
        <v>12</v>
      </c>
      <c r="J4305" s="23" t="inlineStr">
        <is>
          <t>978-5-9524-5381-4</t>
        </is>
      </c>
      <c r="K4305" s="23" t="inlineStr">
        <is>
          <t>84x108 1/32</t>
        </is>
      </c>
      <c r="L4305" s="23" t="inlineStr">
        <is>
          <t>тв</t>
        </is>
      </c>
      <c r="M4305" s="23" t="n">
        <v>320</v>
      </c>
      <c r="N4305" s="23" t="n">
        <v>2019</v>
      </c>
      <c r="O4305" s="23" t="n">
        <v>272</v>
      </c>
      <c r="P4305" s="23" t="n"/>
      <c r="Q4305" s="23" t="n"/>
      <c r="R4305" s="25" t="n"/>
      <c r="S4305" s="26">
        <f>HYPERLINK("http://www.cnpol.ru/covers/18734.jpg","фото на сайте")</f>
        <v/>
      </c>
    </row>
    <row r="4306" ht="50.1" customHeight="1" s="3">
      <c r="A4306" s="23" t="n"/>
      <c r="B4306" s="24" t="inlineStr">
        <is>
          <t>17860</t>
        </is>
      </c>
      <c r="C4306" s="23" t="inlineStr">
        <is>
          <t>РАМКА НОВАЯ</t>
        </is>
      </c>
      <c r="D4306" s="23" t="inlineStr">
        <is>
          <t>Ромов А.С</t>
        </is>
      </c>
      <c r="E4306" s="23" t="inlineStr">
        <is>
          <t>Ордер на убийство</t>
        </is>
      </c>
      <c r="F4306" s="23" t="inlineStr">
        <is>
          <t>        </t>
        </is>
      </c>
      <c r="G4306" s="23" t="n">
        <v>653</v>
      </c>
      <c r="H4306" s="23" t="n">
        <v>10</v>
      </c>
      <c r="I4306" s="23" t="n">
        <v>16</v>
      </c>
      <c r="J4306" s="23" t="inlineStr">
        <is>
          <t>978-5-9524-5299-2</t>
        </is>
      </c>
      <c r="K4306" s="23" t="inlineStr">
        <is>
          <t>84x108 1/32</t>
        </is>
      </c>
      <c r="L4306" s="23" t="inlineStr">
        <is>
          <t>тв</t>
        </is>
      </c>
      <c r="M4306" s="23" t="n">
        <v>288</v>
      </c>
      <c r="N4306" s="23" t="n">
        <v>2017</v>
      </c>
      <c r="O4306" s="23" t="n">
        <v>236</v>
      </c>
      <c r="P4306" s="23" t="n"/>
      <c r="Q4306" s="23" t="n"/>
      <c r="R4306" s="25" t="n"/>
      <c r="S4306" s="26">
        <f>HYPERLINK("http://www.cnpol.ru/covers/17860.jpg","фото на сайте")</f>
        <v/>
      </c>
    </row>
    <row r="4307" ht="50.1" customHeight="1" s="3">
      <c r="A4307" s="23" t="n"/>
      <c r="B4307" s="24" t="inlineStr">
        <is>
          <t>19030</t>
        </is>
      </c>
      <c r="C4307" s="23" t="inlineStr">
        <is>
          <t>РАМКА НОВАЯ</t>
        </is>
      </c>
      <c r="D4307" s="23" t="inlineStr">
        <is>
          <t>Дроканов И.Е.</t>
        </is>
      </c>
      <c r="E4307" s="23" t="inlineStr">
        <is>
          <t>Пароль: Тишина над Балтикой</t>
        </is>
      </c>
      <c r="F4307" s="23" t="inlineStr">
        <is>
          <t>        </t>
        </is>
      </c>
      <c r="G4307" s="23" t="n">
        <v>704</v>
      </c>
      <c r="H4307" s="23" t="n">
        <v>10</v>
      </c>
      <c r="I4307" s="23" t="n">
        <v>12</v>
      </c>
      <c r="J4307" s="23" t="inlineStr">
        <is>
          <t>978-5-9524-5351-7</t>
        </is>
      </c>
      <c r="K4307" s="23" t="inlineStr">
        <is>
          <t>84x108 1/32</t>
        </is>
      </c>
      <c r="L4307" s="23" t="inlineStr">
        <is>
          <t>тв</t>
        </is>
      </c>
      <c r="M4307" s="23" t="n">
        <v>352</v>
      </c>
      <c r="N4307" s="23" t="n">
        <v>2019</v>
      </c>
      <c r="O4307" s="23" t="n">
        <v>288</v>
      </c>
      <c r="P4307" s="23" t="n"/>
      <c r="Q4307" s="23" t="n"/>
      <c r="R4307" s="25" t="n"/>
      <c r="S4307" s="26">
        <f>HYPERLINK("http://www.cnpol.ru/covers/19030.jpg","фото на сайте")</f>
        <v/>
      </c>
    </row>
    <row r="4308" ht="50.1" customHeight="1" s="3">
      <c r="A4308" s="23" t="n"/>
      <c r="B4308" s="24" t="inlineStr">
        <is>
          <t>19442</t>
        </is>
      </c>
      <c r="C4308" s="23" t="inlineStr">
        <is>
          <t>РАМКА НОВАЯ</t>
        </is>
      </c>
      <c r="D4308" s="23" t="inlineStr">
        <is>
          <t>Кивинов А.В.</t>
        </is>
      </c>
      <c r="E4308" s="23" t="inlineStr">
        <is>
          <t>Петербургский презент</t>
        </is>
      </c>
      <c r="F4308" s="23" t="inlineStr">
        <is>
          <t>        </t>
        </is>
      </c>
      <c r="G4308" s="23" t="n">
        <v>653</v>
      </c>
      <c r="H4308" s="23" t="n">
        <v>10</v>
      </c>
      <c r="I4308" s="23" t="n">
        <v>12</v>
      </c>
      <c r="J4308" s="23" t="inlineStr">
        <is>
          <t>978-5-9524-5359-3</t>
        </is>
      </c>
      <c r="K4308" s="23" t="inlineStr">
        <is>
          <t>84x108 1/32</t>
        </is>
      </c>
      <c r="L4308" s="23" t="inlineStr">
        <is>
          <t>тв</t>
        </is>
      </c>
      <c r="M4308" s="23" t="n">
        <v>288</v>
      </c>
      <c r="N4308" s="23" t="n">
        <v>2020</v>
      </c>
      <c r="O4308" s="23" t="n">
        <v>238</v>
      </c>
      <c r="P4308" s="23" t="n"/>
      <c r="Q4308" s="23" t="n"/>
      <c r="R4308" s="25" t="n"/>
      <c r="S4308" s="26">
        <f>HYPERLINK("http://www.cnpol.ru/covers/19442.jpg","фото на сайте")</f>
        <v/>
      </c>
    </row>
    <row r="4309" ht="50.1" customHeight="1" s="3">
      <c r="A4309" s="23" t="n"/>
      <c r="B4309" s="24" t="inlineStr">
        <is>
          <t>15160</t>
        </is>
      </c>
      <c r="C4309" s="23" t="inlineStr">
        <is>
          <t>РАМКА НОВАЯ</t>
        </is>
      </c>
      <c r="D4309" s="23" t="inlineStr">
        <is>
          <t>Симони М.</t>
        </is>
      </c>
      <c r="E4309" s="23" t="inlineStr">
        <is>
          <t>Продавец проклятых книг</t>
        </is>
      </c>
      <c r="F4309" s="23" t="inlineStr">
        <is>
          <t>        </t>
        </is>
      </c>
      <c r="G4309" s="23" t="n">
        <v>653</v>
      </c>
      <c r="H4309" s="23" t="n">
        <v>10</v>
      </c>
      <c r="I4309" s="23" t="n">
        <v>12</v>
      </c>
      <c r="J4309" s="23" t="inlineStr">
        <is>
          <t>978-5-227-05203-2</t>
        </is>
      </c>
      <c r="K4309" s="23" t="inlineStr">
        <is>
          <t>84x108 1/32</t>
        </is>
      </c>
      <c r="L4309" s="23" t="inlineStr">
        <is>
          <t>тв</t>
        </is>
      </c>
      <c r="M4309" s="23" t="n">
        <v>347</v>
      </c>
      <c r="N4309" s="23" t="n">
        <v>2014</v>
      </c>
      <c r="O4309" s="23" t="n">
        <v>290</v>
      </c>
      <c r="P4309" s="23" t="n"/>
      <c r="Q4309" s="23" t="n"/>
      <c r="R4309" s="25" t="n"/>
      <c r="S4309" s="26">
        <f>HYPERLINK("http://www.cnpol.ru/covers/15160.jpg","фото на сайте")</f>
        <v/>
      </c>
    </row>
    <row r="4310" ht="50.1" customHeight="1" s="3">
      <c r="A4310" s="23" t="n"/>
      <c r="B4310" s="24" t="inlineStr">
        <is>
          <t>17607</t>
        </is>
      </c>
      <c r="C4310" s="23" t="inlineStr">
        <is>
          <t>РАМКА НОВАЯ</t>
        </is>
      </c>
      <c r="D4310" s="23" t="inlineStr">
        <is>
          <t>Кларов Ю.М</t>
        </is>
      </c>
      <c r="E4310" s="23" t="inlineStr">
        <is>
          <t>Станция назначения - Харьков</t>
        </is>
      </c>
      <c r="F4310" s="23" t="inlineStr">
        <is>
          <t>        </t>
        </is>
      </c>
      <c r="G4310" s="23" t="n">
        <v>653</v>
      </c>
      <c r="H4310" s="23" t="n">
        <v>10</v>
      </c>
      <c r="I4310" s="23" t="n">
        <v>16</v>
      </c>
      <c r="J4310" s="23" t="inlineStr">
        <is>
          <t>978-5-9524-5298-5</t>
        </is>
      </c>
      <c r="K4310" s="23" t="inlineStr">
        <is>
          <t>84x108 1/32</t>
        </is>
      </c>
      <c r="L4310" s="23" t="inlineStr">
        <is>
          <t>тв</t>
        </is>
      </c>
      <c r="M4310" s="23" t="n">
        <v>288</v>
      </c>
      <c r="N4310" s="23" t="n">
        <v>2017</v>
      </c>
      <c r="O4310" s="23" t="n">
        <v>256</v>
      </c>
      <c r="P4310" s="23" t="n"/>
      <c r="Q4310" s="23" t="n"/>
      <c r="R4310" s="25" t="n"/>
      <c r="S4310" s="26">
        <f>HYPERLINK("http://www.cnpol.ru/covers/17607.jpg","фото на сайте")</f>
        <v/>
      </c>
    </row>
    <row r="4311" ht="50.1" customHeight="1" s="3">
      <c r="A4311" s="23" t="n"/>
      <c r="B4311" s="24" t="inlineStr">
        <is>
          <t>16641</t>
        </is>
      </c>
      <c r="C4311" s="23" t="inlineStr">
        <is>
          <t>РАМКА НОВАЯ</t>
        </is>
      </c>
      <c r="D4311" s="23" t="inlineStr">
        <is>
          <t>Хруцкий Э.</t>
        </is>
      </c>
      <c r="E4311" s="23" t="inlineStr">
        <is>
          <t>Тайны уставшего города. История криминальной Москвы</t>
        </is>
      </c>
      <c r="F4311" s="23" t="inlineStr">
        <is>
          <t>        </t>
        </is>
      </c>
      <c r="G4311" s="23" t="n">
        <v>763</v>
      </c>
      <c r="H4311" s="23" t="n">
        <v>10</v>
      </c>
      <c r="I4311" s="23" t="n">
        <v>10</v>
      </c>
      <c r="J4311" s="23" t="inlineStr">
        <is>
          <t>978-5-227-06427-1</t>
        </is>
      </c>
      <c r="K4311" s="23" t="inlineStr">
        <is>
          <t>82x108 1/32</t>
        </is>
      </c>
      <c r="L4311" s="23" t="inlineStr">
        <is>
          <t>тв</t>
        </is>
      </c>
      <c r="M4311" s="23" t="n">
        <v>480</v>
      </c>
      <c r="N4311" s="23" t="n">
        <v>2016</v>
      </c>
      <c r="O4311" s="23" t="n">
        <v>364</v>
      </c>
      <c r="P4311" s="23" t="n"/>
      <c r="Q4311" s="23" t="n"/>
      <c r="R4311" s="25" t="n"/>
      <c r="S4311" s="26">
        <f>HYPERLINK("http://www.cnpol.ru/covers/16641.jpg","фото на сайте")</f>
        <v/>
      </c>
    </row>
    <row r="4312" ht="50.1" customHeight="1" s="3">
      <c r="A4312" s="23" t="n"/>
      <c r="B4312" s="24" t="inlineStr">
        <is>
          <t>16272</t>
        </is>
      </c>
      <c r="C4312" s="23" t="inlineStr">
        <is>
          <t>РАМКА НОВАЯ</t>
        </is>
      </c>
      <c r="D4312" s="23" t="inlineStr">
        <is>
          <t>Хруцкий Э.</t>
        </is>
      </c>
      <c r="E4312" s="23" t="inlineStr">
        <is>
          <t>Тени кафе "Домино"</t>
        </is>
      </c>
      <c r="F4312" s="23" t="inlineStr">
        <is>
          <t>        </t>
        </is>
      </c>
      <c r="G4312" s="23" t="n">
        <v>704</v>
      </c>
      <c r="H4312" s="23" t="n">
        <v>10</v>
      </c>
      <c r="I4312" s="23" t="n">
        <v>14</v>
      </c>
      <c r="J4312" s="23" t="inlineStr">
        <is>
          <t>978-5-227-05734-1</t>
        </is>
      </c>
      <c r="K4312" s="23" t="inlineStr">
        <is>
          <t>84x108 1/32</t>
        </is>
      </c>
      <c r="L4312" s="23" t="inlineStr">
        <is>
          <t>тв</t>
        </is>
      </c>
      <c r="M4312" s="23" t="n">
        <v>320</v>
      </c>
      <c r="N4312" s="23" t="n">
        <v>2015</v>
      </c>
      <c r="O4312" s="23" t="n">
        <v>264</v>
      </c>
      <c r="P4312" s="23" t="n"/>
      <c r="Q4312" s="23" t="n"/>
      <c r="R4312" s="25" t="n"/>
      <c r="S4312" s="26">
        <f>HYPERLINK("http://www.cnpol.ru/covers/16272.jpg","фото на сайте")</f>
        <v/>
      </c>
    </row>
    <row r="4313" ht="50.1" customHeight="1" s="3">
      <c r="A4313" s="23" t="n"/>
      <c r="B4313" s="24" t="inlineStr">
        <is>
          <t>18153</t>
        </is>
      </c>
      <c r="C4313" s="23" t="inlineStr">
        <is>
          <t>РАМКА НОВАЯ</t>
        </is>
      </c>
      <c r="D4313" s="23" t="inlineStr">
        <is>
          <t>Ромов А.С</t>
        </is>
      </c>
      <c r="E4313" s="23" t="inlineStr">
        <is>
          <t>Тень чужака</t>
        </is>
      </c>
      <c r="F4313" s="23" t="inlineStr">
        <is>
          <t>        </t>
        </is>
      </c>
      <c r="G4313" s="23" t="n">
        <v>653</v>
      </c>
      <c r="H4313" s="23" t="n">
        <v>10</v>
      </c>
      <c r="I4313" s="23" t="n">
        <v>16</v>
      </c>
      <c r="J4313" s="23" t="inlineStr">
        <is>
          <t>978-5-9524-5302-9</t>
        </is>
      </c>
      <c r="K4313" s="23" t="inlineStr">
        <is>
          <t>84x108 1/32</t>
        </is>
      </c>
      <c r="L4313" s="23" t="inlineStr">
        <is>
          <t>тв</t>
        </is>
      </c>
      <c r="M4313" s="23" t="n">
        <v>256</v>
      </c>
      <c r="N4313" s="23" t="n">
        <v>2018</v>
      </c>
      <c r="O4313" s="23" t="n">
        <v>236</v>
      </c>
      <c r="P4313" s="23" t="n"/>
      <c r="Q4313" s="23" t="n"/>
      <c r="R4313" s="25" t="n"/>
      <c r="S4313" s="26">
        <f>HYPERLINK("http://www.cnpol.ru/covers/18153.jpg","фото на сайте")</f>
        <v/>
      </c>
    </row>
    <row r="4314" ht="50.1" customHeight="1" s="3">
      <c r="A4314" s="23" t="n"/>
      <c r="B4314" s="24" t="inlineStr">
        <is>
          <t>18526</t>
        </is>
      </c>
      <c r="C4314" s="23" t="inlineStr">
        <is>
          <t>РАМКА НОВАЯ</t>
        </is>
      </c>
      <c r="D4314" s="23" t="inlineStr">
        <is>
          <t>Безуглов А.А.</t>
        </is>
      </c>
      <c r="E4314" s="23" t="inlineStr">
        <is>
          <t>Хищники</t>
        </is>
      </c>
      <c r="F4314" s="23" t="inlineStr">
        <is>
          <t>        </t>
        </is>
      </c>
      <c r="G4314" s="23" t="n">
        <v>653</v>
      </c>
      <c r="H4314" s="23" t="n">
        <v>10</v>
      </c>
      <c r="I4314" s="23" t="n">
        <v>12</v>
      </c>
      <c r="J4314" s="23" t="inlineStr">
        <is>
          <t>978-5-9524-5304-3</t>
        </is>
      </c>
      <c r="K4314" s="23" t="inlineStr">
        <is>
          <t>84x108 1/32</t>
        </is>
      </c>
      <c r="L4314" s="23" t="inlineStr">
        <is>
          <t>тв</t>
        </is>
      </c>
      <c r="M4314" s="23" t="n">
        <v>384</v>
      </c>
      <c r="N4314" s="23" t="n">
        <v>2019</v>
      </c>
      <c r="O4314" s="23" t="n">
        <v>356</v>
      </c>
      <c r="P4314" s="23" t="n"/>
      <c r="Q4314" s="23" t="n"/>
      <c r="R4314" s="25" t="n"/>
      <c r="S4314" s="26">
        <f>HYPERLINK("http://www.cnpol.ru/covers/18526.jpg","фото на сайте")</f>
        <v/>
      </c>
    </row>
    <row r="4315" ht="50.1" customHeight="1" s="3">
      <c r="A4315" s="23" t="n"/>
      <c r="B4315" s="24" t="inlineStr">
        <is>
          <t>17112</t>
        </is>
      </c>
      <c r="C4315" s="23" t="inlineStr">
        <is>
          <t>РАМКА НОВАЯ</t>
        </is>
      </c>
      <c r="D4315" s="23" t="inlineStr">
        <is>
          <t>Малик В.К.</t>
        </is>
      </c>
      <c r="E4315" s="23" t="inlineStr">
        <is>
          <t>Черный всадник</t>
        </is>
      </c>
      <c r="F4315" s="23" t="inlineStr">
        <is>
          <t>        </t>
        </is>
      </c>
      <c r="G4315" s="23" t="n">
        <v>672</v>
      </c>
      <c r="H4315" s="23" t="n">
        <v>10</v>
      </c>
      <c r="I4315" s="23" t="n">
        <v>12</v>
      </c>
      <c r="J4315" s="23" t="inlineStr">
        <is>
          <t>978-5-227-06600-8</t>
        </is>
      </c>
      <c r="K4315" s="23" t="inlineStr">
        <is>
          <t>84x108 1/32</t>
        </is>
      </c>
      <c r="L4315" s="23" t="inlineStr">
        <is>
          <t>тв</t>
        </is>
      </c>
      <c r="M4315" s="23" t="n">
        <v>384</v>
      </c>
      <c r="N4315" s="23" t="n">
        <v>2016</v>
      </c>
      <c r="O4315" s="23" t="n">
        <v>308</v>
      </c>
      <c r="P4315" s="23" t="n"/>
      <c r="Q4315" s="23" t="n"/>
      <c r="R4315" s="25" t="n"/>
      <c r="S4315" s="26">
        <f>HYPERLINK("http://www.cnpol.ru/covers/17112.jpg","фото на сайте")</f>
        <v/>
      </c>
    </row>
    <row r="4316" ht="50.1" customHeight="1" s="3">
      <c r="A4316" s="23" t="n"/>
      <c r="B4316" s="24" t="inlineStr">
        <is>
          <t>17292</t>
        </is>
      </c>
      <c r="C4316" s="23" t="inlineStr">
        <is>
          <t>РАМКА НОВАЯ</t>
        </is>
      </c>
      <c r="D4316" s="23" t="inlineStr">
        <is>
          <t>Малик В.К.</t>
        </is>
      </c>
      <c r="E4316" s="23" t="inlineStr">
        <is>
          <t>Шелковый шнурок</t>
        </is>
      </c>
      <c r="F4316" s="23" t="inlineStr">
        <is>
          <t>        </t>
        </is>
      </c>
      <c r="G4316" s="23" t="n">
        <v>704</v>
      </c>
      <c r="H4316" s="23" t="n">
        <v>10</v>
      </c>
      <c r="I4316" s="23" t="n">
        <v>14</v>
      </c>
      <c r="J4316" s="23" t="inlineStr">
        <is>
          <t>978-5-227-06607-7</t>
        </is>
      </c>
      <c r="K4316" s="23" t="inlineStr">
        <is>
          <t>84x108 1/32</t>
        </is>
      </c>
      <c r="L4316" s="23" t="inlineStr">
        <is>
          <t>тв</t>
        </is>
      </c>
      <c r="M4316" s="23" t="n">
        <v>384</v>
      </c>
      <c r="N4316" s="23" t="n">
        <v>2017</v>
      </c>
      <c r="O4316" s="23" t="n">
        <v>252</v>
      </c>
      <c r="P4316" s="23" t="n"/>
      <c r="Q4316" s="23" t="n"/>
      <c r="R4316" s="25" t="n"/>
      <c r="S4316" s="26">
        <f>HYPERLINK("http://www.cnpol.ru/covers/17292.jpg","фото на сайте")</f>
        <v/>
      </c>
    </row>
    <row r="4317" ht="50.1" customHeight="1" s="3">
      <c r="A4317" s="23" t="n"/>
      <c r="B4317" s="24" t="inlineStr">
        <is>
          <t>7207</t>
        </is>
      </c>
      <c r="C4317" s="23" t="inlineStr">
        <is>
          <t>РАСКРАСКИ</t>
        </is>
      </c>
      <c r="D4317" s="23" t="inlineStr">
        <is>
          <t>Абашев</t>
        </is>
      </c>
      <c r="E4317" s="23" t="inlineStr">
        <is>
          <t>Книжка раскраска В мире животных</t>
        </is>
      </c>
      <c r="F4317" s="23" t="inlineStr">
        <is>
          <t>        </t>
        </is>
      </c>
      <c r="G4317" s="23" t="n">
        <v>79</v>
      </c>
      <c r="H4317" s="23" t="n">
        <v>10</v>
      </c>
      <c r="I4317" s="23" t="n">
        <v>30</v>
      </c>
      <c r="J4317" s="23" t="inlineStr">
        <is>
          <t>5-9524-2239-X</t>
        </is>
      </c>
      <c r="K4317" s="23" t="inlineStr">
        <is>
          <t>60x84 1/8</t>
        </is>
      </c>
      <c r="L4317" s="23" t="inlineStr">
        <is>
          <t>мяг</t>
        </is>
      </c>
      <c r="M4317" s="23" t="n">
        <v>32</v>
      </c>
      <c r="N4317" s="23" t="n">
        <v>2007</v>
      </c>
      <c r="O4317" s="23" t="n">
        <v>96</v>
      </c>
      <c r="P4317" s="23" t="n"/>
      <c r="Q4317" s="23" t="n"/>
      <c r="R4317" s="25" t="inlineStr">
        <is>
          <t>Книжка-раскраска для детей.</t>
        </is>
      </c>
      <c r="S4317" s="26">
        <f>HYPERLINK("http://www.cnpol.ru/covers/7207.jpg","фото на сайте")</f>
        <v/>
      </c>
    </row>
    <row r="4318" ht="50.1" customHeight="1" s="3">
      <c r="A4318" s="23" t="n"/>
      <c r="B4318" s="24" t="inlineStr">
        <is>
          <t>7186</t>
        </is>
      </c>
      <c r="C4318" s="23" t="inlineStr">
        <is>
          <t>РАСКРАСКИ</t>
        </is>
      </c>
      <c r="D4318" s="23" t="inlineStr">
        <is>
          <t>Мудрова И.А.</t>
        </is>
      </c>
      <c r="E4318" s="23" t="inlineStr">
        <is>
          <t>Книжка раскраска учим Английский</t>
        </is>
      </c>
      <c r="F4318" s="23" t="inlineStr">
        <is>
          <t>        </t>
        </is>
      </c>
      <c r="G4318" s="23" t="n">
        <v>79</v>
      </c>
      <c r="H4318" s="23" t="n">
        <v>10</v>
      </c>
      <c r="I4318" s="23" t="n">
        <v>40</v>
      </c>
      <c r="J4318" s="23" t="inlineStr">
        <is>
          <t>5-9524-2219-5</t>
        </is>
      </c>
      <c r="K4318" s="23" t="inlineStr">
        <is>
          <t>60x84 1/8</t>
        </is>
      </c>
      <c r="L4318" s="23" t="inlineStr">
        <is>
          <t>мяг</t>
        </is>
      </c>
      <c r="M4318" s="23" t="n">
        <v>32</v>
      </c>
      <c r="N4318" s="23" t="n">
        <v>2007</v>
      </c>
      <c r="O4318" s="23" t="n">
        <v>92</v>
      </c>
      <c r="P4318" s="23" t="n"/>
      <c r="Q4318" s="23" t="n"/>
      <c r="R4318" s="25" t="inlineStr">
        <is>
          <t>Книжка раскраска для детей.</t>
        </is>
      </c>
      <c r="S4318" s="26">
        <f>HYPERLINK("http://www.cnpol.ru/covers/7186.jpg","фото на сайте")</f>
        <v/>
      </c>
    </row>
    <row r="4319" ht="50.1" customHeight="1" s="3">
      <c r="A4319" s="23" t="n"/>
      <c r="B4319" s="24" t="inlineStr">
        <is>
          <t>7184</t>
        </is>
      </c>
      <c r="C4319" s="23" t="inlineStr">
        <is>
          <t>РАСКРАСКИ</t>
        </is>
      </c>
      <c r="D4319" s="23" t="inlineStr">
        <is>
          <t>Группа</t>
        </is>
      </c>
      <c r="E4319" s="23" t="inlineStr">
        <is>
          <t>Книжка раскраска Учим буквы</t>
        </is>
      </c>
      <c r="F4319" s="23" t="inlineStr">
        <is>
          <t>        </t>
        </is>
      </c>
      <c r="G4319" s="23" t="n">
        <v>79</v>
      </c>
      <c r="H4319" s="23" t="n">
        <v>10</v>
      </c>
      <c r="I4319" s="23" t="n">
        <v>40</v>
      </c>
      <c r="J4319" s="23" t="inlineStr">
        <is>
          <t>5-9524-2178-4</t>
        </is>
      </c>
      <c r="K4319" s="23" t="inlineStr">
        <is>
          <t>60x84 1/8</t>
        </is>
      </c>
      <c r="L4319" s="23" t="inlineStr">
        <is>
          <t>мяг</t>
        </is>
      </c>
      <c r="M4319" s="23" t="n">
        <v>32</v>
      </c>
      <c r="N4319" s="23" t="n">
        <v>2007</v>
      </c>
      <c r="O4319" s="23" t="n">
        <v>92</v>
      </c>
      <c r="P4319" s="23" t="n"/>
      <c r="Q4319" s="23" t="n"/>
      <c r="R4319" s="25" t="inlineStr">
        <is>
          <t>Книжка раскраска для детей.</t>
        </is>
      </c>
      <c r="S4319" s="26">
        <f>HYPERLINK("http://www.cnpol.ru/covers/7184.jpg","фото на сайте")</f>
        <v/>
      </c>
    </row>
    <row r="4320" ht="50.1" customHeight="1" s="3">
      <c r="A4320" s="23" t="n"/>
      <c r="B4320" s="24" t="inlineStr">
        <is>
          <t>20229</t>
        </is>
      </c>
      <c r="C4320" s="23" t="inlineStr">
        <is>
          <t>РАСКРАСКИ ДЛЯ ВЗРОСЛЫХ</t>
        </is>
      </c>
      <c r="D4320" s="23" t="inlineStr">
        <is>
          <t>Тейлор Л.</t>
        </is>
      </c>
      <c r="E4320" s="23" t="inlineStr">
        <is>
          <t>Cats. Творческая раскраска замурчательных котиков</t>
        </is>
      </c>
      <c r="F4320" s="23" t="inlineStr">
        <is>
          <t>        </t>
        </is>
      </c>
      <c r="G4320" s="23" t="n">
        <v>275</v>
      </c>
      <c r="H4320" s="23" t="n">
        <v>10</v>
      </c>
      <c r="I4320" s="23" t="n">
        <v>30</v>
      </c>
      <c r="J4320" s="23" t="inlineStr">
        <is>
          <t>978-5-9524-5780-5</t>
        </is>
      </c>
      <c r="K4320" s="23" t="inlineStr">
        <is>
          <t>84x108 1/16</t>
        </is>
      </c>
      <c r="L4320" s="23" t="inlineStr">
        <is>
          <t>Интегр</t>
        </is>
      </c>
      <c r="M4320" s="23" t="n">
        <v>36</v>
      </c>
      <c r="N4320" s="23" t="n">
        <v>2022</v>
      </c>
      <c r="O4320" s="23" t="n">
        <v>140</v>
      </c>
      <c r="P4320" s="23" t="n"/>
      <c r="Q4320" s="23" t="n"/>
      <c r="R4320" s="25" t="inlineStr">
        <is>
          <t>Забавные энергичные проказники и элегантные гордецы, ленивые сони и задорные непоседы, пушистые симпатяги и красавцы­недотроги — замурчательные котики зарядят вас позитивом на весь день. Наша кототерапия расслабляет и снимает стресс: раскрасьте изображения любимых питомцев и почувствуйте, как вас наполняют бодрость и веселье.</t>
        </is>
      </c>
      <c r="S4320" s="26">
        <f>HYPERLINK("http://www.cnpol.ru/covers/20229.jpg","фото на сайте")</f>
        <v/>
      </c>
    </row>
    <row r="4321" ht="50.1" customHeight="1" s="3">
      <c r="A4321" s="23" t="n"/>
      <c r="B4321" s="24" t="inlineStr">
        <is>
          <t>19942</t>
        </is>
      </c>
      <c r="C4321" s="23" t="inlineStr">
        <is>
          <t>РАСКРАСКИ ДЛЯ ВЗРОСЛЫХ</t>
        </is>
      </c>
      <c r="D4321" s="23" t="inlineStr">
        <is>
          <t>Тейлор Л.</t>
        </is>
      </c>
      <c r="E4321" s="23" t="inlineStr">
        <is>
          <t>Cats-2. Творческая раскраска замурчательных котиков</t>
        </is>
      </c>
      <c r="F4321" s="23" t="inlineStr">
        <is>
          <t>        </t>
        </is>
      </c>
      <c r="G4321" s="23" t="n">
        <v>275</v>
      </c>
      <c r="H4321" s="23" t="n">
        <v>10</v>
      </c>
      <c r="I4321" s="23" t="n">
        <v>30</v>
      </c>
      <c r="J4321" s="23" t="inlineStr">
        <is>
          <t>978-5-9524-5603-7</t>
        </is>
      </c>
      <c r="K4321" s="23" t="inlineStr">
        <is>
          <t>84x108 1/16</t>
        </is>
      </c>
      <c r="L4321" s="23" t="inlineStr">
        <is>
          <t>Интегр</t>
        </is>
      </c>
      <c r="M4321" s="23" t="n">
        <v>36</v>
      </c>
      <c r="N4321" s="23" t="n">
        <v>2021</v>
      </c>
      <c r="O4321" s="23" t="n">
        <v>140</v>
      </c>
      <c r="P4321" s="23" t="n"/>
      <c r="Q4321" s="23" t="n"/>
      <c r="R4321" s="25" t="inlineStr">
        <is>
          <t>Забавные энергичные проказники и элегантные гордецы, ленивые сони и задорные непоседы, пушистые симпатяги и красавцы­недотроги — замурчательные котики зарядят вас позитивом на весь день. Наша кототерапия расслабляет и снимает стресс: раскрасьте изображения любимых питомцев и почувствуйте, как вас наполняют бодрость и веселье.</t>
        </is>
      </c>
      <c r="S4321" s="26">
        <f>HYPERLINK("http://www.cnpol.ru/covers/19942.jpg","фото на сайте")</f>
        <v/>
      </c>
    </row>
    <row r="4322" ht="50.1" customHeight="1" s="3">
      <c r="A4322" s="23" t="n"/>
      <c r="B4322" s="24" t="inlineStr">
        <is>
          <t>19775</t>
        </is>
      </c>
      <c r="C4322" s="23" t="inlineStr">
        <is>
          <t>РАСКРАСКИ ДЛЯ ВЗРОСЛЫХ</t>
        </is>
      </c>
      <c r="D4322" s="23" t="inlineStr">
        <is>
          <t>Тейлор Л.</t>
        </is>
      </c>
      <c r="E4322" s="23" t="inlineStr">
        <is>
          <t>Cats­3. Творческая раскраска замурчательных котиков</t>
        </is>
      </c>
      <c r="F4322" s="23" t="inlineStr">
        <is>
          <t>        </t>
        </is>
      </c>
      <c r="G4322" s="23" t="n">
        <v>275</v>
      </c>
      <c r="H4322" s="23" t="n">
        <v>10</v>
      </c>
      <c r="I4322" s="23" t="n">
        <v>30</v>
      </c>
      <c r="J4322" s="23" t="inlineStr">
        <is>
          <t>978-5-9524-5560-3</t>
        </is>
      </c>
      <c r="K4322" s="23" t="inlineStr">
        <is>
          <t>84x108 1/16</t>
        </is>
      </c>
      <c r="L4322" s="23" t="inlineStr">
        <is>
          <t>Интегр</t>
        </is>
      </c>
      <c r="M4322" s="23" t="n">
        <v>36</v>
      </c>
      <c r="N4322" s="23" t="n">
        <v>2021</v>
      </c>
      <c r="O4322" s="23" t="n">
        <v>138</v>
      </c>
      <c r="P4322" s="23" t="n"/>
      <c r="Q4322" s="23" t="n"/>
      <c r="R4322" s="25" t="inlineStr">
        <is>
          <t>Забавные энергичные проказники и элегантные гордецы, ленивые сони и задорные непоседы, пушистые симпатяги и красавцы­недотроги — замурчательные котики зарядят вас позитивом на весь день. Наша кототерапия расслабляет и снимает стресс: раскрасьте изображения любимых питомцев и почувствуйте, как вас наполняют бодрость и веселье.</t>
        </is>
      </c>
      <c r="S4322" s="26">
        <f>HYPERLINK("http://www.cnpol.ru/covers/19775.jpg","фото на сайте")</f>
        <v/>
      </c>
    </row>
    <row r="4323" ht="50.1" customHeight="1" s="3">
      <c r="A4323" s="23" t="n"/>
      <c r="B4323" s="24" t="inlineStr">
        <is>
          <t>20116</t>
        </is>
      </c>
      <c r="C4323" s="23" t="inlineStr">
        <is>
          <t>РАСКРАСКИ ДЛЯ ВЗРОСЛЫХ</t>
        </is>
      </c>
      <c r="D4323" s="23" t="inlineStr">
        <is>
          <t>Тейлор Л.</t>
        </is>
      </c>
      <c r="E4323" s="23" t="inlineStr">
        <is>
          <t>Cats­4. Творческая раскраска замурчательных котиков</t>
        </is>
      </c>
      <c r="F4323" s="23" t="inlineStr">
        <is>
          <t>        </t>
        </is>
      </c>
      <c r="G4323" s="23" t="n">
        <v>275</v>
      </c>
      <c r="H4323" s="23" t="n">
        <v>10</v>
      </c>
      <c r="I4323" s="23" t="n">
        <v>30</v>
      </c>
      <c r="J4323" s="23" t="inlineStr">
        <is>
          <t>978-5-9524-5735-5</t>
        </is>
      </c>
      <c r="K4323" s="23" t="inlineStr">
        <is>
          <t>84x108 1/16</t>
        </is>
      </c>
      <c r="L4323" s="23" t="inlineStr">
        <is>
          <t>Интегр</t>
        </is>
      </c>
      <c r="M4323" s="23" t="n">
        <v>36</v>
      </c>
      <c r="N4323" s="23" t="n">
        <v>2022</v>
      </c>
      <c r="O4323" s="23" t="n">
        <v>140</v>
      </c>
      <c r="P4323" s="23" t="n"/>
      <c r="Q4323" s="23" t="n"/>
      <c r="R4323" s="25" t="inlineStr">
        <is>
          <t>Забавные энергичные проказники и элегантные гордецы, ленивые сони и задорные непоседы, пушистые симпатяги и красавцы­недотроги — замурчательные котики зарядят вас позитивом на весь день. Наша кототерапия расслабляет и снимает стресс: раскрасьте изображения любимых питомцев и почувствуйте, как вас наполняют бодрость и веселье.</t>
        </is>
      </c>
      <c r="S4323" s="26">
        <f>HYPERLINK("http://www.cnpol.ru/covers/20116.jpg","фото на сайте")</f>
        <v/>
      </c>
    </row>
    <row r="4324" ht="50.1" customHeight="1" s="3">
      <c r="A4324" s="23" t="n"/>
      <c r="B4324" s="24" t="inlineStr">
        <is>
          <t>19208</t>
        </is>
      </c>
      <c r="C4324" s="23" t="inlineStr">
        <is>
          <t>РАСКРАСКИ ДЛЯ ВЗРОСЛЫХ</t>
        </is>
      </c>
      <c r="D4324" s="23" t="inlineStr">
        <is>
          <t>Тейлор Л.</t>
        </is>
      </c>
      <c r="E4324" s="23" t="inlineStr">
        <is>
          <t>Cats­5. Творческая раскраска замурчательных котиков</t>
        </is>
      </c>
      <c r="F4324" s="23" t="inlineStr">
        <is>
          <t>        </t>
        </is>
      </c>
      <c r="G4324" s="23" t="n">
        <v>275</v>
      </c>
      <c r="H4324" s="23" t="n">
        <v>10</v>
      </c>
      <c r="I4324" s="23" t="n">
        <v>30</v>
      </c>
      <c r="J4324" s="23" t="inlineStr">
        <is>
          <t>978-5-9524-5443-9</t>
        </is>
      </c>
      <c r="K4324" s="23" t="inlineStr">
        <is>
          <t>84x108 1/16</t>
        </is>
      </c>
      <c r="L4324" s="23" t="inlineStr">
        <is>
          <t>Интегр</t>
        </is>
      </c>
      <c r="M4324" s="23" t="n">
        <v>36</v>
      </c>
      <c r="N4324" s="23" t="n">
        <v>2020</v>
      </c>
      <c r="O4324" s="23" t="n">
        <v>140</v>
      </c>
      <c r="P4324" s="23" t="n"/>
      <c r="Q4324" s="23" t="n"/>
      <c r="R4324" s="25" t="inlineStr">
        <is>
          <t>Забавные энергичные проказники и элегантные гордецы, ленивые сони и задорные непоседы, пушистые симпатяги и красавцы­недотроги — замурчательные котики зарядят вас позитивом на весь день. Наша кототерапия расслабляет и снимает стресс: раскрасьте изображения любимых питомцев и почувствуйте, как вас наполняют бодрость и веселье.</t>
        </is>
      </c>
      <c r="S4324" s="26">
        <f>HYPERLINK("http://www.cnpol.ru/covers/19208.jpg","фото на сайте")</f>
        <v/>
      </c>
    </row>
    <row r="4325" ht="50.1" customHeight="1" s="3">
      <c r="A4325" s="23" t="n"/>
      <c r="B4325" s="24" t="inlineStr">
        <is>
          <t>19922</t>
        </is>
      </c>
      <c r="C4325" s="23" t="inlineStr">
        <is>
          <t>РАСКРАСКИ ДЛЯ ВЗРОСЛЫХ</t>
        </is>
      </c>
      <c r="D4325" s="23" t="inlineStr">
        <is>
          <t>Тейлор Л.</t>
        </is>
      </c>
      <c r="E4325" s="23" t="inlineStr">
        <is>
          <t>Cats­6. Творческая раскраска замурчательных котиков</t>
        </is>
      </c>
      <c r="F4325" s="23" t="inlineStr">
        <is>
          <t>        </t>
        </is>
      </c>
      <c r="G4325" s="23" t="n">
        <v>275</v>
      </c>
      <c r="H4325" s="23" t="n">
        <v>10</v>
      </c>
      <c r="I4325" s="23" t="n">
        <v>40</v>
      </c>
      <c r="J4325" s="23" t="inlineStr">
        <is>
          <t>978-5-9524-5589-4</t>
        </is>
      </c>
      <c r="K4325" s="23" t="inlineStr">
        <is>
          <t>84x108 1/16</t>
        </is>
      </c>
      <c r="L4325" s="23" t="inlineStr">
        <is>
          <t>Интегр</t>
        </is>
      </c>
      <c r="M4325" s="23" t="n">
        <v>36</v>
      </c>
      <c r="N4325" s="23" t="n">
        <v>2021</v>
      </c>
      <c r="O4325" s="23" t="n">
        <v>138</v>
      </c>
      <c r="P4325" s="23" t="n"/>
      <c r="Q4325" s="23" t="n"/>
      <c r="R4325" s="25" t="inlineStr">
        <is>
          <t>Забавные энергичные проказники и элегантные гордецы, ленивые сони и задорные непоседы, пушистые симпатяги и красавцы­недотроги — замурчательные котики зарядят вас позитивом на весь день. Наша кототерапия расслабляет и снимает стресс: раскрасьте изображения любимых питомцев и почувствуйте, как вас наполняют бодрость и веселье.</t>
        </is>
      </c>
      <c r="S4325" s="26">
        <f>HYPERLINK("http://www.cnpol.ru/covers/19922.jpg","фото на сайте")</f>
        <v/>
      </c>
    </row>
    <row r="4326" ht="50.1" customHeight="1" s="3">
      <c r="A4326" s="23" t="n"/>
      <c r="B4326" s="24" t="inlineStr">
        <is>
          <t>20265</t>
        </is>
      </c>
      <c r="C4326" s="23" t="inlineStr">
        <is>
          <t>РАСКРАСКИ ДЛЯ ВЗРОСЛЫХ</t>
        </is>
      </c>
      <c r="D4326" s="23" t="inlineStr">
        <is>
          <t>Тейлор Л.</t>
        </is>
      </c>
      <c r="E4326" s="23" t="inlineStr">
        <is>
          <t>Cats­7. Очаровательные котята. Творческая раскраска</t>
        </is>
      </c>
      <c r="F4326" s="23" t="inlineStr">
        <is>
          <t>        </t>
        </is>
      </c>
      <c r="G4326" s="23" t="n">
        <v>273</v>
      </c>
      <c r="H4326" s="23" t="n">
        <v>10</v>
      </c>
      <c r="I4326" s="23" t="n">
        <v>30</v>
      </c>
      <c r="J4326" s="23" t="inlineStr">
        <is>
          <t>978-5-9524-5835-2</t>
        </is>
      </c>
      <c r="K4326" s="23" t="inlineStr">
        <is>
          <t>84x108 1/16</t>
        </is>
      </c>
      <c r="L4326" s="23" t="inlineStr">
        <is>
          <t>Интегр</t>
        </is>
      </c>
      <c r="M4326" s="23" t="n">
        <v>36</v>
      </c>
      <c r="N4326" s="23" t="n">
        <v>2022</v>
      </c>
      <c r="O4326" s="23" t="n">
        <v>138</v>
      </c>
      <c r="P4326" s="23" t="n"/>
      <c r="Q4326" s="23" t="n"/>
      <c r="R4326" s="25" t="inlineStr">
        <is>
          <t>Домашние кошки наполняют нашу жизнь радостью и уютом, но котята — прелестные, игривые, грациозные — дарят  еще и непередаваемый восторг. Пушистые маленькие симпатяги зарядят вас позитивом на весь день. Раскрашивайте изображения забавных задорных непосед, и вы почувствуете, как вас наполняют бодрость и веселье.</t>
        </is>
      </c>
      <c r="S4326" s="26">
        <f>HYPERLINK("http://www.cnpol.ru/covers/20265.jpg","фото на сайте")</f>
        <v/>
      </c>
    </row>
    <row r="4327" ht="50.1" customHeight="1" s="3">
      <c r="A4327" s="23" t="n"/>
      <c r="B4327" s="24" t="inlineStr">
        <is>
          <t>20062</t>
        </is>
      </c>
      <c r="C4327" s="23" t="inlineStr">
        <is>
          <t>РАСКРАСКИ ДЛЯ ВЗРОСЛЫХ</t>
        </is>
      </c>
      <c r="D4327" s="23" t="inlineStr">
        <is>
          <t>Тейлор Л.</t>
        </is>
      </c>
      <c r="E4327" s="23" t="inlineStr">
        <is>
          <t>Dino. Творческая раскраска удивительных динозавров</t>
        </is>
      </c>
      <c r="F4327" s="23" t="inlineStr">
        <is>
          <t>        </t>
        </is>
      </c>
      <c r="G4327" s="23" t="n">
        <v>275</v>
      </c>
      <c r="H4327" s="23" t="n">
        <v>10</v>
      </c>
      <c r="I4327" s="23" t="n">
        <v>30</v>
      </c>
      <c r="J4327" s="23" t="inlineStr">
        <is>
          <t>978-5-9524-5685-3</t>
        </is>
      </c>
      <c r="K4327" s="23" t="inlineStr">
        <is>
          <t>84x108 1/16</t>
        </is>
      </c>
      <c r="L4327" s="23" t="inlineStr">
        <is>
          <t>Интегр</t>
        </is>
      </c>
      <c r="M4327" s="23" t="n">
        <v>36</v>
      </c>
      <c r="N4327" s="23" t="n">
        <v>2022</v>
      </c>
      <c r="O4327" s="23" t="n">
        <v>140</v>
      </c>
      <c r="P4327" s="23" t="n"/>
      <c r="Q4327" s="23" t="n"/>
      <c r="R4327" s="25" t="inlineStr">
        <is>
          <t>Удивительный мир древних предков многих современных животных — ужасных и опасных динозавров — поражает и завораживает фантастическими образами. Огромные хищники тираннозавры, травоядные гиганты диплодоки, летающие птеродактили с размахом крыльев до десяти метров позволяют отвлечься от реальности и снять стресс. Раскрасьте изображения обитателей древнего мира природы, и вы почувствуете, как вас наполняют спокойствие и умиротворение.</t>
        </is>
      </c>
      <c r="S4327" s="26">
        <f>HYPERLINK("http://www.cnpol.ru/covers/20062.jpg","фото на сайте")</f>
        <v/>
      </c>
    </row>
    <row r="4328" ht="50.1" customHeight="1" s="3">
      <c r="A4328" s="23" t="n"/>
      <c r="B4328" s="24" t="inlineStr">
        <is>
          <t>19943</t>
        </is>
      </c>
      <c r="C4328" s="23" t="inlineStr">
        <is>
          <t>РАСКРАСКИ ДЛЯ ВЗРОСЛЫХ</t>
        </is>
      </c>
      <c r="D4328" s="23" t="inlineStr">
        <is>
          <t>Тейлор Л.</t>
        </is>
      </c>
      <c r="E4328" s="23" t="inlineStr">
        <is>
          <t>Dogs. Творческая раскраска симпатичных собачек</t>
        </is>
      </c>
      <c r="F4328" s="23" t="inlineStr">
        <is>
          <t>        </t>
        </is>
      </c>
      <c r="G4328" s="23" t="n">
        <v>275</v>
      </c>
      <c r="H4328" s="23" t="n">
        <v>10</v>
      </c>
      <c r="I4328" s="23" t="n">
        <v>30</v>
      </c>
      <c r="J4328" s="23" t="inlineStr">
        <is>
          <t>978-5-9524-5619-8</t>
        </is>
      </c>
      <c r="K4328" s="23" t="inlineStr">
        <is>
          <t>84x108 1/16</t>
        </is>
      </c>
      <c r="L4328" s="23" t="inlineStr">
        <is>
          <t>Интегр</t>
        </is>
      </c>
      <c r="M4328" s="23" t="n">
        <v>36</v>
      </c>
      <c r="N4328" s="23" t="n">
        <v>2021</v>
      </c>
      <c r="O4328" s="23" t="n">
        <v>140</v>
      </c>
      <c r="P4328" s="23" t="n"/>
      <c r="Q4328" s="23" t="n"/>
      <c r="R4328" s="25" t="inlineStr">
        <is>
          <t>Мускулистые великаны и пушистые грациозные красавицы, ленивые толстяки и игривые карманные малютки, взрослые собаки и маленькие ­забавные щенки — наши верные друзья и самые популярные животные­компаньоны — никого не оставят равнодушным, зарядят позитивом на весь день и избавят от стресса. Раскрасьте изображения любимых питомцев и почувствуйте, как вас наполняют бодрость и веселье.</t>
        </is>
      </c>
      <c r="S4328" s="26">
        <f>HYPERLINK("http://www.cnpol.ru/covers/19943.jpg","фото на сайте")</f>
        <v/>
      </c>
    </row>
    <row r="4329" ht="50.1" customHeight="1" s="3">
      <c r="A4329" s="23" t="n"/>
      <c r="B4329" s="24" t="inlineStr">
        <is>
          <t>20352</t>
        </is>
      </c>
      <c r="C4329" s="23" t="inlineStr">
        <is>
          <t>РАСКРАСКИ ДЛЯ ВЗРОСЛЫХ</t>
        </is>
      </c>
      <c r="D4329" s="23" t="inlineStr">
        <is>
          <t>Тейлор Л.</t>
        </is>
      </c>
      <c r="E4329" s="23" t="inlineStr">
        <is>
          <t>Flowers. Творческая раскраска великолепных цветов</t>
        </is>
      </c>
      <c r="F4329" s="23" t="inlineStr">
        <is>
          <t>        </t>
        </is>
      </c>
      <c r="G4329" s="23" t="n">
        <v>275</v>
      </c>
      <c r="H4329" s="23" t="n">
        <v>10</v>
      </c>
      <c r="I4329" s="23" t="n">
        <v>30</v>
      </c>
      <c r="J4329" s="23" t="inlineStr">
        <is>
          <t>978-5-9524-5853-6</t>
        </is>
      </c>
      <c r="K4329" s="23" t="inlineStr">
        <is>
          <t>84x108 1/16</t>
        </is>
      </c>
      <c r="L4329" s="23" t="inlineStr">
        <is>
          <t>Интегр</t>
        </is>
      </c>
      <c r="M4329" s="23" t="n">
        <v>36</v>
      </c>
      <c r="N4329" s="23" t="n">
        <v>2022</v>
      </c>
      <c r="O4329" s="23" t="n">
        <v>138</v>
      </c>
      <c r="P4329" s="23" t="n"/>
      <c r="Q4329" s="23" t="n"/>
      <c r="R4329" s="25" t="inlineStr">
        <is>
          <t>Яркий восхитительный мир цветов поражает богатством форм и буйством красок. Творите волшебство, и под вашей рукой обретут благородные бордовые тона пышные розы, засветятся нежной голубизной незабудки, вспыхнут пронзительными розовыми оттенками цикламены. Раскрасьте дивные бутоны, феерические лепестки и ажурные листья — и почувствуете, как в вас просыпаются воспоминания о самых прекрасных моментах жизни, ­наполняют душу покой и умиротворение.</t>
        </is>
      </c>
      <c r="S4329" s="26">
        <f>HYPERLINK("http://www.cnpol.ru/covers/20352.jpg","фото на сайте")</f>
        <v/>
      </c>
    </row>
    <row r="4330" ht="50.1" customHeight="1" s="3">
      <c r="A4330" s="23" t="n"/>
      <c r="B4330" s="24" t="inlineStr">
        <is>
          <t>20175</t>
        </is>
      </c>
      <c r="C4330" s="23" t="inlineStr">
        <is>
          <t>РАСКРАСКИ ДЛЯ ВЗРОСЛЫХ</t>
        </is>
      </c>
      <c r="D4330" s="23" t="inlineStr">
        <is>
          <t>Тейлор Л.</t>
        </is>
      </c>
      <c r="E4330" s="23" t="inlineStr">
        <is>
          <t>Flowers­2. Творческая раскраска великолепных цветов</t>
        </is>
      </c>
      <c r="F4330" s="23" t="inlineStr">
        <is>
          <t>        </t>
        </is>
      </c>
      <c r="G4330" s="23" t="n">
        <v>275</v>
      </c>
      <c r="H4330" s="23" t="n">
        <v>10</v>
      </c>
      <c r="I4330" s="23" t="n">
        <v>30</v>
      </c>
      <c r="J4330" s="23" t="inlineStr">
        <is>
          <t>978-5-9524-5770-6</t>
        </is>
      </c>
      <c r="K4330" s="23" t="inlineStr">
        <is>
          <t>84x108 1/16</t>
        </is>
      </c>
      <c r="L4330" s="23" t="inlineStr">
        <is>
          <t>Интегр</t>
        </is>
      </c>
      <c r="M4330" s="23" t="n">
        <v>36</v>
      </c>
      <c r="N4330" s="23" t="n">
        <v>2022</v>
      </c>
      <c r="O4330" s="23" t="n">
        <v>140</v>
      </c>
      <c r="P4330" s="23" t="n"/>
      <c r="Q4330" s="23" t="n"/>
      <c r="R4330" s="25" t="n"/>
      <c r="S4330" s="26">
        <f>HYPERLINK("http://www.cnpol.ru/covers/20175.jpg","фото на сайте")</f>
        <v/>
      </c>
    </row>
    <row r="4331" ht="50.1" customHeight="1" s="3">
      <c r="A4331" s="23" t="n"/>
      <c r="B4331" s="24" t="inlineStr">
        <is>
          <t>20174</t>
        </is>
      </c>
      <c r="C4331" s="23" t="inlineStr">
        <is>
          <t>РАСКРАСКИ ДЛЯ ВЗРОСЛЫХ</t>
        </is>
      </c>
      <c r="D4331" s="23" t="inlineStr">
        <is>
          <t>Тейлор Л.</t>
        </is>
      </c>
      <c r="E4331" s="23" t="inlineStr">
        <is>
          <t>Princesses. Творческая раскраска очаровательных принцесс</t>
        </is>
      </c>
      <c r="F4331" s="23" t="inlineStr">
        <is>
          <t>        </t>
        </is>
      </c>
      <c r="G4331" s="23" t="n">
        <v>275</v>
      </c>
      <c r="H4331" s="23" t="n">
        <v>10</v>
      </c>
      <c r="I4331" s="23" t="n">
        <v>30</v>
      </c>
      <c r="J4331" s="23" t="inlineStr">
        <is>
          <t>978-5-9524-5769-0</t>
        </is>
      </c>
      <c r="K4331" s="23" t="inlineStr">
        <is>
          <t>84x108 1/16</t>
        </is>
      </c>
      <c r="L4331" s="23" t="inlineStr">
        <is>
          <t>Интегр</t>
        </is>
      </c>
      <c r="M4331" s="23" t="n">
        <v>36</v>
      </c>
      <c r="N4331" s="23" t="n">
        <v>2022</v>
      </c>
      <c r="O4331" s="23" t="n">
        <v>140</v>
      </c>
      <c r="P4331" s="23" t="n"/>
      <c r="Q4331" s="23" t="n"/>
      <c r="R4331" s="25" t="n"/>
      <c r="S4331" s="26">
        <f>HYPERLINK("http://www.cnpol.ru/covers/20174.jpg","фото на сайте")</f>
        <v/>
      </c>
    </row>
    <row r="4332" ht="50.1" customHeight="1" s="3">
      <c r="A4332" s="23" t="n"/>
      <c r="B4332" s="24" t="inlineStr">
        <is>
          <t>19376</t>
        </is>
      </c>
      <c r="C4332" s="23" t="inlineStr">
        <is>
          <t>РАСКРАСКИ ДЛЯ ВЗРОСЛЫХ</t>
        </is>
      </c>
      <c r="D4332" s="23" t="inlineStr">
        <is>
          <t>Тейлор Л.</t>
        </is>
      </c>
      <c r="E4332" s="23" t="inlineStr">
        <is>
          <t>Robots. Творческая раскраска</t>
        </is>
      </c>
      <c r="F4332" s="23" t="inlineStr">
        <is>
          <t>        </t>
        </is>
      </c>
      <c r="G4332" s="23" t="n">
        <v>275</v>
      </c>
      <c r="H4332" s="23" t="n">
        <v>10</v>
      </c>
      <c r="I4332" s="23" t="n">
        <v>30</v>
      </c>
      <c r="J4332" s="23" t="inlineStr">
        <is>
          <t>978-5-9524-5467-5</t>
        </is>
      </c>
      <c r="K4332" s="23" t="inlineStr">
        <is>
          <t>84x108 1/16</t>
        </is>
      </c>
      <c r="L4332" s="23" t="inlineStr">
        <is>
          <t>Интегр</t>
        </is>
      </c>
      <c r="M4332" s="23" t="n">
        <v>36</v>
      </c>
      <c r="N4332" s="23" t="n">
        <v>2020</v>
      </c>
      <c r="O4332" s="23" t="n">
        <v>140</v>
      </c>
      <c r="P4332" s="23" t="n"/>
      <c r="Q4332" s="23" t="n"/>
      <c r="R4332" s="25" t="inlineStr">
        <is>
          <t>Приглашаем вас в мир удивительных изобретений человека — роботов. Наши механические собратья невольно привлекают внимание, поражают своими способностями и, кажется, живут собственной, не зависящей от нас, жизнью. Раскрашивать эти создания интересно вдвойне. Немедленно включается фантазия и подсказывает самые невероятные сочетания цветов и оттенков. Одновременно можно подробно знакомиться с устройством роботов и отдельных их деталей. Полезное и увлекательное занятие для пытливого ума.</t>
        </is>
      </c>
      <c r="S4332" s="26">
        <f>HYPERLINK("http://www.cnpol.ru/covers/19376.jpg","фото на сайте")</f>
        <v/>
      </c>
    </row>
    <row r="4333" ht="50.1" customHeight="1" s="3">
      <c r="A4333" s="23" t="n"/>
      <c r="B4333" s="24" t="inlineStr">
        <is>
          <t>19429</t>
        </is>
      </c>
      <c r="C4333" s="23" t="inlineStr">
        <is>
          <t>РАСКРАСКИ ДЛЯ ВЗРОСЛЫХ</t>
        </is>
      </c>
      <c r="D4333" s="23" t="inlineStr">
        <is>
          <t>Тейлор Л.</t>
        </is>
      </c>
      <c r="E4333" s="23" t="inlineStr">
        <is>
          <t>Алиса и ее волшебный мир. Творческая раскраска</t>
        </is>
      </c>
      <c r="F4333" s="23" t="inlineStr">
        <is>
          <t>        </t>
        </is>
      </c>
      <c r="G4333" s="23" t="n">
        <v>275</v>
      </c>
      <c r="H4333" s="23" t="n">
        <v>10</v>
      </c>
      <c r="I4333" s="23" t="n">
        <v>30</v>
      </c>
      <c r="J4333" s="23" t="inlineStr">
        <is>
          <t>978-5-9524-5477-4</t>
        </is>
      </c>
      <c r="K4333" s="23" t="inlineStr">
        <is>
          <t>84x108 1/16</t>
        </is>
      </c>
      <c r="L4333" s="23" t="inlineStr">
        <is>
          <t>Интегр</t>
        </is>
      </c>
      <c r="M4333" s="23" t="n">
        <v>36</v>
      </c>
      <c r="N4333" s="23" t="n">
        <v>2020</v>
      </c>
      <c r="O4333" s="23" t="n">
        <v>140</v>
      </c>
      <c r="P4333" s="23" t="n"/>
      <c r="Q4333" s="23" t="n"/>
      <c r="R4333" s="25" t="inlineStr">
        <is>
          <t>Фантастический мир, где оказалась Алиса, героиня известной сказочной истории английского писателя Льюиса Кэрролла, дарит великолепную возможность для творчества. Смело фантазируйте, раскрашивая предлагаемые иллюстрации, решайтесь на самые дерзкие сочетания цветов и оттенков, достигайте невероятных эффектов. Творите, и, сами того не ожидая, вы оторветесь от повседневности и попадете в ту волшебную атмосферу, в которую погрузилась фантазерка Алиса.</t>
        </is>
      </c>
      <c r="S4333" s="26">
        <f>HYPERLINK("http://www.cnpol.ru/covers/19429.jpg","фото на сайте")</f>
        <v/>
      </c>
    </row>
    <row r="4334" ht="50.1" customHeight="1" s="3">
      <c r="A4334" s="23" t="n"/>
      <c r="B4334" s="24" t="inlineStr">
        <is>
          <t>20011</t>
        </is>
      </c>
      <c r="C4334" s="23" t="inlineStr">
        <is>
          <t>РАСКРАСКИ ДЛЯ ВЗРОСЛЫХ</t>
        </is>
      </c>
      <c r="D4334" s="23" t="inlineStr">
        <is>
          <t>Тейлор Л.</t>
        </is>
      </c>
      <c r="E4334" s="23" t="inlineStr">
        <is>
          <t>Волшебные феи. Творческая раскраска</t>
        </is>
      </c>
      <c r="F4334" s="23" t="inlineStr">
        <is>
          <t>        </t>
        </is>
      </c>
      <c r="G4334" s="23" t="n">
        <v>275</v>
      </c>
      <c r="H4334" s="23" t="n">
        <v>10</v>
      </c>
      <c r="I4334" s="23" t="n">
        <v>40</v>
      </c>
      <c r="J4334" s="23" t="inlineStr">
        <is>
          <t>978-5-9524-5674-7</t>
        </is>
      </c>
      <c r="K4334" s="23" t="inlineStr">
        <is>
          <t>84x108 1/16</t>
        </is>
      </c>
      <c r="L4334" s="23" t="inlineStr">
        <is>
          <t>Интегр</t>
        </is>
      </c>
      <c r="M4334" s="23" t="n">
        <v>36</v>
      </c>
      <c r="N4334" s="23" t="n">
        <v>2022</v>
      </c>
      <c r="O4334" s="23" t="n">
        <v>138</v>
      </c>
      <c r="P4334" s="23" t="n"/>
      <c r="Q4334" s="23" t="n"/>
      <c r="R4334" s="25" t="inlineStr">
        <is>
          <t>Восхитительный сказочный мир, который часто именуют Фейри, где живут сверхъестественные существа — волшебные феи, поражает богатством форм и многообразием красок. Дайте полную волю фантазии, и под вашей рукой экзотические наряды утонченных романтических легкокрылых красавиц обретут роскошь глубоких тонов, засветятся прозрачной голубизной или вспыхнут пронзительными алыми оттенками. Не жалейте блесток, используйте феерические  цветовые композиции, и незаметно для себя вы забудете о повседневности и окажетесь в дивной стране грез и волшебства.</t>
        </is>
      </c>
      <c r="S4334" s="26">
        <f>HYPERLINK("http://www.cnpol.ru/covers/20011.jpg","фото на сайте")</f>
        <v/>
      </c>
    </row>
    <row r="4335" ht="50.1" customHeight="1" s="3">
      <c r="A4335" s="23" t="n"/>
      <c r="B4335" s="24" t="inlineStr">
        <is>
          <t>20266</t>
        </is>
      </c>
      <c r="C4335" s="23" t="inlineStr">
        <is>
          <t>РАСКРАСКИ ДЛЯ ВЗРОСЛЫХ</t>
        </is>
      </c>
      <c r="D4335" s="23" t="inlineStr">
        <is>
          <t>Тейлор Л.</t>
        </is>
      </c>
      <c r="E4335" s="23" t="inlineStr">
        <is>
          <t>Герои любимых сказок. Творческая раскраска</t>
        </is>
      </c>
      <c r="F4335" s="23" t="inlineStr">
        <is>
          <t>        </t>
        </is>
      </c>
      <c r="G4335" s="23" t="n">
        <v>273</v>
      </c>
      <c r="H4335" s="23" t="n">
        <v>10</v>
      </c>
      <c r="I4335" s="23" t="n">
        <v>30</v>
      </c>
      <c r="J4335" s="23" t="inlineStr">
        <is>
          <t>978-5-9524-5836-9</t>
        </is>
      </c>
      <c r="K4335" s="23" t="inlineStr">
        <is>
          <t>84x108 1/16</t>
        </is>
      </c>
      <c r="L4335" s="23" t="inlineStr">
        <is>
          <t>Интегр</t>
        </is>
      </c>
      <c r="M4335" s="23" t="n">
        <v>36</v>
      </c>
      <c r="N4335" s="23" t="n">
        <v>2022</v>
      </c>
      <c r="O4335" s="23" t="n">
        <v>138</v>
      </c>
      <c r="P4335" s="23" t="n"/>
      <c r="Q4335" s="23" t="n"/>
      <c r="R4335" s="25" t="inlineStr">
        <is>
          <t>Мир сказочных образов и велик и многогранен. Творческая раскраска подарит встречи с персонажами популярных народных сказок и классических волшебных историй, которые появились в разное время и в самых разных странах. Дайте полную волю фантазии, используйте феерические цветовые композиции, и под вашей рукой оживут магические существа и обладающие невероятными способностями животные. Вы вспомните сюжеты любимых сказок и незаметно для себя окажетесь в дивной стране грез и волшебства.</t>
        </is>
      </c>
      <c r="S4335" s="26">
        <f>HYPERLINK("http://www.cnpol.ru/covers/20266.jpg","фото на сайте")</f>
        <v/>
      </c>
    </row>
    <row r="4336" ht="50.1" customHeight="1" s="3">
      <c r="A4336" s="23" t="n"/>
      <c r="B4336" s="24" t="inlineStr">
        <is>
          <t>19944</t>
        </is>
      </c>
      <c r="C4336" s="23" t="inlineStr">
        <is>
          <t>РАСКРАСКИ ДЛЯ ВЗРОСЛЫХ</t>
        </is>
      </c>
      <c r="D4336" s="23" t="inlineStr">
        <is>
          <t>Тейлор Л.</t>
        </is>
      </c>
      <c r="E4336" s="23" t="inlineStr">
        <is>
          <t>Подводный мир. Творческая раскраска обитателей глубин</t>
        </is>
      </c>
      <c r="F4336" s="23" t="inlineStr">
        <is>
          <t>        </t>
        </is>
      </c>
      <c r="G4336" s="23" t="n">
        <v>275</v>
      </c>
      <c r="H4336" s="23" t="n">
        <v>10</v>
      </c>
      <c r="I4336" s="23" t="n">
        <v>30</v>
      </c>
      <c r="J4336" s="23" t="inlineStr">
        <is>
          <t>978-5-9524-5637-2</t>
        </is>
      </c>
      <c r="K4336" s="23" t="inlineStr">
        <is>
          <t>84x108 1/16</t>
        </is>
      </c>
      <c r="L4336" s="23" t="inlineStr">
        <is>
          <t>Интегр</t>
        </is>
      </c>
      <c r="M4336" s="23" t="n">
        <v>36</v>
      </c>
      <c r="N4336" s="23" t="n">
        <v>2021</v>
      </c>
      <c r="O4336" s="23" t="n">
        <v>140</v>
      </c>
      <c r="P4336" s="23" t="n"/>
      <c r="Q4336" s="23" t="n"/>
      <c r="R4336" s="25" t="n"/>
      <c r="S4336" s="26">
        <f>HYPERLINK("http://www.cnpol.ru/covers/19944.jpg","фото на сайте")</f>
        <v/>
      </c>
    </row>
    <row r="4337" ht="50.1" customHeight="1" s="3">
      <c r="A4337" s="23" t="n"/>
      <c r="B4337" s="24" t="inlineStr">
        <is>
          <t>20010</t>
        </is>
      </c>
      <c r="C4337" s="23" t="inlineStr">
        <is>
          <t>РАСКРАСКИ ДЛЯ ВЗРОСЛЫХ</t>
        </is>
      </c>
      <c r="D4337" s="23" t="inlineStr">
        <is>
          <t>Тейлор Л.</t>
        </is>
      </c>
      <c r="E4337" s="23" t="inlineStr">
        <is>
          <t>Подводный мир-2. Творческая раскраска обитателей глубин</t>
        </is>
      </c>
      <c r="F4337" s="23" t="inlineStr">
        <is>
          <t>        </t>
        </is>
      </c>
      <c r="G4337" s="23" t="n">
        <v>275</v>
      </c>
      <c r="H4337" s="23" t="n">
        <v>10</v>
      </c>
      <c r="I4337" s="23" t="n">
        <v>40</v>
      </c>
      <c r="J4337" s="23" t="inlineStr">
        <is>
          <t>978-5-9524-5635-8</t>
        </is>
      </c>
      <c r="K4337" s="23" t="inlineStr">
        <is>
          <t>84x108 1/16</t>
        </is>
      </c>
      <c r="L4337" s="23" t="inlineStr">
        <is>
          <t>Интегр</t>
        </is>
      </c>
      <c r="M4337" s="23" t="n">
        <v>36</v>
      </c>
      <c r="N4337" s="23" t="n">
        <v>2022</v>
      </c>
      <c r="O4337" s="23" t="n">
        <v>138</v>
      </c>
      <c r="P4337" s="23" t="n"/>
      <c r="Q4337" s="23" t="n"/>
      <c r="R4337" s="25" t="n"/>
      <c r="S4337" s="26">
        <f>HYPERLINK("http://www.cnpol.ru/covers/20010.jpg","фото на сайте")</f>
        <v/>
      </c>
    </row>
    <row r="4338" ht="50.1" customHeight="1" s="3">
      <c r="A4338" s="23" t="n"/>
      <c r="B4338" s="24" t="inlineStr">
        <is>
          <t>19468</t>
        </is>
      </c>
      <c r="C4338" s="23" t="inlineStr">
        <is>
          <t>РАСКРАСКИ ДЛЯ ВЗРОСЛЫХ</t>
        </is>
      </c>
      <c r="D4338" s="23" t="inlineStr">
        <is>
          <t>Тейлор Л.</t>
        </is>
      </c>
      <c r="E4338" s="23" t="inlineStr">
        <is>
          <t>Русалки. Творческая раскраска</t>
        </is>
      </c>
      <c r="F4338" s="23" t="inlineStr">
        <is>
          <t>        </t>
        </is>
      </c>
      <c r="G4338" s="23" t="n">
        <v>275</v>
      </c>
      <c r="H4338" s="23" t="n">
        <v>10</v>
      </c>
      <c r="I4338" s="23" t="n">
        <v>30</v>
      </c>
      <c r="J4338" s="23" t="inlineStr">
        <is>
          <t>978-5-9524-5485-9</t>
        </is>
      </c>
      <c r="K4338" s="23" t="inlineStr">
        <is>
          <t>84x108 1/16</t>
        </is>
      </c>
      <c r="L4338" s="23" t="inlineStr">
        <is>
          <t>Интегр</t>
        </is>
      </c>
      <c r="M4338" s="23" t="n">
        <v>36</v>
      </c>
      <c r="N4338" s="23" t="n">
        <v>2021</v>
      </c>
      <c r="O4338" s="23" t="n">
        <v>140</v>
      </c>
      <c r="P4338" s="23" t="n"/>
      <c r="Q4338" s="23" t="n"/>
      <c r="R4338" s="25" t="n"/>
      <c r="S4338" s="26">
        <f>HYPERLINK("http://www.cnpol.ru/covers/19468.jpg","фото на сайте")</f>
        <v/>
      </c>
    </row>
    <row r="4339" ht="50.1" customHeight="1" s="3">
      <c r="A4339" s="23" t="n"/>
      <c r="B4339" s="24" t="inlineStr">
        <is>
          <t>19428</t>
        </is>
      </c>
      <c r="C4339" s="23" t="inlineStr">
        <is>
          <t>РАСКРАСКИ ДЛЯ ВЗРОСЛЫХ</t>
        </is>
      </c>
      <c r="D4339" s="23" t="inlineStr">
        <is>
          <t>Тейлор Л.</t>
        </is>
      </c>
      <c r="E4339" s="23" t="inlineStr">
        <is>
          <t>Сказочные единороги. Творческая раскраска</t>
        </is>
      </c>
      <c r="F4339" s="23" t="inlineStr">
        <is>
          <t>        </t>
        </is>
      </c>
      <c r="G4339" s="23" t="n">
        <v>275</v>
      </c>
      <c r="H4339" s="23" t="n">
        <v>10</v>
      </c>
      <c r="I4339" s="23" t="n">
        <v>30</v>
      </c>
      <c r="J4339" s="23" t="inlineStr">
        <is>
          <t>978-5-9524-5478-1</t>
        </is>
      </c>
      <c r="K4339" s="23" t="inlineStr">
        <is>
          <t>84x108 1/16</t>
        </is>
      </c>
      <c r="L4339" s="23" t="inlineStr">
        <is>
          <t>Интегр</t>
        </is>
      </c>
      <c r="M4339" s="23" t="n">
        <v>36</v>
      </c>
      <c r="N4339" s="23" t="n">
        <v>2020</v>
      </c>
      <c r="O4339" s="23" t="n">
        <v>140</v>
      </c>
      <c r="P4339" s="23" t="n"/>
      <c r="Q4339" s="23" t="n"/>
      <c r="R4339" s="25" t="n"/>
      <c r="S4339" s="26">
        <f>HYPERLINK("http://www.cnpol.ru/covers/19428.jpg","фото на сайте")</f>
        <v/>
      </c>
    </row>
    <row r="4340" ht="50.1" customHeight="1" s="3">
      <c r="A4340" s="23" t="n"/>
      <c r="B4340" s="24" t="inlineStr">
        <is>
          <t>20086</t>
        </is>
      </c>
      <c r="C4340" s="23" t="inlineStr">
        <is>
          <t>РАСКРАСКИ ДЛЯ ВЗРОСЛЫХ</t>
        </is>
      </c>
      <c r="D4340" s="23" t="inlineStr">
        <is>
          <t>Тейлор Л.</t>
        </is>
      </c>
      <c r="E4340" s="23" t="inlineStr">
        <is>
          <t>Чудесный мир цветов</t>
        </is>
      </c>
      <c r="F4340" s="23" t="inlineStr">
        <is>
          <t>        </t>
        </is>
      </c>
      <c r="G4340" s="23" t="n">
        <v>880</v>
      </c>
      <c r="H4340" s="23" t="n">
        <v>10</v>
      </c>
      <c r="I4340" s="23" t="n">
        <v>10</v>
      </c>
      <c r="J4340" s="23" t="inlineStr">
        <is>
          <t>978-5-9524-5708-9</t>
        </is>
      </c>
      <c r="K4340" s="23" t="inlineStr">
        <is>
          <t>84x108 1/12</t>
        </is>
      </c>
      <c r="L4340" s="23" t="inlineStr">
        <is>
          <t>Интегр</t>
        </is>
      </c>
      <c r="M4340" s="23" t="n">
        <v>96</v>
      </c>
      <c r="N4340" s="23" t="n">
        <v>2022</v>
      </c>
      <c r="O4340" s="23" t="n">
        <v>410</v>
      </c>
      <c r="P4340" s="23" t="n"/>
      <c r="Q4340" s="23" t="n"/>
      <c r="R4340" s="25" t="n"/>
      <c r="S4340" s="26">
        <f>HYPERLINK("http://www.cnpol.ru/covers/20086.jpg","фото на сайте")</f>
        <v/>
      </c>
    </row>
    <row r="4341" ht="50.1" customHeight="1" s="3">
      <c r="A4341" s="23" t="n"/>
      <c r="B4341" s="24" t="inlineStr">
        <is>
          <t>19722</t>
        </is>
      </c>
      <c r="C4341" s="23" t="inlineStr">
        <is>
          <t>РАСТЕНИЯ-ЦЕЛИТЕЛИ</t>
        </is>
      </c>
      <c r="D4341" s="23" t="inlineStr">
        <is>
          <t>Филиппова И.А.</t>
        </is>
      </c>
      <c r="E4341" s="23" t="inlineStr">
        <is>
          <t>Трутовики. Эффективное лечение онкологии, гепатита, туберкулеза...</t>
        </is>
      </c>
      <c r="F4341" s="23" t="inlineStr">
        <is>
          <t>        </t>
        </is>
      </c>
      <c r="G4341" s="23" t="n">
        <v>186</v>
      </c>
      <c r="H4341" s="23" t="n">
        <v>10</v>
      </c>
      <c r="I4341" s="23" t="n">
        <v>30</v>
      </c>
      <c r="J4341" s="23" t="inlineStr">
        <is>
          <t>978-5-227-08869-7</t>
        </is>
      </c>
      <c r="K4341" s="23" t="inlineStr">
        <is>
          <t>84x108 1/32 (обл)</t>
        </is>
      </c>
      <c r="L4341" s="23" t="inlineStr">
        <is>
          <t>мяг</t>
        </is>
      </c>
      <c r="M4341" s="23" t="n">
        <v>128</v>
      </c>
      <c r="N4341" s="23" t="n">
        <v>2021</v>
      </c>
      <c r="O4341" s="23" t="n">
        <v>80</v>
      </c>
      <c r="P4341" s="23" t="n"/>
      <c r="Q4341" s="23" t="n"/>
      <c r="R4341" s="25" t="n"/>
      <c r="S4341" s="26">
        <f>HYPERLINK("http://www.cnpol.ru/covers/19722.jpg","фото на сайте")</f>
        <v/>
      </c>
    </row>
    <row r="4342" ht="50.1" customHeight="1" s="3">
      <c r="A4342" s="23" t="n"/>
      <c r="B4342" s="24" t="inlineStr">
        <is>
          <t>17125</t>
        </is>
      </c>
      <c r="C4342" s="23" t="inlineStr">
        <is>
          <t>РАСТЕНИЯ-ЦЕЛИТЕЛИ</t>
        </is>
      </c>
      <c r="D4342" s="23" t="inlineStr">
        <is>
          <t>Филиппова И.А.</t>
        </is>
      </c>
      <c r="E4342" s="23" t="inlineStr">
        <is>
          <t>Черная кукуруза, или Панацея от всех болезней. Эффективное лечение онкологии, ожирения, диабета.</t>
        </is>
      </c>
      <c r="F4342" s="23" t="inlineStr">
        <is>
          <t>        </t>
        </is>
      </c>
      <c r="G4342" s="23" t="n">
        <v>186</v>
      </c>
      <c r="H4342" s="23" t="n">
        <v>10</v>
      </c>
      <c r="I4342" s="23" t="n">
        <v>20</v>
      </c>
      <c r="J4342" s="23" t="inlineStr">
        <is>
          <t>978-5-227-07162-0</t>
        </is>
      </c>
      <c r="K4342" s="23" t="inlineStr">
        <is>
          <t>84x108 1/32 (обл)</t>
        </is>
      </c>
      <c r="L4342" s="23" t="inlineStr">
        <is>
          <t>мяг</t>
        </is>
      </c>
      <c r="M4342" s="23" t="n">
        <v>128</v>
      </c>
      <c r="N4342" s="23" t="n">
        <v>2016</v>
      </c>
      <c r="O4342" s="23" t="n">
        <v>80</v>
      </c>
      <c r="P4342" s="23" t="n"/>
      <c r="Q4342" s="23" t="n"/>
      <c r="R4342" s="25" t="n"/>
      <c r="S4342" s="26">
        <f>HYPERLINK("http://www.cnpol.ru/covers/17125.jpg","фото на сайте")</f>
        <v/>
      </c>
    </row>
    <row r="4343" ht="50.1" customHeight="1" s="3">
      <c r="A4343" s="23" t="n"/>
      <c r="B4343" s="24" t="inlineStr">
        <is>
          <t>14511</t>
        </is>
      </c>
      <c r="C4343" s="23" t="inlineStr">
        <is>
          <t>РД</t>
        </is>
      </c>
      <c r="D4343" s="23" t="inlineStr">
        <is>
          <t>Наст А.Н</t>
        </is>
      </c>
      <c r="E4343" s="23" t="inlineStr">
        <is>
          <t>Не просто убить…</t>
        </is>
      </c>
      <c r="F4343" s="23" t="inlineStr">
        <is>
          <t>        </t>
        </is>
      </c>
      <c r="G4343" s="23" t="n">
        <v>168</v>
      </c>
      <c r="H4343" s="23" t="n">
        <v>10</v>
      </c>
      <c r="I4343" s="23" t="n">
        <v>40</v>
      </c>
      <c r="J4343" s="23" t="inlineStr">
        <is>
          <t>978-5-227-04499-0</t>
        </is>
      </c>
      <c r="K4343" s="23" t="inlineStr">
        <is>
          <t>70x90 1/32</t>
        </is>
      </c>
      <c r="L4343" s="23" t="inlineStr">
        <is>
          <t>мяг</t>
        </is>
      </c>
      <c r="M4343" s="23" t="n">
        <v>253</v>
      </c>
      <c r="N4343" s="23" t="n">
        <v>2013</v>
      </c>
      <c r="O4343" s="23" t="n">
        <v>106</v>
      </c>
      <c r="P4343" s="23" t="n"/>
      <c r="Q4343" s="23" t="n"/>
      <c r="R4343" s="25" t="n"/>
      <c r="S4343" s="26">
        <f>HYPERLINK("http://www.cnpol.ru/covers/14511.jpg","фото на сайте")</f>
        <v/>
      </c>
    </row>
    <row r="4344" ht="50.1" customHeight="1" s="3">
      <c r="A4344" s="23" t="n"/>
      <c r="B4344" s="24" t="inlineStr">
        <is>
          <t>18957</t>
        </is>
      </c>
      <c r="C4344" s="23" t="inlineStr">
        <is>
          <t>РД НОВ</t>
        </is>
      </c>
      <c r="D4344" s="23" t="inlineStr">
        <is>
          <t>Горский А.В</t>
        </is>
      </c>
      <c r="E4344" s="23" t="inlineStr">
        <is>
          <t>Большая игра</t>
        </is>
      </c>
      <c r="F4344" s="23" t="inlineStr">
        <is>
          <t>        </t>
        </is>
      </c>
      <c r="G4344" s="23" t="n">
        <v>186</v>
      </c>
      <c r="H4344" s="23" t="n">
        <v>10</v>
      </c>
      <c r="I4344" s="23" t="n">
        <v>40</v>
      </c>
      <c r="J4344" s="23" t="inlineStr">
        <is>
          <t>978-5-227-08765-2</t>
        </is>
      </c>
      <c r="K4344" s="23" t="inlineStr">
        <is>
          <t>70x90 1/32</t>
        </is>
      </c>
      <c r="L4344" s="23" t="inlineStr">
        <is>
          <t>мяг</t>
        </is>
      </c>
      <c r="M4344" s="23" t="n">
        <v>256</v>
      </c>
      <c r="N4344" s="23" t="n">
        <v>2019</v>
      </c>
      <c r="O4344" s="23" t="n">
        <v>110</v>
      </c>
      <c r="P4344" s="23" t="n"/>
      <c r="Q4344" s="23" t="n"/>
      <c r="R4344" s="25" t="n"/>
      <c r="S4344" s="26">
        <f>HYPERLINK("http://www.cnpol.ru/covers/18957.jpg","фото на сайте")</f>
        <v/>
      </c>
    </row>
    <row r="4345" ht="50.1" customHeight="1" s="3">
      <c r="A4345" s="23" t="n"/>
      <c r="B4345" s="24" t="inlineStr">
        <is>
          <t>19533</t>
        </is>
      </c>
      <c r="C4345" s="23" t="inlineStr">
        <is>
          <t>РД НОВ</t>
        </is>
      </c>
      <c r="D4345" s="23" t="inlineStr">
        <is>
          <t>Наст А.Н</t>
        </is>
      </c>
      <c r="E4345" s="23" t="inlineStr">
        <is>
          <t>Внутри мафии</t>
        </is>
      </c>
      <c r="F4345" s="23" t="inlineStr">
        <is>
          <t>        </t>
        </is>
      </c>
      <c r="G4345" s="23" t="n">
        <v>186</v>
      </c>
      <c r="H4345" s="23" t="n">
        <v>10</v>
      </c>
      <c r="I4345" s="23" t="n">
        <v>32</v>
      </c>
      <c r="J4345" s="23" t="inlineStr">
        <is>
          <t>978-5-227-08829-1</t>
        </is>
      </c>
      <c r="K4345" s="23" t="inlineStr">
        <is>
          <t>70x90 1/32</t>
        </is>
      </c>
      <c r="L4345" s="23" t="inlineStr">
        <is>
          <t>мяг</t>
        </is>
      </c>
      <c r="M4345" s="23" t="n">
        <v>320</v>
      </c>
      <c r="N4345" s="23" t="n">
        <v>2021</v>
      </c>
      <c r="O4345" s="23" t="n">
        <v>136</v>
      </c>
      <c r="P4345" s="23" t="n"/>
      <c r="Q4345" s="23" t="n"/>
      <c r="R4345" s="25" t="inlineStr">
        <is>
          <t>Сергея Баринова уволили из следователей из­за шашней с женой начальника, и Баринов открыл частное агентство. Пробавлялся всякой мелочевкой, зарабатывая на жизнь. Обращение Георгия Вазелина сулило крупное, прибыльное дело. Местный авторитет, славящийся звериной жестокостью Вазелин, по кличке Вазелин, отказов не принимал. Речь шла об убийстве Кости Игрока, его названого брата. Костю зарезали всего несколько дней назад, полиция практически сразу зашла в тупик. Баринов должен был предоставить ему убийцу, и как можно скорее. Вазелин обещал Сергею всяческое содействие, в том числе и в среде, где постоянно вращался убитый Игрок, — среди контролируемых боссом мафии торговцев наркотиками, сутенеров, боевиков — людей опасных и непредсказуемых…</t>
        </is>
      </c>
      <c r="S4345" s="26">
        <f>HYPERLINK("http://www.cnpol.ru/covers/19533.jpg","фото на сайте")</f>
        <v/>
      </c>
    </row>
    <row r="4346" ht="50.1" customHeight="1" s="3">
      <c r="A4346" s="23" t="n"/>
      <c r="B4346" s="24" t="inlineStr">
        <is>
          <t>19137</t>
        </is>
      </c>
      <c r="C4346" s="23" t="inlineStr">
        <is>
          <t>РД НОВ</t>
        </is>
      </c>
      <c r="D4346" s="23" t="inlineStr">
        <is>
          <t>Горский А.В</t>
        </is>
      </c>
      <c r="E4346" s="23" t="inlineStr">
        <is>
          <t>Время смерти</t>
        </is>
      </c>
      <c r="F4346" s="23" t="inlineStr">
        <is>
          <t>        </t>
        </is>
      </c>
      <c r="G4346" s="23" t="n">
        <v>186</v>
      </c>
      <c r="H4346" s="23" t="n">
        <v>10</v>
      </c>
      <c r="I4346" s="23" t="n">
        <v>40</v>
      </c>
      <c r="J4346" s="23" t="inlineStr">
        <is>
          <t>978-5-227-08931-1</t>
        </is>
      </c>
      <c r="K4346" s="23" t="inlineStr">
        <is>
          <t>70x90 1/32</t>
        </is>
      </c>
      <c r="L4346" s="23" t="inlineStr">
        <is>
          <t>мяг</t>
        </is>
      </c>
      <c r="M4346" s="23" t="n">
        <v>288</v>
      </c>
      <c r="N4346" s="23" t="n">
        <v>2020</v>
      </c>
      <c r="O4346" s="23" t="n">
        <v>122</v>
      </c>
      <c r="P4346" s="23" t="n"/>
      <c r="Q4346" s="23" t="n"/>
      <c r="R4346" s="25" t="inlineStr">
        <is>
          <t>В небольшом городке Владимирской области одно за другим происходят преступления, связанные с одним из крупнейших обувных предприятий страны. В подозрительной автокатастрофе погибает главный бухгалтер, происходит пожар на фабрике, прокурора Марию Шнейдер обнаруживают повешенной в собственном доме. Для расследования громких преступлений из Москвы вызывают группу полковника Реваева.</t>
        </is>
      </c>
      <c r="S4346" s="26">
        <f>HYPERLINK("http://www.cnpol.ru/covers/19137.jpg","фото на сайте")</f>
        <v/>
      </c>
    </row>
    <row r="4347" ht="50.1" customHeight="1" s="3">
      <c r="A4347" s="23" t="n"/>
      <c r="B4347" s="24" t="inlineStr">
        <is>
          <t>20007</t>
        </is>
      </c>
      <c r="C4347" s="23" t="inlineStr">
        <is>
          <t>РД НОВ</t>
        </is>
      </c>
      <c r="D4347" s="23" t="inlineStr">
        <is>
          <t>Захаров Д.А</t>
        </is>
      </c>
      <c r="E4347" s="23" t="inlineStr">
        <is>
          <t>Девочка, рисующая смерть</t>
        </is>
      </c>
      <c r="F4347" s="23" t="inlineStr">
        <is>
          <t>        </t>
        </is>
      </c>
      <c r="G4347" s="23" t="n">
        <v>186</v>
      </c>
      <c r="H4347" s="23" t="n">
        <v>10</v>
      </c>
      <c r="I4347" s="23" t="n">
        <v>16</v>
      </c>
      <c r="J4347" s="23" t="inlineStr">
        <is>
          <t>978-5-227-09637-1</t>
        </is>
      </c>
      <c r="K4347" s="23" t="inlineStr">
        <is>
          <t>70x90 1/32</t>
        </is>
      </c>
      <c r="L4347" s="23" t="inlineStr">
        <is>
          <t>мяг</t>
        </is>
      </c>
      <c r="M4347" s="23" t="n">
        <v>287</v>
      </c>
      <c r="N4347" s="23" t="n">
        <v>2021</v>
      </c>
      <c r="O4347" s="23" t="n">
        <v>136</v>
      </c>
      <c r="P4347" s="23" t="n"/>
      <c r="Q4347" s="23" t="n"/>
      <c r="R4347" s="25" t="inlineStr">
        <is>
          <t>Мир компьютерных игр так увлекателен, и новинки — одна лучше другой. Нужно, не мешкая, успеть скачать самую свежую игру на свой смартфон, особенно если модная новинка предлагает пощекотать нервы, указав дату смерти игрока!.. Мало кто соотнес растущую популярность игры с увеличившимся количеством самоубийств полных сил благополучных молодых людей — реальность и виртуальный мир ведь не пересекаются? Но бывший сотрудник спецслужб Сергей Авдеев не раз сталкивался с ситуациями на грани реальности. Не все просто с этой новомодной забавой, следы которой ведут к руководству респектабельной фирмы, и не привыкший мучиться неизвестностью Авдеев собирается расставить все по местам в этом запутанном деле.</t>
        </is>
      </c>
      <c r="S4347" s="26">
        <f>HYPERLINK("http://www.cnpol.ru/covers/20007.jpg","фото на сайте")</f>
        <v/>
      </c>
    </row>
    <row r="4348" ht="50.1" customHeight="1" s="3">
      <c r="A4348" s="23" t="n"/>
      <c r="B4348" s="24" t="inlineStr">
        <is>
          <t>19678</t>
        </is>
      </c>
      <c r="C4348" s="23" t="inlineStr">
        <is>
          <t>РД НОВ</t>
        </is>
      </c>
      <c r="D4348" s="23" t="inlineStr">
        <is>
          <t>Захаров Д.А</t>
        </is>
      </c>
      <c r="E4348" s="23" t="inlineStr">
        <is>
          <t>День Всех Святых</t>
        </is>
      </c>
      <c r="F4348" s="23" t="inlineStr">
        <is>
          <t>        </t>
        </is>
      </c>
      <c r="G4348" s="23" t="n">
        <v>186</v>
      </c>
      <c r="H4348" s="23" t="n">
        <v>10</v>
      </c>
      <c r="I4348" s="23" t="n">
        <v>10</v>
      </c>
      <c r="J4348" s="23" t="inlineStr">
        <is>
          <t>978-5-227-09438-4</t>
        </is>
      </c>
      <c r="K4348" s="23" t="inlineStr">
        <is>
          <t>70x90 1/32</t>
        </is>
      </c>
      <c r="L4348" s="23" t="inlineStr">
        <is>
          <t>мяг</t>
        </is>
      </c>
      <c r="M4348" s="23" t="n">
        <v>288</v>
      </c>
      <c r="N4348" s="23" t="n">
        <v>2021</v>
      </c>
      <c r="O4348" s="23" t="n">
        <v>122</v>
      </c>
      <c r="P4348" s="23" t="n"/>
      <c r="Q4348" s="23" t="n"/>
      <c r="R4348" s="25" t="inlineStr">
        <is>
          <t>Мать Марины Авдеевой много лет назад вышла замуж за британца и увезла дочь в Англию. Марина выросла и решила познакомиться со своей родиной. Мать была категорически против ее поездки в Россию, по ее мнению, дикую опасную страну, где кипят нешуточные страсти, этим отличался и ее бывший муж – отец Марины, слишком мужественный, слишком сильный человек. А Марина надеялась, что и в ней есть решительность и смелость отца. Очень скоро ей представился случай проверить, есть ли в ее характере такие качества – она стала жертвой похищения. Это произошло накануне Дня Всех Святых, когда нечисть бродит по земле…</t>
        </is>
      </c>
      <c r="S4348" s="26">
        <f>HYPERLINK("http://www.cnpol.ru/covers/19678.jpg","фото на сайте")</f>
        <v/>
      </c>
    </row>
    <row r="4349" ht="50.1" customHeight="1" s="3">
      <c r="A4349" s="23" t="n"/>
      <c r="B4349" s="24" t="inlineStr">
        <is>
          <t>20250</t>
        </is>
      </c>
      <c r="C4349" s="23" t="inlineStr">
        <is>
          <t>РД НОВ</t>
        </is>
      </c>
      <c r="D4349" s="23" t="inlineStr">
        <is>
          <t>Евдокимов В.И.</t>
        </is>
      </c>
      <c r="E4349" s="23" t="inlineStr">
        <is>
          <t>Забытый берег</t>
        </is>
      </c>
      <c r="F4349" s="23" t="inlineStr">
        <is>
          <t>        </t>
        </is>
      </c>
      <c r="G4349" s="23" t="n">
        <v>186</v>
      </c>
      <c r="H4349" s="23" t="n">
        <v>10</v>
      </c>
      <c r="I4349" s="23" t="n">
        <v>11</v>
      </c>
      <c r="J4349" s="23" t="inlineStr">
        <is>
          <t>978-5-227-09174-1</t>
        </is>
      </c>
      <c r="K4349" s="23" t="inlineStr">
        <is>
          <t>70x90 1/32</t>
        </is>
      </c>
      <c r="L4349" s="23" t="inlineStr">
        <is>
          <t>мяг</t>
        </is>
      </c>
      <c r="M4349" s="23" t="n">
        <v>287</v>
      </c>
      <c r="N4349" s="23" t="n">
        <v>2022</v>
      </c>
      <c r="O4349" s="23" t="n">
        <v>125</v>
      </c>
      <c r="P4349" s="23" t="n"/>
      <c r="Q4349" s="23" t="n"/>
      <c r="R4349" s="25" t="inlineStr">
        <is>
          <t>Вячеслав Петрович Аксёнов, респектабельный москвич, успешный учёный, благополучный семьянин, внезапно получает «привет» из прошлого. Четверть века назад, летом 1992 года, во времена суматошные и пропитанные запахом авантюризма, он вместе с ещё тремя бывшими однокурсниками получает неожиданное наследство от институтского профессора: бумаги, указывающие местонахождение клада, зарытого в послереволюционные годы богатым волжским купцом. Трое, Аксёнов и два его товарища, сговариваются втайне от четвёртого отправиться на поиски клада. Спустя 25 лет жив лишь Аксёнов, уже забывший обо всех обстоятельствах той поездки, не задумывавшийся о том, почему именно их четвёрку выбрал профессор Богданов, и даже не предполагавший, что вновь окажется на Волге, что за всё придётся отвечать.</t>
        </is>
      </c>
      <c r="S4349" s="26">
        <f>HYPERLINK("http://www.cnpol.ru/covers/20250.jpg","фото на сайте")</f>
        <v/>
      </c>
    </row>
    <row r="4350" ht="50.1" customHeight="1" s="3">
      <c r="A4350" s="23" t="n"/>
      <c r="B4350" s="24" t="inlineStr">
        <is>
          <t>20693</t>
        </is>
      </c>
      <c r="C4350" s="23" t="inlineStr">
        <is>
          <t>РД НОВ</t>
        </is>
      </c>
      <c r="D4350" s="23" t="inlineStr">
        <is>
          <t>Ковалев В.Н.</t>
        </is>
      </c>
      <c r="E4350" s="23" t="inlineStr">
        <is>
          <t>Защитник Донбасса</t>
        </is>
      </c>
      <c r="F4350" s="23" t="inlineStr">
        <is>
          <t>        </t>
        </is>
      </c>
      <c r="G4350" s="23" t="n">
        <v>186</v>
      </c>
      <c r="H4350" s="23" t="n">
        <v>10</v>
      </c>
      <c r="I4350" s="23" t="n">
        <v>20</v>
      </c>
      <c r="J4350" s="23" t="inlineStr">
        <is>
          <t>978-5-227-10368-0</t>
        </is>
      </c>
      <c r="K4350" s="23" t="inlineStr">
        <is>
          <t>70x90 1/32</t>
        </is>
      </c>
      <c r="L4350" s="23" t="inlineStr">
        <is>
          <t>мяг</t>
        </is>
      </c>
      <c r="M4350" s="23" t="n">
        <v>286</v>
      </c>
      <c r="N4350" s="23" t="n">
        <v>2023</v>
      </c>
      <c r="O4350" s="23" t="n">
        <v>120</v>
      </c>
      <c r="P4350" s="23" t="n"/>
      <c r="Q4350" s="23" t="n"/>
      <c r="R4350" s="25" t="inlineStr">
        <is>
          <t>Максим Найденов — сирота, вырос в детском доме, после школы связал свою жизнь с армией. В составе ЧВК воевал в горячих точках в Африке и Сирии, затем в Донбассе. Женитьба и ребенок все изменили. Максим решил осесть в Крыму, здесь он принял предложение занять должность начальника службы безопасности процветающего винодельческого хозяйства. Но началась специальная военная операция, и Максим не смог оставаться в стороне от поля боя, где на сей раз решалась не только его личная судьба…</t>
        </is>
      </c>
      <c r="S4350" s="26">
        <f>HYPERLINK("http://www.cnpol.ru/covers/20693.jpg","фото на сайте")</f>
        <v/>
      </c>
    </row>
    <row r="4351" ht="50.1" customHeight="1" s="3">
      <c r="A4351" s="23" t="n"/>
      <c r="B4351" s="24" t="inlineStr">
        <is>
          <t>19199</t>
        </is>
      </c>
      <c r="C4351" s="23" t="inlineStr">
        <is>
          <t>РД НОВ</t>
        </is>
      </c>
      <c r="D4351" s="23" t="inlineStr">
        <is>
          <t>Захаров Д.А</t>
        </is>
      </c>
      <c r="E4351" s="23" t="inlineStr">
        <is>
          <t>Идущие на смерть</t>
        </is>
      </c>
      <c r="F4351" s="23" t="inlineStr">
        <is>
          <t>        </t>
        </is>
      </c>
      <c r="G4351" s="23" t="n">
        <v>186</v>
      </c>
      <c r="H4351" s="23" t="n">
        <v>10</v>
      </c>
      <c r="I4351" s="23" t="n">
        <v>40</v>
      </c>
      <c r="J4351" s="23" t="inlineStr">
        <is>
          <t>978-5-227-08823-9</t>
        </is>
      </c>
      <c r="K4351" s="23" t="inlineStr">
        <is>
          <t>70x90 1/32</t>
        </is>
      </c>
      <c r="L4351" s="23" t="inlineStr">
        <is>
          <t>мяг</t>
        </is>
      </c>
      <c r="M4351" s="23" t="n">
        <v>320</v>
      </c>
      <c r="N4351" s="23" t="n">
        <v>2020</v>
      </c>
      <c r="O4351" s="23" t="n">
        <v>134</v>
      </c>
      <c r="P4351" s="23" t="n"/>
      <c r="Q4351" s="23" t="n"/>
      <c r="R4351" s="25" t="inlineStr">
        <is>
          <t>Бывший капитан спецназа Сергей Авдеев никак не может найти себя в мирной жизни. Случайные заработки, алкоголь… После развода жизнь кажется совсем беспросветной. Поэтому на предложение своего бывшего начальника полковника Марченко принять участие в опасном задании, связанном с загадочной вакциной, превращающей людей в идеальное орудие убийства, Сергей откликается с радостью. Он уже имел опыт общения с «лешими», как их называли спецназовцы, и знает, что может натворить в мирном городе даже один такой «экземпляр». Задача Авдеева — найти и уничтожить, и его даже не слишком тревожит, что вокруг спецоперации идет какая­то мутная игра спецслужб, военных и политиков.</t>
        </is>
      </c>
      <c r="S4351" s="26">
        <f>HYPERLINK("http://www.cnpol.ru/covers/19199.jpg","фото на сайте")</f>
        <v/>
      </c>
    </row>
    <row r="4352" ht="50.1" customHeight="1" s="3">
      <c r="A4352" s="23" t="n"/>
      <c r="B4352" s="24" t="inlineStr">
        <is>
          <t>19717</t>
        </is>
      </c>
      <c r="C4352" s="23" t="inlineStr">
        <is>
          <t>РД НОВ</t>
        </is>
      </c>
      <c r="D4352" s="23" t="inlineStr">
        <is>
          <t>Ковалев В.Н.</t>
        </is>
      </c>
      <c r="E4352" s="23" t="inlineStr">
        <is>
          <t>Иловайский капкан</t>
        </is>
      </c>
      <c r="F4352" s="23" t="inlineStr">
        <is>
          <t>        </t>
        </is>
      </c>
      <c r="G4352" s="23" t="n">
        <v>186</v>
      </c>
      <c r="H4352" s="23" t="n">
        <v>10</v>
      </c>
      <c r="I4352" s="23" t="n">
        <v>11</v>
      </c>
      <c r="J4352" s="23" t="inlineStr">
        <is>
          <t>978-5-227-09515-2</t>
        </is>
      </c>
      <c r="K4352" s="23" t="inlineStr">
        <is>
          <t>70x90 1/32</t>
        </is>
      </c>
      <c r="L4352" s="23" t="inlineStr">
        <is>
          <t>мяг</t>
        </is>
      </c>
      <c r="M4352" s="23" t="n">
        <v>288</v>
      </c>
      <c r="N4352" s="23" t="n">
        <v>2021</v>
      </c>
      <c r="O4352" s="23" t="n">
        <v>124</v>
      </c>
      <c r="P4352" s="23" t="n"/>
      <c r="Q4352" s="23" t="n"/>
      <c r="R4352" s="25" t="inlineStr">
        <is>
          <t>Сашка Шубин, простой парень из Донбасса, не отделял себя от своей страны. Родился в СССР, учился в школе, отслужил в армии… Когда советская Украина стала независимым государством, Александр не особо философствовал: вокруг по­прежнему была его страна и люди общей с ним судьбы… События 2014 года раскололи понятный ему мир, и в глубокую расщелину гражданского противостояния стало стремительно затягивать людей и территории. Александр, которого события на киевской площади Независимости застали командиром столичного спецподразделения МВД «Беркут», поставлен перед сложным выбором. Как военный человек он понимает, что очень скоро бывшие соотечественники, одноклассники и друзья детства сойдутся в кровавом противоборстве за землю, которую каждый считает своей.</t>
        </is>
      </c>
      <c r="S4352" s="26">
        <f>HYPERLINK("http://www.cnpol.ru/covers/19717.jpg","фото на сайте")</f>
        <v/>
      </c>
    </row>
    <row r="4353" ht="50.1" customHeight="1" s="3">
      <c r="A4353" s="23" t="n"/>
      <c r="B4353" s="24" t="inlineStr">
        <is>
          <t>19964</t>
        </is>
      </c>
      <c r="C4353" s="23" t="inlineStr">
        <is>
          <t>РД НОВ</t>
        </is>
      </c>
      <c r="D4353" s="23" t="inlineStr">
        <is>
          <t>Захаров Д.А</t>
        </is>
      </c>
      <c r="E4353" s="23" t="inlineStr">
        <is>
          <t>Ковчег Судного дня</t>
        </is>
      </c>
      <c r="F4353" s="23" t="inlineStr">
        <is>
          <t>        </t>
        </is>
      </c>
      <c r="G4353" s="23" t="n">
        <v>186</v>
      </c>
      <c r="H4353" s="23" t="n">
        <v>10</v>
      </c>
      <c r="I4353" s="23" t="n">
        <v>14</v>
      </c>
      <c r="J4353" s="23" t="inlineStr">
        <is>
          <t>978-5-227-09491-9</t>
        </is>
      </c>
      <c r="K4353" s="23" t="inlineStr">
        <is>
          <t>70x90 1/32</t>
        </is>
      </c>
      <c r="L4353" s="23" t="inlineStr">
        <is>
          <t>мяг</t>
        </is>
      </c>
      <c r="M4353" s="23" t="n">
        <v>319</v>
      </c>
      <c r="N4353" s="23" t="n">
        <v>2021</v>
      </c>
      <c r="O4353" s="23" t="n">
        <v>136</v>
      </c>
      <c r="P4353" s="23" t="n"/>
      <c r="Q4353" s="23" t="n"/>
      <c r="R4353" s="25" t="inlineStr">
        <is>
          <t>Отпуск подходил к концу, Павел Рюмин вместе с подругой возвращался из Крыма в Москву на машине. В кармане у него была коробочка с кольцом, которое он хотел вручить Насте в каком­нибудь романтическом месте. Авария на ночной дороге нарушила все планы. Пришлось тащиться в сервис, ждать в придорожном кафе… из которого почти невеста Павла просто исчезла. Ее поиски привели Рюмина в Санкт­Петербург, в фирму «Ковчег» — богатую и с огромными связями и возможностями. Руководительница же ее вместо помощи в поисках девушки предложила Павлу место в своей фирме и такие условия, что и Настя, и вся его прежняя жизнь менеджера по продаже подержанных автомобилей стали чем­то неважным. Перед Рюминым открываются сказочные перспективы, такие роскошные, что как бы не пришлось заплатить за них слишком высокую цену…</t>
        </is>
      </c>
      <c r="S4353" s="26">
        <f>HYPERLINK("http://www.cnpol.ru/covers/19964.jpg","фото на сайте")</f>
        <v/>
      </c>
    </row>
    <row r="4354" ht="50.1" customHeight="1" s="3">
      <c r="A4354" s="23" t="n"/>
      <c r="B4354" s="24" t="inlineStr">
        <is>
          <t>19008</t>
        </is>
      </c>
      <c r="C4354" s="23" t="inlineStr">
        <is>
          <t>РД НОВ</t>
        </is>
      </c>
      <c r="D4354" s="23" t="inlineStr">
        <is>
          <t>Горский А.В</t>
        </is>
      </c>
      <c r="E4354" s="23" t="inlineStr">
        <is>
          <t>Крысолов</t>
        </is>
      </c>
      <c r="F4354" s="23" t="inlineStr">
        <is>
          <t>        </t>
        </is>
      </c>
      <c r="G4354" s="23" t="n">
        <v>186</v>
      </c>
      <c r="H4354" s="23" t="n">
        <v>10</v>
      </c>
      <c r="I4354" s="23" t="n">
        <v>40</v>
      </c>
      <c r="J4354" s="23" t="inlineStr">
        <is>
          <t>978-5-227-08828-4</t>
        </is>
      </c>
      <c r="K4354" s="23" t="inlineStr">
        <is>
          <t>70x90 1/32</t>
        </is>
      </c>
      <c r="L4354" s="23" t="inlineStr">
        <is>
          <t>мяг</t>
        </is>
      </c>
      <c r="M4354" s="23" t="n">
        <v>256</v>
      </c>
      <c r="N4354" s="23" t="n">
        <v>2019</v>
      </c>
      <c r="O4354" s="23" t="n">
        <v>106</v>
      </c>
      <c r="P4354" s="23" t="n"/>
      <c r="Q4354" s="23" t="n"/>
      <c r="R4354" s="25" t="inlineStr">
        <is>
          <t>Максим Подгорный, крупный региональный бизнесмен, владелец телевизионной компании, получает лестное предложение поучиться в школе кадрового резерва администрации президента. Это открывает перед ним перспективы успешной политической карьеры. Максим соглашается, хотя это омрачает и без того непрочные отношения с женой: ей известна слабость мужа к женскому полу и его частые измены._x000D_
И точно: в Москве у Максима тут же случился страстный роман с дочерью могущественного чиновника, близкого к первому лицу страны. Инициатором связи была Наташа Фролова, но Максим и не сильно сопротивлялся натиску столичной красотки. _x000D_
Ситуация перестала быть пикантной, когда Максим оказался связан с делом о двойном убийстве, совершенном с особой жестокостью…</t>
        </is>
      </c>
      <c r="S4354" s="26">
        <f>HYPERLINK("http://www.cnpol.ru/covers/19008.jpg","фото на сайте")</f>
        <v/>
      </c>
    </row>
    <row r="4355" ht="50.1" customHeight="1" s="3">
      <c r="A4355" s="23" t="n"/>
      <c r="B4355" s="24" t="inlineStr">
        <is>
          <t>20340</t>
        </is>
      </c>
      <c r="C4355" s="23" t="inlineStr">
        <is>
          <t>РД НОВ</t>
        </is>
      </c>
      <c r="D4355" s="23" t="inlineStr">
        <is>
          <t>Горский А.В</t>
        </is>
      </c>
      <c r="E4355" s="23" t="inlineStr">
        <is>
          <t>Марионетка</t>
        </is>
      </c>
      <c r="F4355" s="23" t="inlineStr">
        <is>
          <t>        </t>
        </is>
      </c>
      <c r="G4355" s="23" t="n">
        <v>186</v>
      </c>
      <c r="H4355" s="23" t="n">
        <v>10</v>
      </c>
      <c r="I4355" s="23" t="n">
        <v>9</v>
      </c>
      <c r="J4355" s="23" t="inlineStr">
        <is>
          <t>978-5-227-09043-0</t>
        </is>
      </c>
      <c r="K4355" s="23" t="inlineStr">
        <is>
          <t>70x90 1/32</t>
        </is>
      </c>
      <c r="L4355" s="23" t="inlineStr">
        <is>
          <t>мяг</t>
        </is>
      </c>
      <c r="M4355" s="23" t="n">
        <v>287</v>
      </c>
      <c r="N4355" s="23" t="n">
        <v>2022</v>
      </c>
      <c r="O4355" s="23" t="n">
        <v>122</v>
      </c>
      <c r="P4355" s="23" t="n"/>
      <c r="Q4355" s="23" t="n"/>
      <c r="R4355" s="25" t="n"/>
      <c r="S4355" s="26">
        <f>HYPERLINK("http://www.cnpol.ru/covers/20340.jpg","фото на сайте")</f>
        <v/>
      </c>
    </row>
    <row r="4356" ht="50.1" customHeight="1" s="3">
      <c r="A4356" s="23" t="n"/>
      <c r="B4356" s="24" t="inlineStr">
        <is>
          <t>18660</t>
        </is>
      </c>
      <c r="C4356" s="23" t="inlineStr">
        <is>
          <t>РД НОВ</t>
        </is>
      </c>
      <c r="D4356" s="23" t="inlineStr">
        <is>
          <t>Козлов И.Т</t>
        </is>
      </c>
      <c r="E4356" s="23" t="inlineStr">
        <is>
          <t>Мой брат, мой враг</t>
        </is>
      </c>
      <c r="F4356" s="23" t="inlineStr">
        <is>
          <t>        </t>
        </is>
      </c>
      <c r="G4356" s="23" t="n">
        <v>186</v>
      </c>
      <c r="H4356" s="23" t="n">
        <v>10</v>
      </c>
      <c r="I4356" s="23" t="n">
        <v>32</v>
      </c>
      <c r="J4356" s="23" t="inlineStr">
        <is>
          <t>978-5-227-08655-6</t>
        </is>
      </c>
      <c r="K4356" s="23" t="inlineStr">
        <is>
          <t>70x90 1/32</t>
        </is>
      </c>
      <c r="L4356" s="23" t="inlineStr">
        <is>
          <t>мяг</t>
        </is>
      </c>
      <c r="M4356" s="23" t="n">
        <v>384</v>
      </c>
      <c r="N4356" s="23" t="n">
        <v>2019</v>
      </c>
      <c r="O4356" s="23" t="n">
        <v>162</v>
      </c>
      <c r="P4356" s="23" t="n"/>
      <c r="Q4356" s="23" t="n"/>
      <c r="R4356" s="25" t="n"/>
      <c r="S4356" s="26">
        <f>HYPERLINK("http://www.cnpol.ru/covers/18660.jpg","фото на сайте")</f>
        <v/>
      </c>
    </row>
    <row r="4357" ht="50.1" customHeight="1" s="3">
      <c r="A4357" s="23" t="n"/>
      <c r="B4357" s="24" t="inlineStr">
        <is>
          <t>18661</t>
        </is>
      </c>
      <c r="C4357" s="23" t="inlineStr">
        <is>
          <t>РД НОВ</t>
        </is>
      </c>
      <c r="D4357" s="23" t="inlineStr">
        <is>
          <t>Наст А.Н</t>
        </is>
      </c>
      <c r="E4357" s="23" t="inlineStr">
        <is>
          <t>Наказать беспредельщиков</t>
        </is>
      </c>
      <c r="F4357" s="23" t="inlineStr">
        <is>
          <t>        </t>
        </is>
      </c>
      <c r="G4357" s="23" t="n">
        <v>186</v>
      </c>
      <c r="H4357" s="23" t="n">
        <v>10</v>
      </c>
      <c r="I4357" s="23" t="n">
        <v>40</v>
      </c>
      <c r="J4357" s="23" t="inlineStr">
        <is>
          <t>978-5-227-08556-6</t>
        </is>
      </c>
      <c r="K4357" s="23" t="inlineStr">
        <is>
          <t>70x90 1/32</t>
        </is>
      </c>
      <c r="L4357" s="23" t="inlineStr">
        <is>
          <t>мяг</t>
        </is>
      </c>
      <c r="M4357" s="23" t="n">
        <v>288</v>
      </c>
      <c r="N4357" s="23" t="n">
        <v>2019</v>
      </c>
      <c r="O4357" s="23" t="n">
        <v>122</v>
      </c>
      <c r="P4357" s="23" t="n"/>
      <c r="Q4357" s="23" t="n"/>
      <c r="R4357" s="25" t="n"/>
      <c r="S4357" s="26">
        <f>HYPERLINK("http://www.cnpol.ru/covers/18661.jpg","фото на сайте")</f>
        <v/>
      </c>
    </row>
    <row r="4358" ht="50.1" customHeight="1" s="3">
      <c r="A4358" s="23" t="n"/>
      <c r="B4358" s="24" t="inlineStr">
        <is>
          <t>19343</t>
        </is>
      </c>
      <c r="C4358" s="23" t="inlineStr">
        <is>
          <t>РД НОВ</t>
        </is>
      </c>
      <c r="D4358" s="23" t="inlineStr">
        <is>
          <t>Горский А.В</t>
        </is>
      </c>
      <c r="E4358" s="23" t="inlineStr">
        <is>
          <t>Не наше дело</t>
        </is>
      </c>
      <c r="F4358" s="23" t="inlineStr">
        <is>
          <t>        </t>
        </is>
      </c>
      <c r="G4358" s="23" t="n">
        <v>186</v>
      </c>
      <c r="H4358" s="23" t="n">
        <v>10</v>
      </c>
      <c r="I4358" s="23" t="n">
        <v>16</v>
      </c>
      <c r="J4358" s="23" t="inlineStr">
        <is>
          <t>978-5-227-08906-9</t>
        </is>
      </c>
      <c r="K4358" s="23" t="inlineStr">
        <is>
          <t>70x90 1/32</t>
        </is>
      </c>
      <c r="L4358" s="23" t="inlineStr">
        <is>
          <t>мяг</t>
        </is>
      </c>
      <c r="M4358" s="23" t="n">
        <v>288</v>
      </c>
      <c r="N4358" s="23" t="n">
        <v>2020</v>
      </c>
      <c r="O4358" s="23" t="n">
        <v>122</v>
      </c>
      <c r="P4358" s="23" t="n"/>
      <c r="Q4358" s="23" t="n"/>
      <c r="R4358" s="25" t="n"/>
      <c r="S4358" s="26">
        <f>HYPERLINK("http://www.cnpol.ru/covers/19343.jpg","фото на сайте")</f>
        <v/>
      </c>
    </row>
    <row r="4359" ht="50.1" customHeight="1" s="3">
      <c r="A4359" s="23" t="n"/>
      <c r="B4359" s="24" t="inlineStr">
        <is>
          <t>19485</t>
        </is>
      </c>
      <c r="C4359" s="23" t="inlineStr">
        <is>
          <t>РД НОВ</t>
        </is>
      </c>
      <c r="D4359" s="23" t="inlineStr">
        <is>
          <t>Наст А.Н</t>
        </is>
      </c>
      <c r="E4359" s="23" t="inlineStr">
        <is>
          <t>Оскал тьмы</t>
        </is>
      </c>
      <c r="F4359" s="23" t="inlineStr">
        <is>
          <t>        </t>
        </is>
      </c>
      <c r="G4359" s="23" t="n">
        <v>186</v>
      </c>
      <c r="H4359" s="23" t="n">
        <v>10</v>
      </c>
      <c r="I4359" s="23" t="n">
        <v>20</v>
      </c>
      <c r="J4359" s="23" t="inlineStr">
        <is>
          <t>978-5-227-09262-5</t>
        </is>
      </c>
      <c r="K4359" s="23" t="inlineStr">
        <is>
          <t>70x90 1/32</t>
        </is>
      </c>
      <c r="L4359" s="23" t="inlineStr">
        <is>
          <t>мяг</t>
        </is>
      </c>
      <c r="M4359" s="23" t="n">
        <v>320</v>
      </c>
      <c r="N4359" s="23" t="n">
        <v>2020</v>
      </c>
      <c r="O4359" s="23" t="n">
        <v>136</v>
      </c>
      <c r="P4359" s="23" t="n"/>
      <c r="Q4359" s="23" t="n"/>
      <c r="R4359" s="25" t="n"/>
      <c r="S4359" s="26">
        <f>HYPERLINK("http://www.cnpol.ru/covers/19485.jpg","фото на сайте")</f>
        <v/>
      </c>
    </row>
    <row r="4360" ht="50.1" customHeight="1" s="3">
      <c r="A4360" s="23" t="n"/>
      <c r="B4360" s="24" t="inlineStr">
        <is>
          <t>20717</t>
        </is>
      </c>
      <c r="C4360" s="23" t="inlineStr">
        <is>
          <t>РД НОВ</t>
        </is>
      </c>
      <c r="D4360" s="23" t="inlineStr">
        <is>
          <t>Горский А.В</t>
        </is>
      </c>
      <c r="E4360" s="23" t="inlineStr">
        <is>
          <t>Похититель ангелов</t>
        </is>
      </c>
      <c r="F4360" s="23" t="inlineStr">
        <is>
          <t>        </t>
        </is>
      </c>
      <c r="G4360" s="23" t="n">
        <v>186</v>
      </c>
      <c r="H4360" s="23" t="n">
        <v>10</v>
      </c>
      <c r="I4360" s="23" t="n">
        <v>12</v>
      </c>
      <c r="J4360" s="23" t="inlineStr">
        <is>
          <t>978-5-227-09161-1</t>
        </is>
      </c>
      <c r="K4360" s="23" t="inlineStr">
        <is>
          <t>70x90 1/32</t>
        </is>
      </c>
      <c r="L4360" s="23" t="inlineStr">
        <is>
          <t>мяг</t>
        </is>
      </c>
      <c r="M4360" s="23" t="n">
        <v>286</v>
      </c>
      <c r="N4360" s="23" t="n">
        <v>2023</v>
      </c>
      <c r="O4360" s="23" t="n">
        <v>125</v>
      </c>
      <c r="P4360" s="23" t="n"/>
      <c r="Q4360" s="23" t="n"/>
      <c r="R4360" s="25" t="inlineStr">
        <is>
          <t>В разных местах страны происходят похищения детей. Преступник действует предельно продуманно и хладнокровно. Не колеблясь, он убивает ребёнка, если родители не выполняют его требований о месте и условиях выплаты. Органы правопорядка в провинции не в состоянии противостоять похитителю: преступник уходит, не оставляя следствию ни малейшей зацепки. Продуманная им схема отхода с деньгами ни разу не дала сбоя. Материалы передают в Москву, теперь делом о похищении детей предстоит заниматься группе полковника Реваева.</t>
        </is>
      </c>
      <c r="S4360" s="26">
        <f>HYPERLINK("http://www.cnpol.ru/covers/20717.jpg","фото на сайте")</f>
        <v/>
      </c>
    </row>
    <row r="4361" ht="50.1" customHeight="1" s="3">
      <c r="A4361" s="23" t="n"/>
      <c r="B4361" s="24" t="inlineStr">
        <is>
          <t>19552</t>
        </is>
      </c>
      <c r="C4361" s="23" t="inlineStr">
        <is>
          <t>РД НОВ</t>
        </is>
      </c>
      <c r="D4361" s="23" t="inlineStr">
        <is>
          <t>Захаров Д.А</t>
        </is>
      </c>
      <c r="E4361" s="23" t="inlineStr">
        <is>
          <t>Проклятие Немезиды</t>
        </is>
      </c>
      <c r="F4361" s="23" t="inlineStr">
        <is>
          <t>        </t>
        </is>
      </c>
      <c r="G4361" s="23" t="n">
        <v>186</v>
      </c>
      <c r="H4361" s="23" t="n">
        <v>10</v>
      </c>
      <c r="I4361" s="23" t="n">
        <v>12</v>
      </c>
      <c r="J4361" s="23" t="inlineStr">
        <is>
          <t>978-5-227-09224-3</t>
        </is>
      </c>
      <c r="K4361" s="23" t="inlineStr">
        <is>
          <t>70x90 1/32</t>
        </is>
      </c>
      <c r="L4361" s="23" t="inlineStr">
        <is>
          <t>мяг</t>
        </is>
      </c>
      <c r="M4361" s="23" t="n">
        <v>288</v>
      </c>
      <c r="N4361" s="23" t="n">
        <v>2021</v>
      </c>
      <c r="O4361" s="23" t="n">
        <v>122</v>
      </c>
      <c r="P4361" s="23" t="n"/>
      <c r="Q4361" s="23" t="n"/>
      <c r="R4361" s="25" t="n"/>
      <c r="S4361" s="26">
        <f>HYPERLINK("http://www.cnpol.ru/covers/19552.jpg","фото на сайте")</f>
        <v/>
      </c>
    </row>
    <row r="4362" ht="50.1" customHeight="1" s="3">
      <c r="A4362" s="23" t="n"/>
      <c r="B4362" s="24" t="inlineStr">
        <is>
          <t>18837</t>
        </is>
      </c>
      <c r="C4362" s="23" t="inlineStr">
        <is>
          <t>РД НОВ</t>
        </is>
      </c>
      <c r="D4362" s="23" t="inlineStr">
        <is>
          <t>Наст А.Н</t>
        </is>
      </c>
      <c r="E4362" s="23" t="inlineStr">
        <is>
          <t>Распутницы</t>
        </is>
      </c>
      <c r="F4362" s="23" t="inlineStr">
        <is>
          <t>        </t>
        </is>
      </c>
      <c r="G4362" s="23" t="n">
        <v>186</v>
      </c>
      <c r="H4362" s="23" t="n">
        <v>10</v>
      </c>
      <c r="I4362" s="23" t="n">
        <v>40</v>
      </c>
      <c r="J4362" s="23" t="inlineStr">
        <is>
          <t>978-5-227-08709-6</t>
        </is>
      </c>
      <c r="K4362" s="23" t="inlineStr">
        <is>
          <t>70x90 1/32</t>
        </is>
      </c>
      <c r="L4362" s="23" t="inlineStr">
        <is>
          <t>мяг</t>
        </is>
      </c>
      <c r="M4362" s="23" t="n">
        <v>320</v>
      </c>
      <c r="N4362" s="23" t="n">
        <v>2019</v>
      </c>
      <c r="O4362" s="23" t="n">
        <v>134</v>
      </c>
      <c r="P4362" s="23" t="n"/>
      <c r="Q4362" s="23" t="n"/>
      <c r="R4362" s="25" t="n"/>
      <c r="S4362" s="26">
        <f>HYPERLINK("http://www.cnpol.ru/covers/18837.jpg","фото на сайте")</f>
        <v/>
      </c>
    </row>
    <row r="4363" ht="50.1" customHeight="1" s="3">
      <c r="A4363" s="23" t="n"/>
      <c r="B4363" s="24" t="inlineStr">
        <is>
          <t>20168</t>
        </is>
      </c>
      <c r="C4363" s="23" t="inlineStr">
        <is>
          <t>РД НОВ</t>
        </is>
      </c>
      <c r="D4363" s="23" t="inlineStr">
        <is>
          <t>Ковалев В.Н.</t>
        </is>
      </c>
      <c r="E4363" s="23" t="inlineStr">
        <is>
          <t>Русская рулетка</t>
        </is>
      </c>
      <c r="F4363" s="23" t="inlineStr">
        <is>
          <t>        </t>
        </is>
      </c>
      <c r="G4363" s="23" t="n">
        <v>186</v>
      </c>
      <c r="H4363" s="23" t="n">
        <v>10</v>
      </c>
      <c r="I4363" s="23" t="n">
        <v>16</v>
      </c>
      <c r="J4363" s="23" t="inlineStr">
        <is>
          <t>978-5-227-09757-6</t>
        </is>
      </c>
      <c r="K4363" s="23" t="inlineStr">
        <is>
          <t>70x90 1/32</t>
        </is>
      </c>
      <c r="L4363" s="23" t="inlineStr">
        <is>
          <t>мяг</t>
        </is>
      </c>
      <c r="M4363" s="23" t="n">
        <v>317</v>
      </c>
      <c r="N4363" s="23" t="n">
        <v>2022</v>
      </c>
      <c r="O4363" s="23" t="n">
        <v>133</v>
      </c>
      <c r="P4363" s="23" t="n"/>
      <c r="Q4363" s="23" t="n"/>
      <c r="R4363" s="25" t="n"/>
      <c r="S4363" s="26">
        <f>HYPERLINK("http://www.cnpol.ru/covers/20168.jpg","фото на сайте")</f>
        <v/>
      </c>
    </row>
    <row r="4364" ht="50.1" customHeight="1" s="3">
      <c r="A4364" s="23" t="n"/>
      <c r="B4364" s="24" t="inlineStr">
        <is>
          <t>20754</t>
        </is>
      </c>
      <c r="C4364" s="23" t="inlineStr">
        <is>
          <t>РД НОВ</t>
        </is>
      </c>
      <c r="D4364" s="23" t="inlineStr">
        <is>
          <t>Ковалев В.Н.</t>
        </is>
      </c>
      <c r="E4364" s="23" t="inlineStr">
        <is>
          <t>Солдат удачи</t>
        </is>
      </c>
      <c r="F4364" s="23" t="inlineStr">
        <is>
          <t>        </t>
        </is>
      </c>
      <c r="G4364" s="23" t="n">
        <v>186</v>
      </c>
      <c r="H4364" s="23" t="n">
        <v>10</v>
      </c>
      <c r="I4364" s="23" t="n">
        <v>10</v>
      </c>
      <c r="J4364" s="23" t="inlineStr">
        <is>
          <t>978-5-227-10082-5</t>
        </is>
      </c>
      <c r="K4364" s="23" t="inlineStr">
        <is>
          <t>70x90 1/32</t>
        </is>
      </c>
      <c r="L4364" s="23" t="inlineStr">
        <is>
          <t>мяг</t>
        </is>
      </c>
      <c r="M4364" s="23" t="n">
        <v>287</v>
      </c>
      <c r="N4364" s="23" t="n">
        <v>2023</v>
      </c>
      <c r="O4364" s="23" t="n">
        <v>126</v>
      </c>
      <c r="P4364" s="23" t="n"/>
      <c r="Q4364" s="23" t="n"/>
      <c r="R4364" s="25" t="inlineStr">
        <is>
          <t>Круглый сирота и воспитанник детского дома Максим Найденов с раннего детства мечтает стать военным моряком, образ флота овеян для него романтикой приключений и странствий. Преодолевая испытания сиротской жизни, Макс упорно двигается навстречу мечте. Ему приходится узнать, что такое несправедливость и подлость, но он не становится циником и не впадает в отчаяние. На службе во Вьетнаме, на войне в Донбассе, в военных операциях в Сирии и Африке он узнает, что такое настоящее боевое братство, и убеждается в правильности своего жизненного пути. А где-то есть родная душа — женщина, которая не обманет и не предаст…</t>
        </is>
      </c>
      <c r="S4364" s="26">
        <f>HYPERLINK("http://www.cnpol.ru/covers/20754.jpg","фото на сайте")</f>
        <v/>
      </c>
    </row>
    <row r="4365" ht="50.1" customHeight="1" s="3">
      <c r="A4365" s="23" t="n"/>
      <c r="B4365" s="24" t="inlineStr">
        <is>
          <t>19811</t>
        </is>
      </c>
      <c r="C4365" s="23" t="inlineStr">
        <is>
          <t>РД НОВ</t>
        </is>
      </c>
      <c r="D4365" s="23" t="inlineStr">
        <is>
          <t>Волков Е.П</t>
        </is>
      </c>
      <c r="E4365" s="23" t="inlineStr">
        <is>
          <t>Тайна древнего кургана</t>
        </is>
      </c>
      <c r="F4365" s="23" t="inlineStr">
        <is>
          <t>        </t>
        </is>
      </c>
      <c r="G4365" s="23" t="n">
        <v>186</v>
      </c>
      <c r="H4365" s="23" t="n">
        <v>10</v>
      </c>
      <c r="I4365" s="23" t="n">
        <v>11</v>
      </c>
      <c r="J4365" s="23" t="inlineStr">
        <is>
          <t>978-5-227-09573-2</t>
        </is>
      </c>
      <c r="K4365" s="23" t="inlineStr">
        <is>
          <t>70x90 1/32</t>
        </is>
      </c>
      <c r="L4365" s="23" t="inlineStr">
        <is>
          <t>мяг</t>
        </is>
      </c>
      <c r="M4365" s="23" t="n">
        <v>256</v>
      </c>
      <c r="N4365" s="23" t="n">
        <v>2021</v>
      </c>
      <c r="O4365" s="23" t="n">
        <v>110</v>
      </c>
      <c r="P4365" s="23" t="n"/>
      <c r="Q4365" s="23" t="n"/>
      <c r="R4365" s="25" t="n"/>
      <c r="S4365" s="26">
        <f>HYPERLINK("http://www.cnpol.ru/covers/19811.jpg","фото на сайте")</f>
        <v/>
      </c>
    </row>
    <row r="4366" ht="50.1" customHeight="1" s="3">
      <c r="A4366" s="23" t="n"/>
      <c r="B4366" s="24" t="inlineStr">
        <is>
          <t>19344</t>
        </is>
      </c>
      <c r="C4366" s="23" t="inlineStr">
        <is>
          <t>РД НОВ</t>
        </is>
      </c>
      <c r="D4366" s="23" t="inlineStr">
        <is>
          <t>Серков Н.</t>
        </is>
      </c>
      <c r="E4366" s="23" t="inlineStr">
        <is>
          <t>Темные сети</t>
        </is>
      </c>
      <c r="F4366" s="23" t="inlineStr">
        <is>
          <t>        </t>
        </is>
      </c>
      <c r="G4366" s="23" t="n">
        <v>186</v>
      </c>
      <c r="H4366" s="23" t="n">
        <v>10</v>
      </c>
      <c r="I4366" s="23" t="n">
        <v>16</v>
      </c>
      <c r="J4366" s="23" t="inlineStr">
        <is>
          <t>978-5-227-09067-6</t>
        </is>
      </c>
      <c r="K4366" s="23" t="inlineStr">
        <is>
          <t>70x90 1/32</t>
        </is>
      </c>
      <c r="L4366" s="23" t="inlineStr">
        <is>
          <t>мяг</t>
        </is>
      </c>
      <c r="M4366" s="23" t="n">
        <v>288</v>
      </c>
      <c r="N4366" s="23" t="n">
        <v>2020</v>
      </c>
      <c r="O4366" s="23" t="n">
        <v>124</v>
      </c>
      <c r="P4366" s="23" t="n"/>
      <c r="Q4366" s="23" t="n"/>
      <c r="R4366" s="25" t="n"/>
      <c r="S4366" s="26">
        <f>HYPERLINK("http://www.cnpol.ru/covers/19344.jpg","фото на сайте")</f>
        <v/>
      </c>
    </row>
    <row r="4367" ht="50.1" customHeight="1" s="3">
      <c r="A4367" s="23" t="n"/>
      <c r="B4367" s="24" t="inlineStr">
        <is>
          <t>18896</t>
        </is>
      </c>
      <c r="C4367" s="23" t="inlineStr">
        <is>
          <t>РД НОВ</t>
        </is>
      </c>
      <c r="D4367" s="23" t="inlineStr">
        <is>
          <t>Наст А.Н</t>
        </is>
      </c>
      <c r="E4367" s="23" t="inlineStr">
        <is>
          <t>Холодные сердца</t>
        </is>
      </c>
      <c r="F4367" s="23" t="inlineStr">
        <is>
          <t>        </t>
        </is>
      </c>
      <c r="G4367" s="23" t="n">
        <v>186</v>
      </c>
      <c r="H4367" s="23" t="n">
        <v>10</v>
      </c>
      <c r="I4367" s="23" t="n">
        <v>40</v>
      </c>
      <c r="J4367" s="23" t="inlineStr">
        <is>
          <t>978-5-227-08801-7</t>
        </is>
      </c>
      <c r="K4367" s="23" t="inlineStr">
        <is>
          <t>70x90 1/32</t>
        </is>
      </c>
      <c r="L4367" s="23" t="inlineStr">
        <is>
          <t>мяг</t>
        </is>
      </c>
      <c r="M4367" s="23" t="n">
        <v>320</v>
      </c>
      <c r="N4367" s="23" t="n">
        <v>2019</v>
      </c>
      <c r="O4367" s="23" t="n">
        <v>136</v>
      </c>
      <c r="P4367" s="23" t="n"/>
      <c r="Q4367" s="23" t="n"/>
      <c r="R4367" s="25" t="n"/>
      <c r="S4367" s="26">
        <f>HYPERLINK("http://www.cnpol.ru/covers/18896.jpg","фото на сайте")</f>
        <v/>
      </c>
    </row>
    <row r="4368" ht="50.1" customHeight="1" s="3">
      <c r="A4368" s="23" t="n"/>
      <c r="B4368" s="24" t="inlineStr">
        <is>
          <t>19397</t>
        </is>
      </c>
      <c r="C4368" s="23" t="inlineStr">
        <is>
          <t>РД НОВ</t>
        </is>
      </c>
      <c r="D4368" s="23" t="inlineStr">
        <is>
          <t>Козлов И.Т</t>
        </is>
      </c>
      <c r="E4368" s="23" t="inlineStr">
        <is>
          <t>Чужое лицо</t>
        </is>
      </c>
      <c r="F4368" s="23" t="inlineStr">
        <is>
          <t>        </t>
        </is>
      </c>
      <c r="G4368" s="23" t="n">
        <v>186</v>
      </c>
      <c r="H4368" s="23" t="n">
        <v>10</v>
      </c>
      <c r="I4368" s="23" t="n">
        <v>28</v>
      </c>
      <c r="J4368" s="23" t="inlineStr">
        <is>
          <t>978-5-227-09046-1</t>
        </is>
      </c>
      <c r="K4368" s="23" t="inlineStr">
        <is>
          <t>70x90 1/32</t>
        </is>
      </c>
      <c r="L4368" s="23" t="inlineStr">
        <is>
          <t>мяг</t>
        </is>
      </c>
      <c r="M4368" s="23" t="n">
        <v>320</v>
      </c>
      <c r="N4368" s="23" t="n">
        <v>2020</v>
      </c>
      <c r="O4368" s="23" t="n">
        <v>140</v>
      </c>
      <c r="P4368" s="23" t="n"/>
      <c r="Q4368" s="23" t="n"/>
      <c r="R4368" s="25" t="n"/>
      <c r="S4368" s="26">
        <f>HYPERLINK("http://www.cnpol.ru/covers/19397.jpg","фото на сайте")</f>
        <v/>
      </c>
    </row>
    <row r="4369" ht="50.1" customHeight="1" s="3">
      <c r="A4369" s="23" t="n"/>
      <c r="B4369" s="24" t="inlineStr">
        <is>
          <t>20791</t>
        </is>
      </c>
      <c r="C4369" s="23" t="inlineStr">
        <is>
          <t>РД НОВ</t>
        </is>
      </c>
      <c r="D4369" s="23" t="inlineStr">
        <is>
          <t>Захаров Д.А</t>
        </is>
      </c>
      <c r="E4369" s="23" t="inlineStr">
        <is>
          <t>Ящик Пандоры</t>
        </is>
      </c>
      <c r="F4369" s="23" t="inlineStr">
        <is>
          <t>        </t>
        </is>
      </c>
      <c r="G4369" s="23" t="n">
        <v>186</v>
      </c>
      <c r="H4369" s="23" t="n">
        <v>10</v>
      </c>
      <c r="I4369" s="23" t="n">
        <v>10</v>
      </c>
      <c r="J4369" s="23" t="inlineStr">
        <is>
          <t>978-5-227-09821-4</t>
        </is>
      </c>
      <c r="K4369" s="23" t="inlineStr">
        <is>
          <t>70x90 1/32</t>
        </is>
      </c>
      <c r="L4369" s="23" t="inlineStr">
        <is>
          <t>мяг</t>
        </is>
      </c>
      <c r="M4369" s="23" t="n">
        <v>286</v>
      </c>
      <c r="N4369" s="23" t="n">
        <v>2023</v>
      </c>
      <c r="O4369" s="23" t="n">
        <v>123</v>
      </c>
      <c r="P4369" s="23" t="n"/>
      <c r="Q4369" s="23" t="n"/>
      <c r="R4369" s="25" t="inlineStr">
        <is>
          <t>Случайная находка на берегу Балтийского моря дает толчок чудовищной эпидемии, распространяющейся по России со скоростью лесного пожара. Первой жертвой болезни становится Петербург. Скорость заражения и высокая летальность вируса вынуждает власти закрыть город на жесткий карантин. Но это провоцирует рост насилия и беззакония. Предчувствие смерти высвобождает в людях порой не самые благородные чувства… Дочь Сергея Авдеева, бывшего офицера спецслужб, тоже поразил вирус. Знакомый врач сообщает, что в профильном научном институте удалось получить вакцину, но это всего лишь опытный образец, не испытанный, не сертифицированный… Отчаявшийся отец готов ухватиться за самый мизерный шанс спасти дочь. Но ему нужно доставить девушку в институт. А значит — пересечь ночной город, ставший смертельно опасной полосой препятствий…</t>
        </is>
      </c>
      <c r="S4369" s="26">
        <f>HYPERLINK("http://www.cnpol.ru/covers/20791.jpg","фото на сайте")</f>
        <v/>
      </c>
    </row>
    <row r="4370" ht="50.1" customHeight="1" s="3">
      <c r="A4370" s="23" t="n"/>
      <c r="B4370" s="24" t="inlineStr">
        <is>
          <t>4587</t>
        </is>
      </c>
      <c r="C4370" s="23" t="inlineStr">
        <is>
          <t>РИ</t>
        </is>
      </c>
      <c r="D4370" s="23" t="inlineStr">
        <is>
          <t>Голлербах</t>
        </is>
      </c>
      <c r="E4370" s="23" t="inlineStr">
        <is>
          <t>История гравюры и литографии в России</t>
        </is>
      </c>
      <c r="F4370" s="23" t="inlineStr">
        <is>
          <t>        </t>
        </is>
      </c>
      <c r="G4370" s="27" t="n">
        <v>1903</v>
      </c>
      <c r="H4370" s="23" t="n">
        <v>10</v>
      </c>
      <c r="I4370" s="23" t="n">
        <v>6</v>
      </c>
      <c r="J4370" s="23" t="inlineStr">
        <is>
          <t>5-9524-0646-7</t>
        </is>
      </c>
      <c r="K4370" s="23" t="inlineStr">
        <is>
          <t>70x108 1/16</t>
        </is>
      </c>
      <c r="L4370" s="23" t="inlineStr">
        <is>
          <t>тв</t>
        </is>
      </c>
      <c r="M4370" s="23" t="n">
        <v>240</v>
      </c>
      <c r="N4370" s="23" t="n">
        <v>2003</v>
      </c>
      <c r="O4370" s="23" t="n">
        <v>618</v>
      </c>
      <c r="P4370" s="23" t="n"/>
      <c r="Q4370" s="23" t="n"/>
      <c r="R4370" s="25" t="inlineStr">
        <is>
          <t>Книга знакомит с историей зарождения и эволюции русской гравюры и литографии, которые на протяжении трех столетий были самыми доступными и демократичными, наиболее достоверно и полно отражающими историю быта России видами искусства. Автор рассказывает о технике, способах и методах гравирования, развитии различных школ и направлении, выдающихся мастерах и коллекционерах, дает подробное описание гравюр и литографий. Книга будет интересна как начинающим, так и опытным собирателям и ценителям.</t>
        </is>
      </c>
      <c r="S4370" s="26">
        <f>HYPERLINK("http://www.cnpol.ru/covers/4587.jpg","фото на сайте")</f>
        <v/>
      </c>
    </row>
    <row r="4371" ht="50.1" customHeight="1" s="3">
      <c r="A4371" s="23" t="n"/>
      <c r="B4371" s="24" t="inlineStr">
        <is>
          <t>5443</t>
        </is>
      </c>
      <c r="C4371" s="23" t="inlineStr">
        <is>
          <t>РИ</t>
        </is>
      </c>
      <c r="D4371" s="23" t="inlineStr">
        <is>
          <t>Группа</t>
        </is>
      </c>
      <c r="E4371" s="23" t="inlineStr">
        <is>
          <t>Каталог коллекции RUSSICA т.1</t>
        </is>
      </c>
      <c r="F4371" s="23" t="n">
        <v>1</v>
      </c>
      <c r="G4371" s="27" t="n">
        <v>6318</v>
      </c>
      <c r="H4371" s="23" t="n">
        <v>10</v>
      </c>
      <c r="I4371" s="23" t="n">
        <v>2</v>
      </c>
      <c r="J4371" s="23" t="inlineStr">
        <is>
          <t>5-9524-1168-1</t>
        </is>
      </c>
      <c r="K4371" s="23" t="inlineStr">
        <is>
          <t>70х100 1/16</t>
        </is>
      </c>
      <c r="L4371" s="23" t="inlineStr">
        <is>
          <t>тв</t>
        </is>
      </c>
      <c r="M4371" s="23" t="n">
        <v>863</v>
      </c>
      <c r="N4371" s="23" t="n">
        <v>2004</v>
      </c>
      <c r="O4371" s="23" t="n">
        <v>1630</v>
      </c>
      <c r="P4371" s="23" t="n"/>
      <c r="Q4371" s="23" t="n"/>
      <c r="R4371" s="25" t="inlineStr">
        <is>
          <t>Уникальный проект Императорской публичной библиотеки состоял в том, чтобы собрать воедино все опубликованные на иностранных языках книги и документы, содержание которых в той или иной мере касалось России и всех аспектов существования нашего государства._x000D_
Второй том алфавитного каталога, изданного в 1873 году, снабжен четко структурированным предметным указателем ко всему изданию, а также дополнением, в которое включены не вошедшие в основной перечень коллекции "Russica" произведения.</t>
        </is>
      </c>
      <c r="S4371" s="26">
        <f>HYPERLINK("http://www.cnpol.ru/covers/5443.jpg","фото на сайте")</f>
        <v/>
      </c>
    </row>
    <row r="4372" ht="50.1" customHeight="1" s="3">
      <c r="A4372" s="23" t="n"/>
      <c r="B4372" s="24" t="inlineStr">
        <is>
          <t>5444</t>
        </is>
      </c>
      <c r="C4372" s="23" t="inlineStr">
        <is>
          <t>РИ</t>
        </is>
      </c>
      <c r="D4372" s="23" t="inlineStr">
        <is>
          <t>Группа</t>
        </is>
      </c>
      <c r="E4372" s="23" t="inlineStr">
        <is>
          <t>Каталог коллекции RUSSICA т.2</t>
        </is>
      </c>
      <c r="F4372" s="23" t="n">
        <v>2</v>
      </c>
      <c r="G4372" s="27" t="n">
        <v>6318</v>
      </c>
      <c r="H4372" s="23" t="n">
        <v>10</v>
      </c>
      <c r="I4372" s="23" t="n">
        <v>2</v>
      </c>
      <c r="J4372" s="23" t="inlineStr">
        <is>
          <t>5-9524-1169-X</t>
        </is>
      </c>
      <c r="K4372" s="23" t="inlineStr">
        <is>
          <t>70х100 1/16</t>
        </is>
      </c>
      <c r="L4372" s="23" t="inlineStr">
        <is>
          <t>тв</t>
        </is>
      </c>
      <c r="M4372" s="23" t="n">
        <v>778</v>
      </c>
      <c r="N4372" s="23" t="n">
        <v>2004</v>
      </c>
      <c r="O4372" s="23" t="n">
        <v>1310</v>
      </c>
      <c r="P4372" s="23" t="n"/>
      <c r="Q4372" s="23" t="n"/>
      <c r="R4372" s="25" t="inlineStr">
        <is>
          <t>Уникальный проект Императорской публичной библиотеки состоял в том, чтобы собрать воедино все опубликованные на иностранных языках книги и документы, содержание которых в той или иной мере касалось России и всех аспектов существования нашего государства._x000D_
Второй том алфавитного каталога, изданного в 1873 году, снабжен четко структурированным предметным указателем ко всему изданию, а также дополнением, в которое включены не вошедшие в основной перечень коллекции "Russica" произведения.</t>
        </is>
      </c>
      <c r="S4372" s="26">
        <f>HYPERLINK("http://www.cnpol.ru/covers/5444.jpg","фото на сайте")</f>
        <v/>
      </c>
    </row>
    <row r="4373" ht="50.1" customHeight="1" s="3">
      <c r="A4373" s="23" t="n"/>
      <c r="B4373" s="24" t="inlineStr">
        <is>
          <t>4729</t>
        </is>
      </c>
      <c r="C4373" s="23" t="inlineStr">
        <is>
          <t>РИ</t>
        </is>
      </c>
      <c r="D4373" s="23" t="inlineStr">
        <is>
          <t>Обольянинов</t>
        </is>
      </c>
      <c r="E4373" s="23" t="inlineStr">
        <is>
          <t>Каталогъ русскихъ иллюстрированныхъ изданий т.1</t>
        </is>
      </c>
      <c r="F4373" s="23" t="n">
        <v>1</v>
      </c>
      <c r="G4373" s="27" t="n">
        <v>6318</v>
      </c>
      <c r="H4373" s="23" t="n">
        <v>10</v>
      </c>
      <c r="I4373" s="23" t="n">
        <v>2</v>
      </c>
      <c r="J4373" s="23" t="inlineStr">
        <is>
          <t>5-9524-0816-8</t>
        </is>
      </c>
      <c r="K4373" s="23" t="inlineStr">
        <is>
          <t>84x108 1/16</t>
        </is>
      </c>
      <c r="L4373" s="23" t="inlineStr">
        <is>
          <t>тв</t>
        </is>
      </c>
      <c r="M4373" s="23" t="n">
        <v>347</v>
      </c>
      <c r="N4373" s="23" t="n">
        <v>2004</v>
      </c>
      <c r="O4373" s="23" t="n">
        <v>974</v>
      </c>
      <c r="P4373" s="23" t="n"/>
      <c r="Q4373" s="23" t="n"/>
      <c r="R4373" s="25" t="inlineStr">
        <is>
          <t>Самый полный каталог русских иллюстрированных изданий охватывает период с 1725-го по 1860 год. Н. Обольянинов систематизировал и описал редкие книги  и альбомы, большинство из которых существуют в 1-2 экземплярах и являются антикварной ценностью. В двух томах каталога собраны подробные библиографии, приводятся название и описание каждой иллюстрации, сведения об их авторах - художниках, граверах и литографах - для 3200 иллюстрированных изданий и 500 книг с одним портретом. Каталог сопровожден обширным именным указателем, а также указателем художников, граверов и литографов._x000D_
Книга будет интересна библиофилам, искусствоведам и всем истинным ценителям русского искусства. Печатается по изданию 1914 года.</t>
        </is>
      </c>
      <c r="S4373" s="26">
        <f>HYPERLINK("http://www.cnpol.ru/covers/4729.jpg","фото на сайте")</f>
        <v/>
      </c>
    </row>
    <row r="4374" ht="50.1" customHeight="1" s="3">
      <c r="A4374" s="23" t="n"/>
      <c r="B4374" s="24" t="inlineStr">
        <is>
          <t>4730</t>
        </is>
      </c>
      <c r="C4374" s="23" t="inlineStr">
        <is>
          <t>РИ</t>
        </is>
      </c>
      <c r="D4374" s="23" t="inlineStr">
        <is>
          <t>Обольянинов</t>
        </is>
      </c>
      <c r="E4374" s="23" t="inlineStr">
        <is>
          <t>Каталогъ русскихъ иллюстрированныхъ изданий т.2</t>
        </is>
      </c>
      <c r="F4374" s="23" t="n">
        <v>2</v>
      </c>
      <c r="G4374" s="27" t="n">
        <v>6318</v>
      </c>
      <c r="H4374" s="23" t="n">
        <v>10</v>
      </c>
      <c r="I4374" s="23" t="n">
        <v>2</v>
      </c>
      <c r="J4374" s="23" t="inlineStr">
        <is>
          <t>5-9524-0890-7</t>
        </is>
      </c>
      <c r="K4374" s="23" t="inlineStr">
        <is>
          <t>84x108 1/16</t>
        </is>
      </c>
      <c r="L4374" s="23" t="inlineStr">
        <is>
          <t>тв</t>
        </is>
      </c>
      <c r="M4374" s="23" t="n">
        <v>351</v>
      </c>
      <c r="N4374" s="23" t="n">
        <v>2004</v>
      </c>
      <c r="O4374" s="23" t="n">
        <v>974</v>
      </c>
      <c r="P4374" s="23" t="n"/>
      <c r="Q4374" s="23" t="n"/>
      <c r="R4374" s="25" t="inlineStr">
        <is>
          <t>Самый полный каталог русских иллюстрированных изданий охватывает период с 1725-го по 1860 год. Н. Обольянинов систематизировал и описал редкие книги  и альбомы, большинство из которых существуют в 1-2 экземплярах и являются антикварной ценностью. В двух томах каталога собраны подробные библиографии, приводятся название и описание каждой иллюстрации, сведения об их авторах - художниках, граверах и литографах - для 3200 иллюстрированных изданий и 500 книг с одним портретом. Каталог сопровожден обширным именным указателем, а также указателем художников, граверов и литографов._x000D_
Книга будет интересна библиофилам, искусствоведам и всем истинным ценителям русского искусства. Печатается по изданию 1914 года.</t>
        </is>
      </c>
      <c r="S4374" s="26">
        <f>HYPERLINK("http://www.cnpol.ru/covers/4730.jpg","фото на сайте")</f>
        <v/>
      </c>
    </row>
    <row r="4375" ht="50.1" customHeight="1" s="3">
      <c r="A4375" s="23" t="n"/>
      <c r="B4375" s="24" t="inlineStr">
        <is>
          <t>7311</t>
        </is>
      </c>
      <c r="C4375" s="23" t="inlineStr">
        <is>
          <t>РИ</t>
        </is>
      </c>
      <c r="D4375" s="23" t="inlineStr">
        <is>
          <t>Верещагинъ</t>
        </is>
      </c>
      <c r="E4375" s="23" t="inlineStr">
        <is>
          <t>Материалы для библиографии</t>
        </is>
      </c>
      <c r="F4375" s="23" t="inlineStr">
        <is>
          <t>        </t>
        </is>
      </c>
      <c r="G4375" s="27" t="n">
        <v>10526</v>
      </c>
      <c r="H4375" s="23" t="n">
        <v>10</v>
      </c>
      <c r="I4375" s="23" t="n">
        <v>4</v>
      </c>
      <c r="J4375" s="23" t="inlineStr">
        <is>
          <t>5-9524-1194-0</t>
        </is>
      </c>
      <c r="K4375" s="23" t="inlineStr">
        <is>
          <t>70x100 1/8</t>
        </is>
      </c>
      <c r="L4375" s="23" t="inlineStr">
        <is>
          <t>тв</t>
        </is>
      </c>
      <c r="M4375" s="23" t="n">
        <v>328</v>
      </c>
      <c r="N4375" s="23" t="n">
        <v>2007</v>
      </c>
      <c r="O4375" s="23" t="n">
        <v>1450</v>
      </c>
      <c r="P4375" s="23" t="n"/>
      <c r="Q4375" s="23" t="n"/>
      <c r="R4375" s="25" t="n"/>
      <c r="S4375" s="26">
        <f>HYPERLINK("http://www.cnpol.ru/covers/7311.jpg","фото на сайте")</f>
        <v/>
      </c>
    </row>
    <row r="4376" ht="50.1" customHeight="1" s="3">
      <c r="A4376" s="23" t="n"/>
      <c r="B4376" s="24" t="inlineStr">
        <is>
          <t>4203</t>
        </is>
      </c>
      <c r="C4376" s="23" t="inlineStr">
        <is>
          <t>РИ</t>
        </is>
      </c>
      <c r="D4376" s="23" t="inlineStr">
        <is>
          <t>Тевяшов</t>
        </is>
      </c>
      <c r="E4376" s="23" t="inlineStr">
        <is>
          <t>Описание нескольких гравюр и литографий</t>
        </is>
      </c>
      <c r="F4376" s="23" t="inlineStr">
        <is>
          <t>        </t>
        </is>
      </c>
      <c r="G4376" s="27" t="n">
        <v>2739</v>
      </c>
      <c r="H4376" s="23" t="n">
        <v>10</v>
      </c>
      <c r="I4376" s="23" t="n">
        <v>6</v>
      </c>
      <c r="J4376" s="23" t="inlineStr">
        <is>
          <t>5-9524-0501-0</t>
        </is>
      </c>
      <c r="K4376" s="23" t="inlineStr">
        <is>
          <t>84x108 1/16</t>
        </is>
      </c>
      <c r="L4376" s="23" t="inlineStr">
        <is>
          <t>тв</t>
        </is>
      </c>
      <c r="M4376" s="23" t="n">
        <v>240</v>
      </c>
      <c r="N4376" s="23" t="n">
        <v>2003</v>
      </c>
      <c r="O4376" s="23" t="n">
        <v>730</v>
      </c>
      <c r="P4376" s="23" t="n"/>
      <c r="Q4376" s="23" t="n"/>
      <c r="R4376" s="25" t="n"/>
      <c r="S4376" s="26">
        <f>HYPERLINK("http://www.cnpol.ru/covers/4203.jpg","фото на сайте")</f>
        <v/>
      </c>
    </row>
    <row r="4377" ht="50.1" customHeight="1" s="3">
      <c r="A4377" s="23" t="n"/>
      <c r="B4377" s="24" t="inlineStr">
        <is>
          <t>4822</t>
        </is>
      </c>
      <c r="C4377" s="23" t="inlineStr">
        <is>
          <t>РИ</t>
        </is>
      </c>
      <c r="D4377" s="23" t="inlineStr">
        <is>
          <t>Ровинский</t>
        </is>
      </c>
      <c r="E4377" s="23" t="inlineStr">
        <is>
          <t>Подробный словарь русскихъ граверовъ XVI-XIX вв т.1</t>
        </is>
      </c>
      <c r="F4377" s="23" t="n">
        <v>1</v>
      </c>
      <c r="G4377" s="27" t="n">
        <v>10526</v>
      </c>
      <c r="H4377" s="23" t="n">
        <v>10</v>
      </c>
      <c r="I4377" s="23" t="n">
        <v>2</v>
      </c>
      <c r="J4377" s="23" t="inlineStr">
        <is>
          <t>5-9524-0918-0</t>
        </is>
      </c>
      <c r="K4377" s="23" t="inlineStr">
        <is>
          <t>84x108 1/16</t>
        </is>
      </c>
      <c r="L4377" s="23" t="inlineStr">
        <is>
          <t>тв</t>
        </is>
      </c>
      <c r="M4377" s="23" t="n">
        <v>406</v>
      </c>
      <c r="N4377" s="23" t="n">
        <v>2004</v>
      </c>
      <c r="O4377" s="23" t="n">
        <v>1245</v>
      </c>
      <c r="P4377" s="23" t="n"/>
      <c r="Q4377" s="23" t="n"/>
      <c r="R4377" s="25" t="n"/>
      <c r="S4377" s="26">
        <f>HYPERLINK("http://www.cnpol.ru/covers/4822.jpg","фото на сайте")</f>
        <v/>
      </c>
    </row>
    <row r="4378" ht="50.1" customHeight="1" s="3">
      <c r="A4378" s="23" t="n"/>
      <c r="B4378" s="24" t="inlineStr">
        <is>
          <t>4823</t>
        </is>
      </c>
      <c r="C4378" s="23" t="inlineStr">
        <is>
          <t>РИ</t>
        </is>
      </c>
      <c r="D4378" s="23" t="inlineStr">
        <is>
          <t>Ровинский</t>
        </is>
      </c>
      <c r="E4378" s="23" t="inlineStr">
        <is>
          <t>Подробный словарь русскихъ граверовъ XVI-XIX вв т.2</t>
        </is>
      </c>
      <c r="F4378" s="23" t="n">
        <v>2</v>
      </c>
      <c r="G4378" s="27" t="n">
        <v>10526</v>
      </c>
      <c r="H4378" s="23" t="n">
        <v>10</v>
      </c>
      <c r="I4378" s="23" t="n">
        <v>2</v>
      </c>
      <c r="J4378" s="23" t="inlineStr">
        <is>
          <t>5-9524-0919-9</t>
        </is>
      </c>
      <c r="K4378" s="23" t="inlineStr">
        <is>
          <t>84x108 1/16</t>
        </is>
      </c>
      <c r="L4378" s="23" t="inlineStr">
        <is>
          <t>тв</t>
        </is>
      </c>
      <c r="M4378" s="23" t="n">
        <v>403</v>
      </c>
      <c r="N4378" s="23" t="n">
        <v>2004</v>
      </c>
      <c r="O4378" s="23" t="n">
        <v>1255</v>
      </c>
      <c r="P4378" s="23" t="n"/>
      <c r="Q4378" s="23" t="n"/>
      <c r="R4378" s="25" t="n"/>
      <c r="S4378" s="26">
        <f>HYPERLINK("http://www.cnpol.ru/covers/4823.jpg","фото на сайте")</f>
        <v/>
      </c>
    </row>
    <row r="4379" ht="50.1" customHeight="1" s="3">
      <c r="A4379" s="23" t="n"/>
      <c r="B4379" s="24" t="inlineStr">
        <is>
          <t>4204</t>
        </is>
      </c>
      <c r="C4379" s="23" t="inlineStr">
        <is>
          <t>РИ</t>
        </is>
      </c>
      <c r="D4379" s="23" t="inlineStr">
        <is>
          <t>Обольянинов</t>
        </is>
      </c>
      <c r="E4379" s="23" t="inlineStr">
        <is>
          <t>Русские граверы и литографы</t>
        </is>
      </c>
      <c r="F4379" s="23" t="inlineStr">
        <is>
          <t>        </t>
        </is>
      </c>
      <c r="G4379" s="27" t="n">
        <v>2316</v>
      </c>
      <c r="H4379" s="23" t="n">
        <v>10</v>
      </c>
      <c r="I4379" s="23" t="n">
        <v>10</v>
      </c>
      <c r="J4379" s="23" t="inlineStr">
        <is>
          <t>5-9524-0475-8</t>
        </is>
      </c>
      <c r="K4379" s="23" t="inlineStr">
        <is>
          <t>84x108 1/16</t>
        </is>
      </c>
      <c r="L4379" s="23" t="inlineStr">
        <is>
          <t>тв</t>
        </is>
      </c>
      <c r="M4379" s="23" t="n">
        <v>104</v>
      </c>
      <c r="N4379" s="23" t="n">
        <v>2003</v>
      </c>
      <c r="O4379" s="23" t="n">
        <v>416</v>
      </c>
      <c r="P4379" s="23" t="n"/>
      <c r="Q4379" s="23" t="n"/>
      <c r="R4379" s="25" t="n"/>
      <c r="S4379" s="26">
        <f>HYPERLINK("http://www.cnpol.ru/covers/4204.jpg","фото на сайте")</f>
        <v/>
      </c>
    </row>
    <row r="4380" ht="50.1" customHeight="1" s="3">
      <c r="A4380" s="23" t="n"/>
      <c r="B4380" s="24" t="inlineStr">
        <is>
          <t>5670</t>
        </is>
      </c>
      <c r="C4380" s="23" t="inlineStr">
        <is>
          <t>РИ</t>
        </is>
      </c>
      <c r="D4380" s="23" t="inlineStr">
        <is>
          <t>Верещагин</t>
        </is>
      </c>
      <c r="E4380" s="23" t="inlineStr">
        <is>
          <t>Русские иллюстрированные издания XVIII и XIX</t>
        </is>
      </c>
      <c r="F4380" s="23" t="inlineStr">
        <is>
          <t>        </t>
        </is>
      </c>
      <c r="G4380" s="27" t="n">
        <v>4637</v>
      </c>
      <c r="H4380" s="23" t="n">
        <v>10</v>
      </c>
      <c r="I4380" s="23" t="n">
        <v>4</v>
      </c>
      <c r="J4380" s="23" t="inlineStr">
        <is>
          <t>5-9524-1474-5</t>
        </is>
      </c>
      <c r="K4380" s="23" t="inlineStr">
        <is>
          <t>70x108 1/16</t>
        </is>
      </c>
      <c r="L4380" s="23" t="inlineStr">
        <is>
          <t>тв</t>
        </is>
      </c>
      <c r="M4380" s="23" t="n">
        <v>347</v>
      </c>
      <c r="N4380" s="23" t="n">
        <v>2005</v>
      </c>
      <c r="O4380" s="23" t="n">
        <v>812</v>
      </c>
      <c r="P4380" s="23" t="n"/>
      <c r="Q4380" s="23" t="n"/>
      <c r="R4380" s="25" t="n"/>
      <c r="S4380" s="26">
        <f>HYPERLINK("http://www.cnpol.ru/covers/5670.jpg","фото на сайте")</f>
        <v/>
      </c>
    </row>
    <row r="4381" ht="50.1" customHeight="1" s="3">
      <c r="A4381" s="23" t="n"/>
      <c r="B4381" s="24" t="inlineStr">
        <is>
          <t>19866</t>
        </is>
      </c>
      <c r="C4381" s="23" t="inlineStr">
        <is>
          <t>РИ НОВ</t>
        </is>
      </c>
      <c r="D4381" s="23" t="inlineStr">
        <is>
          <t>Березин Н.И.</t>
        </is>
      </c>
      <c r="E4381" s="23" t="inlineStr">
        <is>
          <t>Русские книжные редкости. Опыт библиографического описания редких книг с указанием их ценности</t>
        </is>
      </c>
      <c r="F4381" s="23" t="inlineStr">
        <is>
          <t>        </t>
        </is>
      </c>
      <c r="G4381" s="23" t="n">
        <v>941</v>
      </c>
      <c r="H4381" s="23" t="n">
        <v>10</v>
      </c>
      <c r="I4381" s="23" t="n">
        <v>14</v>
      </c>
      <c r="J4381" s="23" t="inlineStr">
        <is>
          <t>978-5-227-09680-7</t>
        </is>
      </c>
      <c r="K4381" s="23" t="inlineStr">
        <is>
          <t>84x108 1/32</t>
        </is>
      </c>
      <c r="L4381" s="23" t="inlineStr">
        <is>
          <t>тв</t>
        </is>
      </c>
      <c r="M4381" s="23" t="n">
        <v>287</v>
      </c>
      <c r="N4381" s="23" t="n">
        <v>2021</v>
      </c>
      <c r="O4381" s="23" t="n">
        <v>250</v>
      </c>
      <c r="P4381" s="23" t="n"/>
      <c r="Q4381" s="23" t="n"/>
      <c r="R4381" s="25" t="n"/>
      <c r="S4381" s="26">
        <f>HYPERLINK("http://www.cnpol.ru/covers/19866.jpg","фото на сайте")</f>
        <v/>
      </c>
    </row>
    <row r="4382" ht="50.1" customHeight="1" s="3">
      <c r="A4382" s="23" t="n"/>
      <c r="B4382" s="24" t="inlineStr">
        <is>
          <t>6174</t>
        </is>
      </c>
      <c r="C4382" s="23" t="inlineStr">
        <is>
          <t>РИ+</t>
        </is>
      </c>
      <c r="D4382" s="23" t="inlineStr">
        <is>
          <t>Габбер Х.</t>
        </is>
      </c>
      <c r="E4382" s="23" t="inlineStr">
        <is>
          <t>Новая методика обольщения</t>
        </is>
      </c>
      <c r="F4382" s="23" t="inlineStr">
        <is>
          <t>        </t>
        </is>
      </c>
      <c r="G4382" s="23" t="n">
        <v>348</v>
      </c>
      <c r="H4382" s="23" t="n">
        <v>10</v>
      </c>
      <c r="I4382" s="23" t="n">
        <v>14</v>
      </c>
      <c r="J4382" s="23" t="inlineStr">
        <is>
          <t>5-9524-1938-0</t>
        </is>
      </c>
      <c r="K4382" s="23" t="inlineStr">
        <is>
          <t>84x108 1/32</t>
        </is>
      </c>
      <c r="L4382" s="23" t="inlineStr">
        <is>
          <t>полутв.</t>
        </is>
      </c>
      <c r="M4382" s="23" t="n">
        <v>319</v>
      </c>
      <c r="N4382" s="23" t="n">
        <v>2005</v>
      </c>
      <c r="O4382" s="23" t="n">
        <v>232</v>
      </c>
      <c r="P4382" s="23" t="n"/>
      <c r="Q4382" s="23" t="n"/>
      <c r="R4382" s="25" t="n"/>
      <c r="S4382" s="26">
        <f>HYPERLINK("http://www.cnpol.ru/covers/6174.jpg","фото на сайте")</f>
        <v/>
      </c>
    </row>
    <row r="4383" ht="50.1" customHeight="1" s="3">
      <c r="A4383" s="23" t="n"/>
      <c r="B4383" s="24" t="inlineStr">
        <is>
          <t>6208</t>
        </is>
      </c>
      <c r="C4383" s="23" t="inlineStr">
        <is>
          <t>РИ+</t>
        </is>
      </c>
      <c r="D4383" s="23" t="inlineStr">
        <is>
          <t>Гайворонская Е.</t>
        </is>
      </c>
      <c r="E4383" s="23" t="inlineStr">
        <is>
          <t>Пепел звезд</t>
        </is>
      </c>
      <c r="F4383" s="23" t="inlineStr">
        <is>
          <t>        </t>
        </is>
      </c>
      <c r="G4383" s="23" t="n">
        <v>185</v>
      </c>
      <c r="H4383" s="23" t="n">
        <v>10</v>
      </c>
      <c r="I4383" s="23" t="n">
        <v>14</v>
      </c>
      <c r="J4383" s="23" t="inlineStr">
        <is>
          <t>5-9524-1972-0</t>
        </is>
      </c>
      <c r="K4383" s="23" t="inlineStr">
        <is>
          <t>84x108 1/32</t>
        </is>
      </c>
      <c r="L4383" s="23" t="inlineStr">
        <is>
          <t>полутв.</t>
        </is>
      </c>
      <c r="M4383" s="23" t="n">
        <v>366</v>
      </c>
      <c r="N4383" s="23" t="n">
        <v>2005</v>
      </c>
      <c r="O4383" s="23" t="n">
        <v>266</v>
      </c>
      <c r="P4383" s="23" t="n"/>
      <c r="Q4383" s="23" t="n"/>
      <c r="R4383" s="25" t="n"/>
      <c r="S4383" s="26">
        <f>HYPERLINK("http://www.cnpol.ru/covers/6208.jpg","фото на сайте")</f>
        <v/>
      </c>
    </row>
    <row r="4384" ht="50.1" customHeight="1" s="3">
      <c r="A4384" s="23" t="n"/>
      <c r="B4384" s="24" t="inlineStr">
        <is>
          <t>3335</t>
        </is>
      </c>
      <c r="C4384" s="23" t="inlineStr">
        <is>
          <t>РЛС</t>
        </is>
      </c>
      <c r="D4384" s="23" t="inlineStr">
        <is>
          <t>Уокер</t>
        </is>
      </c>
      <c r="E4384" s="23" t="inlineStr">
        <is>
          <t>Доберман пинчер</t>
        </is>
      </c>
      <c r="F4384" s="23" t="inlineStr">
        <is>
          <t>        </t>
        </is>
      </c>
      <c r="G4384" s="23" t="n">
        <v>300</v>
      </c>
      <c r="H4384" s="23" t="n">
        <v>10</v>
      </c>
      <c r="I4384" s="23" t="n">
        <v>12</v>
      </c>
      <c r="J4384" s="23" t="inlineStr">
        <is>
          <t>5-227-01808-1</t>
        </is>
      </c>
      <c r="K4384" s="23" t="inlineStr">
        <is>
          <t>84x108 1/32</t>
        </is>
      </c>
      <c r="L4384" s="23" t="inlineStr">
        <is>
          <t>тв</t>
        </is>
      </c>
      <c r="M4384" s="23" t="n">
        <v>399</v>
      </c>
      <c r="N4384" s="23" t="n">
        <v>2002</v>
      </c>
      <c r="O4384" s="23" t="n">
        <v>330</v>
      </c>
      <c r="P4384" s="23" t="n"/>
      <c r="Q4384" s="23" t="n"/>
      <c r="R4384" s="25" t="inlineStr">
        <is>
          <t>Этот сборник о собаке, происхождение которой так и остается загадкой. Ясно лишь одно - она появилась в Анольде (Германия) благодаря Карлу Фридриху Луису Доберману. Вы узнаете много интересного об этой замечательной служебной собаке и прекрасном спутнике человека, о путях развития породы, ее стандарте, дрессировке и людях, отдавших ей свое сердце и любовь. Доберман не зря популярен во всем мире, ведь он воистину универсален. Пламя, бушующее в его груди, энергия, бьющая через край, любовь к владельцу, не знающая границ, бдительность и недоверие к посторонним - покорили уже не одно человеческое сердце. Этот сборник не может не заинтересовать вас и не задеть струны вашей души...</t>
        </is>
      </c>
      <c r="S4384" s="26">
        <f>HYPERLINK("http://www.cnpol.ru/covers/3335.jpg","фото на сайте")</f>
        <v/>
      </c>
    </row>
    <row r="4385" ht="50.1" customHeight="1" s="3">
      <c r="A4385" s="23" t="inlineStr">
        <is>
          <t>Н</t>
        </is>
      </c>
      <c r="B4385" s="24" t="inlineStr">
        <is>
          <t>21648</t>
        </is>
      </c>
      <c r="C4385" s="23" t="inlineStr">
        <is>
          <t>РЛС</t>
        </is>
      </c>
      <c r="D4385" s="28" t="inlineStr">
        <is>
          <t>Карлсон Д, Гиффин Д, _x000D_
Карлсон Л</t>
        </is>
      </c>
      <c r="E4385" s="23" t="inlineStr">
        <is>
          <t>Домашний ветеринарный справочник для владельцев кошек</t>
        </is>
      </c>
      <c r="F4385" s="23" t="inlineStr">
        <is>
          <t>        </t>
        </is>
      </c>
      <c r="G4385" s="27" t="n">
        <v>1460</v>
      </c>
      <c r="H4385" s="23" t="n">
        <v>10</v>
      </c>
      <c r="I4385" s="23" t="n">
        <v>5</v>
      </c>
      <c r="J4385" s="23" t="inlineStr">
        <is>
          <t>978-5-9524-6194-9</t>
        </is>
      </c>
      <c r="K4385" s="23" t="inlineStr">
        <is>
          <t>84x108 1/32</t>
        </is>
      </c>
      <c r="L4385" s="23" t="inlineStr">
        <is>
          <t>тв</t>
        </is>
      </c>
      <c r="M4385" s="23" t="n">
        <v>574</v>
      </c>
      <c r="N4385" s="23" t="n">
        <v>2025</v>
      </c>
      <c r="O4385" s="23" t="n">
        <v>536</v>
      </c>
      <c r="P4385" s="23" t="n"/>
      <c r="Q4385" s="23" t="n"/>
      <c r="R4385" s="25" t="inlineStr">
        <is>
          <t>В книге описаны наиболее часто встречающиеся заболевания и врожденные пороки развития у кошек, наблюдающиеся от рождения до старости, методы их лечения и профилактики.</t>
        </is>
      </c>
      <c r="S4385" s="26">
        <f>HYPERLINK("http://www.cnpol.ru/covers/21648.jpg","фото на сайте")</f>
        <v/>
      </c>
    </row>
    <row r="4386" ht="50.1" customHeight="1" s="3">
      <c r="A4386" s="23" t="inlineStr">
        <is>
          <t>Н</t>
        </is>
      </c>
      <c r="B4386" s="24" t="inlineStr">
        <is>
          <t>21649</t>
        </is>
      </c>
      <c r="C4386" s="23" t="inlineStr">
        <is>
          <t>РЛС</t>
        </is>
      </c>
      <c r="D4386" s="28" t="inlineStr">
        <is>
          <t>Карлсон Д, Гиффин Д, _x000D_
Карлсон Л</t>
        </is>
      </c>
      <c r="E4386" s="23" t="inlineStr">
        <is>
          <t>Домашний ветеринарный справочник для владельцев собак</t>
        </is>
      </c>
      <c r="F4386" s="23" t="inlineStr">
        <is>
          <t>        </t>
        </is>
      </c>
      <c r="G4386" s="27" t="n">
        <v>1460</v>
      </c>
      <c r="H4386" s="23" t="n">
        <v>10</v>
      </c>
      <c r="I4386" s="23" t="n">
        <v>4</v>
      </c>
      <c r="J4386" s="23" t="inlineStr">
        <is>
          <t>978-5-9524-6195-6</t>
        </is>
      </c>
      <c r="K4386" s="23" t="inlineStr">
        <is>
          <t>84x108 1/32</t>
        </is>
      </c>
      <c r="L4386" s="23" t="inlineStr">
        <is>
          <t>тв</t>
        </is>
      </c>
      <c r="M4386" s="23" t="n">
        <v>571</v>
      </c>
      <c r="N4386" s="23" t="n">
        <v>2025</v>
      </c>
      <c r="O4386" s="23" t="n">
        <v>520</v>
      </c>
      <c r="P4386" s="23" t="n"/>
      <c r="Q4386" s="23" t="n"/>
      <c r="R4386" s="25" t="inlineStr">
        <is>
          <t>В книге отражены наиболее часто встречающиеся заболевания и врожденные пороки развития у собак, наблюдающиеся от рождения до старости, меры их лечения и профилактики._x000D_
Приведено 190 иллюстраций, схем и таблиц. Даны обиходные и международные названия заболеваний, симптомов, синдромов и лекарственных препаратов, которые можно приобрести в аптеках.</t>
        </is>
      </c>
      <c r="S4386" s="26">
        <f>HYPERLINK("http://www.cnpol.ru/covers/21649.jpg","фото на сайте")</f>
        <v/>
      </c>
    </row>
    <row r="4387" ht="50.1" customHeight="1" s="3">
      <c r="A4387" s="23" t="inlineStr">
        <is>
          <t>Д</t>
        </is>
      </c>
      <c r="B4387" s="24" t="inlineStr">
        <is>
          <t>22025</t>
        </is>
      </c>
      <c r="C4387" s="23" t="inlineStr">
        <is>
          <t>РЛС</t>
        </is>
      </c>
      <c r="D4387" s="23" t="inlineStr">
        <is>
          <t>Томас Р.</t>
        </is>
      </c>
      <c r="E4387" s="23" t="inlineStr">
        <is>
          <t>Домашний настольный справочник по дрессировке собак</t>
        </is>
      </c>
      <c r="F4387" s="23" t="inlineStr">
        <is>
          <t>        </t>
        </is>
      </c>
      <c r="G4387" s="23" t="n">
        <v>936</v>
      </c>
      <c r="H4387" s="23" t="n">
        <v>10</v>
      </c>
      <c r="I4387" s="23" t="n">
        <v>10</v>
      </c>
      <c r="J4387" s="23" t="inlineStr">
        <is>
          <t>978-5-227-02383-4</t>
        </is>
      </c>
      <c r="K4387" s="23" t="inlineStr">
        <is>
          <t>84x108 1/32</t>
        </is>
      </c>
      <c r="L4387" s="23" t="inlineStr">
        <is>
          <t>тв</t>
        </is>
      </c>
      <c r="M4387" s="23" t="n">
        <v>285</v>
      </c>
      <c r="N4387" s="23" t="n">
        <v>2010</v>
      </c>
      <c r="O4387" s="23" t="n">
        <v>343</v>
      </c>
      <c r="P4387" s="23" t="n"/>
      <c r="Q4387" s="23" t="n"/>
      <c r="R4387" s="25" t="inlineStr">
        <is>
          <t>Авторы предлагают свою программу дрессировки собак от простого к сложному, включая вспомогательные методы, облегчающие усвоение и закрепление навыков. Описывают трудности, встающие перед дрессировщиком в процессе тренировок. Философский принцип взаимопонимания дрессировщика и собаки, как единой команды, понимание и устранение ошибок, допускаемых с обеих сторон, получение удовлетворения от занятий, стремление постоянно учиться самому и совершенствовать навыки, усвоенные собакой, — цель этого справочника.</t>
        </is>
      </c>
      <c r="S4387" s="26">
        <f>HYPERLINK("http://www.cnpol.ru/covers/22025.jpg","фото на сайте")</f>
        <v/>
      </c>
    </row>
    <row r="4388" ht="50.1" customHeight="1" s="3">
      <c r="A4388" s="23" t="n"/>
      <c r="B4388" s="24" t="inlineStr">
        <is>
          <t>2603</t>
        </is>
      </c>
      <c r="C4388" s="23" t="inlineStr">
        <is>
          <t>РЛС</t>
        </is>
      </c>
      <c r="D4388" s="23" t="inlineStr">
        <is>
          <t>Кип Копач</t>
        </is>
      </c>
      <c r="E4388" s="23" t="inlineStr">
        <is>
          <t>Чау чау</t>
        </is>
      </c>
      <c r="F4388" s="23" t="inlineStr">
        <is>
          <t>        </t>
        </is>
      </c>
      <c r="G4388" s="23" t="n">
        <v>123</v>
      </c>
      <c r="H4388" s="23" t="n">
        <v>10</v>
      </c>
      <c r="I4388" s="23" t="n">
        <v>14</v>
      </c>
      <c r="J4388" s="23" t="inlineStr">
        <is>
          <t>5-227-01238-5</t>
        </is>
      </c>
      <c r="K4388" s="23" t="inlineStr">
        <is>
          <t>84x108 1/32</t>
        </is>
      </c>
      <c r="L4388" s="23" t="inlineStr">
        <is>
          <t>тв</t>
        </is>
      </c>
      <c r="M4388" s="23" t="inlineStr">
        <is>
          <t>    </t>
        </is>
      </c>
      <c r="N4388" s="23" t="inlineStr">
        <is>
          <t>    </t>
        </is>
      </c>
      <c r="O4388" s="23" t="inlineStr">
        <is>
          <t>     </t>
        </is>
      </c>
      <c r="P4388" s="23" t="n"/>
      <c r="Q4388" s="23" t="n"/>
      <c r="R4388" s="25" t="n"/>
      <c r="S4388" s="26">
        <f>HYPERLINK("http://www.cnpol.ru/covers/2603.jpg","фото на сайте")</f>
        <v/>
      </c>
    </row>
    <row r="4389" ht="50.1" customHeight="1" s="3">
      <c r="A4389" s="23" t="n"/>
      <c r="B4389" s="24" t="inlineStr">
        <is>
          <t>4297</t>
        </is>
      </c>
      <c r="C4389" s="23" t="inlineStr">
        <is>
          <t>РЛС</t>
        </is>
      </c>
      <c r="D4389" s="23" t="inlineStr">
        <is>
          <t>Кип Копач</t>
        </is>
      </c>
      <c r="E4389" s="23" t="inlineStr">
        <is>
          <t>Чау чау</t>
        </is>
      </c>
      <c r="F4389" s="23" t="inlineStr">
        <is>
          <t>        </t>
        </is>
      </c>
      <c r="G4389" s="23" t="n">
        <v>300</v>
      </c>
      <c r="H4389" s="23" t="n">
        <v>10</v>
      </c>
      <c r="I4389" s="23" t="n">
        <v>14</v>
      </c>
      <c r="J4389" s="23" t="inlineStr">
        <is>
          <t>5-227-01238-5</t>
        </is>
      </c>
      <c r="K4389" s="23" t="inlineStr">
        <is>
          <t>84x108 1/32</t>
        </is>
      </c>
      <c r="L4389" s="23" t="inlineStr">
        <is>
          <t>тв</t>
        </is>
      </c>
      <c r="M4389" s="23" t="n">
        <v>218</v>
      </c>
      <c r="N4389" s="23" t="n">
        <v>2003</v>
      </c>
      <c r="O4389" s="23" t="n">
        <v>214</v>
      </c>
      <c r="P4389" s="23" t="n"/>
      <c r="Q4389" s="23" t="n"/>
      <c r="R4389" s="25" t="n"/>
      <c r="S4389" s="26">
        <f>HYPERLINK("http://www.cnpol.ru/covers/4297.jpg","фото на сайте")</f>
        <v/>
      </c>
    </row>
    <row r="4390" ht="50.1" customHeight="1" s="3">
      <c r="A4390" s="23" t="n"/>
      <c r="B4390" s="24" t="inlineStr">
        <is>
          <t>10927</t>
        </is>
      </c>
      <c r="C4390" s="23" t="inlineStr">
        <is>
          <t>РМБ</t>
        </is>
      </c>
      <c r="D4390" s="23" t="inlineStr">
        <is>
          <t>Аркес Неус</t>
        </is>
      </c>
      <c r="E4390" s="23" t="inlineStr">
        <is>
          <t>Рыцарь на час, оплата по fakту</t>
        </is>
      </c>
      <c r="F4390" s="23" t="inlineStr">
        <is>
          <t>        </t>
        </is>
      </c>
      <c r="G4390" s="23" t="n">
        <v>508</v>
      </c>
      <c r="H4390" s="23" t="n">
        <v>10</v>
      </c>
      <c r="I4390" s="23" t="n">
        <v>18</v>
      </c>
      <c r="J4390" s="23" t="inlineStr">
        <is>
          <t>978-5-9524-4073-9</t>
        </is>
      </c>
      <c r="K4390" s="23" t="inlineStr">
        <is>
          <t>84x108 1/32</t>
        </is>
      </c>
      <c r="L4390" s="23" t="inlineStr">
        <is>
          <t>тв</t>
        </is>
      </c>
      <c r="M4390" s="23" t="n">
        <v>188</v>
      </c>
      <c r="N4390" s="23" t="n">
        <v>2008</v>
      </c>
      <c r="O4390" s="23" t="n">
        <v>200</v>
      </c>
      <c r="P4390" s="23" t="n"/>
      <c r="Q4390" s="23" t="n"/>
      <c r="R4390" s="25" t="n"/>
      <c r="S4390" s="26">
        <f>HYPERLINK("http://www.cnpol.ru/covers/10927.jpg","фото на сайте")</f>
        <v/>
      </c>
    </row>
    <row r="4391" ht="50.1" customHeight="1" s="3">
      <c r="A4391" s="23" t="n"/>
      <c r="B4391" s="24" t="inlineStr">
        <is>
          <t>10519</t>
        </is>
      </c>
      <c r="C4391" s="23" t="inlineStr">
        <is>
          <t>РМБ</t>
        </is>
      </c>
      <c r="D4391" s="23" t="inlineStr">
        <is>
          <t>Фэллон Д.</t>
        </is>
      </c>
      <c r="E4391" s="23" t="inlineStr">
        <is>
          <t>Ты свободен, милый!</t>
        </is>
      </c>
      <c r="F4391" s="23" t="inlineStr">
        <is>
          <t>        </t>
        </is>
      </c>
      <c r="G4391" s="23" t="n">
        <v>508</v>
      </c>
      <c r="H4391" s="23" t="n">
        <v>10</v>
      </c>
      <c r="I4391" s="23" t="n">
        <v>14</v>
      </c>
      <c r="J4391" s="23" t="inlineStr">
        <is>
          <t>978-5-9524-3717-3</t>
        </is>
      </c>
      <c r="K4391" s="23" t="inlineStr">
        <is>
          <t>84x108 1/32</t>
        </is>
      </c>
      <c r="L4391" s="23" t="inlineStr">
        <is>
          <t>тв</t>
        </is>
      </c>
      <c r="M4391" s="23" t="n">
        <v>382</v>
      </c>
      <c r="N4391" s="23" t="n">
        <v>2008</v>
      </c>
      <c r="O4391" s="23" t="n">
        <v>332</v>
      </c>
      <c r="P4391" s="23" t="n"/>
      <c r="Q4391" s="23" t="n"/>
      <c r="R4391" s="25" t="n"/>
      <c r="S4391" s="26">
        <f>HYPERLINK("http://www.cnpol.ru/covers/10519.jpg","фото на сайте")</f>
        <v/>
      </c>
    </row>
    <row r="4392" ht="50.1" customHeight="1" s="3">
      <c r="A4392" s="23" t="n"/>
      <c r="B4392" s="24" t="inlineStr">
        <is>
          <t>15791</t>
        </is>
      </c>
      <c r="C4392" s="23" t="inlineStr">
        <is>
          <t>РОБЕРТС</t>
        </is>
      </c>
      <c r="D4392" s="23" t="inlineStr">
        <is>
          <t>Робертс Н.</t>
        </is>
      </c>
      <c r="E4392" s="23" t="inlineStr">
        <is>
          <t>Обещание приключений</t>
        </is>
      </c>
      <c r="F4392" s="23" t="inlineStr">
        <is>
          <t>        </t>
        </is>
      </c>
      <c r="G4392" s="23" t="n">
        <v>448</v>
      </c>
      <c r="H4392" s="23" t="n">
        <v>10</v>
      </c>
      <c r="I4392" s="23" t="n">
        <v>16</v>
      </c>
      <c r="J4392" s="23" t="inlineStr">
        <is>
          <t>978-5-227-05707-5</t>
        </is>
      </c>
      <c r="K4392" s="23" t="inlineStr">
        <is>
          <t>82x100 1/32</t>
        </is>
      </c>
      <c r="L4392" s="23" t="inlineStr">
        <is>
          <t>тв</t>
        </is>
      </c>
      <c r="M4392" s="23" t="n">
        <v>251</v>
      </c>
      <c r="N4392" s="23" t="n">
        <v>2015</v>
      </c>
      <c r="O4392" s="23" t="n">
        <v>194</v>
      </c>
      <c r="P4392" s="23" t="n"/>
      <c r="Q4392" s="23" t="n"/>
      <c r="R4392" s="25" t="n"/>
      <c r="S4392" s="26">
        <f>HYPERLINK("http://www.cnpol.ru/covers/15791.jpg","фото на сайте")</f>
        <v/>
      </c>
    </row>
    <row r="4393" ht="50.1" customHeight="1" s="3">
      <c r="A4393" s="23" t="n"/>
      <c r="B4393" s="24" t="inlineStr">
        <is>
          <t>15135</t>
        </is>
      </c>
      <c r="C4393" s="23" t="inlineStr">
        <is>
          <t>РОБЕРТС</t>
        </is>
      </c>
      <c r="D4393" s="23" t="inlineStr">
        <is>
          <t>Робертс Н.</t>
        </is>
      </c>
      <c r="E4393" s="23" t="inlineStr">
        <is>
          <t>Одно лето</t>
        </is>
      </c>
      <c r="F4393" s="23" t="inlineStr">
        <is>
          <t>        </t>
        </is>
      </c>
      <c r="G4393" s="23" t="n">
        <v>448</v>
      </c>
      <c r="H4393" s="23" t="n">
        <v>10</v>
      </c>
      <c r="I4393" s="23" t="n">
        <v>16</v>
      </c>
      <c r="J4393" s="23" t="inlineStr">
        <is>
          <t>978-5-227-04995-7</t>
        </is>
      </c>
      <c r="K4393" s="23" t="inlineStr">
        <is>
          <t>82x100 1/32</t>
        </is>
      </c>
      <c r="L4393" s="23" t="inlineStr">
        <is>
          <t>тв</t>
        </is>
      </c>
      <c r="M4393" s="23" t="n">
        <v>251</v>
      </c>
      <c r="N4393" s="23" t="n">
        <v>2014</v>
      </c>
      <c r="O4393" s="23" t="n">
        <v>198</v>
      </c>
      <c r="P4393" s="23" t="n"/>
      <c r="Q4393" s="23" t="n"/>
      <c r="R4393" s="25" t="n"/>
      <c r="S4393" s="26">
        <f>HYPERLINK("http://www.cnpol.ru/covers/15135.jpg","фото на сайте")</f>
        <v/>
      </c>
    </row>
    <row r="4394" ht="50.1" customHeight="1" s="3">
      <c r="A4394" s="23" t="n"/>
      <c r="B4394" s="24" t="inlineStr">
        <is>
          <t>12068</t>
        </is>
      </c>
      <c r="C4394" s="23" t="inlineStr">
        <is>
          <t>РП</t>
        </is>
      </c>
      <c r="D4394" s="23" t="inlineStr">
        <is>
          <t>Свияш</t>
        </is>
      </c>
      <c r="E4394" s="23" t="inlineStr">
        <is>
          <t>Что вам мешает быть богатым</t>
        </is>
      </c>
      <c r="F4394" s="23" t="inlineStr">
        <is>
          <t>        </t>
        </is>
      </c>
      <c r="G4394" s="23" t="n">
        <v>177</v>
      </c>
      <c r="H4394" s="23" t="n">
        <v>10</v>
      </c>
      <c r="I4394" s="23" t="n">
        <v>20</v>
      </c>
      <c r="J4394" s="23" t="inlineStr">
        <is>
          <t>978-5-9524-4932-9</t>
        </is>
      </c>
      <c r="K4394" s="23" t="inlineStr">
        <is>
          <t>84x108 1/32 (обл)</t>
        </is>
      </c>
      <c r="L4394" s="23" t="inlineStr">
        <is>
          <t>мяг</t>
        </is>
      </c>
      <c r="M4394" s="23" t="n">
        <v>282</v>
      </c>
      <c r="N4394" s="23" t="n">
        <v>2010</v>
      </c>
      <c r="O4394" s="23" t="n">
        <v>176</v>
      </c>
      <c r="P4394" s="23" t="n"/>
      <c r="Q4394" s="23" t="n"/>
      <c r="R4394" s="25" t="n"/>
      <c r="S4394" s="26">
        <f>HYPERLINK("http://www.cnpol.ru/covers/12068.jpg","фото на сайте")</f>
        <v/>
      </c>
    </row>
    <row r="4395" ht="50.1" customHeight="1" s="3">
      <c r="A4395" s="23" t="n"/>
      <c r="B4395" s="24" t="inlineStr">
        <is>
          <t>10232</t>
        </is>
      </c>
      <c r="C4395" s="23" t="inlineStr">
        <is>
          <t>РП С CD</t>
        </is>
      </c>
      <c r="D4395" s="23" t="inlineStr">
        <is>
          <t>Куликова</t>
        </is>
      </c>
      <c r="E4395" s="23" t="inlineStr">
        <is>
          <t>Заставьте время работать на вас с СD</t>
        </is>
      </c>
      <c r="F4395" s="23" t="inlineStr">
        <is>
          <t>        </t>
        </is>
      </c>
      <c r="G4395" s="23" t="n">
        <v>408</v>
      </c>
      <c r="H4395" s="23" t="n">
        <v>22</v>
      </c>
      <c r="I4395" s="23" t="n">
        <v>20</v>
      </c>
      <c r="J4395" s="23" t="inlineStr">
        <is>
          <t>978-5-9524-3402-8</t>
        </is>
      </c>
      <c r="K4395" s="23" t="inlineStr">
        <is>
          <t>84x108 1/32</t>
        </is>
      </c>
      <c r="L4395" s="23" t="inlineStr">
        <is>
          <t>тв</t>
        </is>
      </c>
      <c r="M4395" s="23" t="n">
        <v>192</v>
      </c>
      <c r="N4395" s="23" t="n">
        <v>2008</v>
      </c>
      <c r="O4395" s="23" t="n">
        <v>226</v>
      </c>
      <c r="P4395" s="23" t="n"/>
      <c r="Q4395" s="23" t="n"/>
      <c r="R4395" s="25" t="inlineStr">
        <is>
          <t>Эпоха информации и вечной неистовой гонки за материальным благополучием выдвигает на первый план проблему катастрофической нехватки времени. Чем больше работы мы стараемся выполнить, тем меньше в этом преуспеваем. Список дел растет в геометрической прогрессии, стол завален бумагами, в ящике электронной почты осталось несколько десятков сообщений в раковине гора немытой посуды... Знакома ли вам такая ситуация? Если ответ утвердительный, значит, эта книга для вас. Она поможет вам выяснить, куда уходит ваше драгоценное время, и научиться эффективно им управлять. Освоив искусство тайм-менеджмента, вы удивитесь своей способности все и везде успевать. _x000D_
На прилагаемом к изданию диске представлены два упражнения, которые помогут вам освободиться от отрицательных эмоций, гармонизировать внутреннюю энергию, восстановить жизненные силы.</t>
        </is>
      </c>
      <c r="S4395" s="26">
        <f>HYPERLINK("http://www.cnpol.ru/covers/10232.jpg","фото на сайте")</f>
        <v/>
      </c>
    </row>
    <row r="4396" ht="50.1" customHeight="1" s="3">
      <c r="A4396" s="23" t="n"/>
      <c r="B4396" s="24" t="inlineStr">
        <is>
          <t>10019</t>
        </is>
      </c>
      <c r="C4396" s="23" t="inlineStr">
        <is>
          <t>РП С CD</t>
        </is>
      </c>
      <c r="D4396" s="23" t="inlineStr">
        <is>
          <t>Тарасов</t>
        </is>
      </c>
      <c r="E4396" s="23" t="inlineStr">
        <is>
          <t>Самые интимные комплексы с CD</t>
        </is>
      </c>
      <c r="F4396" s="23" t="inlineStr">
        <is>
          <t>        </t>
        </is>
      </c>
      <c r="G4396" s="23" t="n">
        <v>408</v>
      </c>
      <c r="H4396" s="23" t="n">
        <v>22</v>
      </c>
      <c r="I4396" s="23" t="n">
        <v>16</v>
      </c>
      <c r="J4396" s="23" t="inlineStr">
        <is>
          <t>978-5-9524-3159-1</t>
        </is>
      </c>
      <c r="K4396" s="23" t="inlineStr">
        <is>
          <t>84x108 1/32</t>
        </is>
      </c>
      <c r="L4396" s="23" t="inlineStr">
        <is>
          <t>тв</t>
        </is>
      </c>
      <c r="M4396" s="23" t="n">
        <v>271</v>
      </c>
      <c r="N4396" s="23" t="n">
        <v>2008</v>
      </c>
      <c r="O4396" s="23" t="n">
        <v>278</v>
      </c>
      <c r="P4396" s="23" t="n"/>
      <c r="Q4396" s="23" t="n"/>
      <c r="R4396" s="25" t="n"/>
      <c r="S4396" s="26">
        <f>HYPERLINK("http://www.cnpol.ru/covers/10019.jpg","фото на сайте")</f>
        <v/>
      </c>
    </row>
    <row r="4397" ht="50.1" customHeight="1" s="3">
      <c r="A4397" s="23" t="n"/>
      <c r="B4397" s="24" t="inlineStr">
        <is>
          <t>12354</t>
        </is>
      </c>
      <c r="C4397" s="23" t="inlineStr">
        <is>
          <t>РТ М</t>
        </is>
      </c>
      <c r="D4397" s="23" t="inlineStr">
        <is>
          <t>Коуэн Д.</t>
        </is>
      </c>
      <c r="E4397" s="23" t="inlineStr">
        <is>
          <t>Любовник под подозрением</t>
        </is>
      </c>
      <c r="F4397" s="23" t="inlineStr">
        <is>
          <t>        </t>
        </is>
      </c>
      <c r="G4397" s="23" t="n">
        <v>97</v>
      </c>
      <c r="H4397" s="23" t="n">
        <v>10</v>
      </c>
      <c r="I4397" s="23" t="n">
        <v>40</v>
      </c>
      <c r="J4397" s="23" t="inlineStr">
        <is>
          <t>978-5-227-02512-8</t>
        </is>
      </c>
      <c r="K4397" s="23" t="inlineStr">
        <is>
          <t>70x90 1/32</t>
        </is>
      </c>
      <c r="L4397" s="23" t="inlineStr">
        <is>
          <t>мяг</t>
        </is>
      </c>
      <c r="M4397" s="23" t="n">
        <v>254</v>
      </c>
      <c r="N4397" s="23" t="n">
        <v>2010</v>
      </c>
      <c r="O4397" s="23" t="n">
        <v>108</v>
      </c>
      <c r="P4397" s="23" t="n"/>
      <c r="Q4397" s="23" t="n"/>
      <c r="R4397" s="25" t="inlineStr">
        <is>
          <t>Джен Лоунсон - агенту службы безопасности - поручено вычислить преступника, совершившего серию жестоких убийств. познакомившись с главным подозреваемым по делу - Уокером Маклейном, - она забывает о том, что эмоции не идут на пользу работе и нескольких неудачных попытках обрести личное счастье. Для Уокера же она - первая женщина, которая смогла отвлечь его от воспоминаний о трагической гибели жены..._x000D_
Понимая, что Маклейн не причастен к преступлению, Джен пытается найти доказательства его невиновности и выйти на след настоящего убийцы. Но простит ли ей Маклейн, ведь он слишком поздно узнал, кем она является на самом деле...</t>
        </is>
      </c>
      <c r="S4397" s="26">
        <f>HYPERLINK("http://www.cnpol.ru/covers/12354.jpg","фото на сайте")</f>
        <v/>
      </c>
    </row>
    <row r="4398" ht="50.1" customHeight="1" s="3">
      <c r="A4398" s="23" t="n"/>
      <c r="B4398" s="24" t="inlineStr">
        <is>
          <t>12602</t>
        </is>
      </c>
      <c r="C4398" s="23" t="inlineStr">
        <is>
          <t>РТ М</t>
        </is>
      </c>
      <c r="D4398" s="23" t="inlineStr">
        <is>
          <t>Паппано М.</t>
        </is>
      </c>
      <c r="E4398" s="23" t="inlineStr">
        <is>
          <t>Преступный выбор</t>
        </is>
      </c>
      <c r="F4398" s="23" t="inlineStr">
        <is>
          <t>        </t>
        </is>
      </c>
      <c r="G4398" s="23" t="n">
        <v>97</v>
      </c>
      <c r="H4398" s="23" t="n">
        <v>10</v>
      </c>
      <c r="I4398" s="23" t="n">
        <v>30</v>
      </c>
      <c r="J4398" s="23" t="inlineStr">
        <is>
          <t>978-5-227-02734-4</t>
        </is>
      </c>
      <c r="K4398" s="23" t="inlineStr">
        <is>
          <t>70x90 1/32</t>
        </is>
      </c>
      <c r="L4398" s="23" t="inlineStr">
        <is>
          <t>мяг</t>
        </is>
      </c>
      <c r="M4398" s="23" t="n">
        <v>254</v>
      </c>
      <c r="N4398" s="23" t="n">
        <v>2011</v>
      </c>
      <c r="O4398" s="23" t="n">
        <v>114</v>
      </c>
      <c r="P4398" s="23" t="n"/>
      <c r="Q4398" s="23" t="n"/>
      <c r="R4398" s="25" t="n"/>
      <c r="S4398" s="26">
        <f>HYPERLINK("http://www.cnpol.ru/covers/12602.jpg","фото на сайте")</f>
        <v/>
      </c>
    </row>
    <row r="4399" ht="50.1" customHeight="1" s="3">
      <c r="A4399" s="23" t="n"/>
      <c r="B4399" s="24" t="inlineStr">
        <is>
          <t>7847</t>
        </is>
      </c>
      <c r="C4399" s="23" t="inlineStr">
        <is>
          <t>РУБЛЕВКА</t>
        </is>
      </c>
      <c r="D4399" s="23" t="inlineStr">
        <is>
          <t>Солей Н.</t>
        </is>
      </c>
      <c r="E4399" s="23" t="inlineStr">
        <is>
          <t>Nечто или Рублевский Pops art</t>
        </is>
      </c>
      <c r="F4399" s="23" t="inlineStr">
        <is>
          <t>        </t>
        </is>
      </c>
      <c r="G4399" s="23" t="n">
        <v>554</v>
      </c>
      <c r="H4399" s="23" t="n">
        <v>10</v>
      </c>
      <c r="I4399" s="23" t="n">
        <v>12</v>
      </c>
      <c r="J4399" s="23" t="inlineStr">
        <is>
          <t>978-5-9524-2801-0</t>
        </is>
      </c>
      <c r="K4399" s="23" t="inlineStr">
        <is>
          <t>84х90 1/32</t>
        </is>
      </c>
      <c r="L4399" s="23" t="inlineStr">
        <is>
          <t>тв</t>
        </is>
      </c>
      <c r="M4399" s="23" t="n">
        <v>301</v>
      </c>
      <c r="N4399" s="23" t="n">
        <v>2008</v>
      </c>
      <c r="O4399" s="23" t="n">
        <v>276</v>
      </c>
      <c r="P4399" s="23" t="n"/>
      <c r="Q4399" s="23" t="n"/>
      <c r="R4399" s="25" t="inlineStr">
        <is>
          <t>Модный мэтр живописи, галантный Микис Самсонов имеет все: славу, шикарный особняк, раболепие преданных женщин, любовь прессы. Но однажды под вечер в апартаменты Самсонова ворвалась странная женщина из его прошлого. Она грозила пистолетом, наделала много шуму, оконфузилась и ретировалась. Но на этом инцидент не был исчерпан, даму нашли убитой...</t>
        </is>
      </c>
      <c r="S4399" s="26">
        <f>HYPERLINK("http://www.cnpol.ru/covers/7847.jpg","фото на сайте")</f>
        <v/>
      </c>
    </row>
    <row r="4400" ht="50.1" customHeight="1" s="3">
      <c r="A4400" s="23" t="n"/>
      <c r="B4400" s="24" t="inlineStr">
        <is>
          <t>7496</t>
        </is>
      </c>
      <c r="C4400" s="23" t="inlineStr">
        <is>
          <t>РУБЛЕВКА</t>
        </is>
      </c>
      <c r="D4400" s="23" t="inlineStr">
        <is>
          <t>Огородникова Т.</t>
        </is>
      </c>
      <c r="E4400" s="23" t="inlineStr">
        <is>
          <t>Брачный контракт или ступени к доверию</t>
        </is>
      </c>
      <c r="F4400" s="23" t="inlineStr">
        <is>
          <t>        </t>
        </is>
      </c>
      <c r="G4400" s="23" t="n">
        <v>468</v>
      </c>
      <c r="H4400" s="23" t="n">
        <v>10</v>
      </c>
      <c r="I4400" s="23" t="n">
        <v>10</v>
      </c>
      <c r="J4400" s="23" t="inlineStr">
        <is>
          <t>5-9524-2281-0</t>
        </is>
      </c>
      <c r="K4400" s="23" t="inlineStr">
        <is>
          <t>84х90 1/32</t>
        </is>
      </c>
      <c r="L4400" s="23" t="inlineStr">
        <is>
          <t>тв</t>
        </is>
      </c>
      <c r="M4400" s="23" t="n">
        <v>303</v>
      </c>
      <c r="N4400" s="23" t="n">
        <v>2008</v>
      </c>
      <c r="O4400" s="23" t="n">
        <v>288</v>
      </c>
      <c r="P4400" s="23" t="n"/>
      <c r="Q4400" s="23" t="n"/>
      <c r="R4400" s="25" t="inlineStr">
        <is>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is>
      </c>
      <c r="S4400" s="26">
        <f>HYPERLINK("http://www.cnpol.ru/covers/7496.jpg","фото на сайте")</f>
        <v/>
      </c>
    </row>
    <row r="4401" ht="50.1" customHeight="1" s="3">
      <c r="A4401" s="23" t="n"/>
      <c r="B4401" s="24" t="inlineStr">
        <is>
          <t>7396</t>
        </is>
      </c>
      <c r="C4401" s="23" t="inlineStr">
        <is>
          <t>РУБЛЕВКА</t>
        </is>
      </c>
      <c r="D4401" s="23" t="inlineStr">
        <is>
          <t>Огородникова Т.</t>
        </is>
      </c>
      <c r="E4401" s="23" t="inlineStr">
        <is>
          <t>Брачный контракт или ступени к доверию</t>
        </is>
      </c>
      <c r="F4401" s="23" t="inlineStr">
        <is>
          <t>        </t>
        </is>
      </c>
      <c r="G4401" s="23" t="n">
        <v>438</v>
      </c>
      <c r="H4401" s="23" t="n">
        <v>10</v>
      </c>
      <c r="I4401" s="23" t="n">
        <v>10</v>
      </c>
      <c r="J4401" s="23" t="inlineStr">
        <is>
          <t>5-9524-2281-0</t>
        </is>
      </c>
      <c r="K4401" s="23" t="inlineStr">
        <is>
          <t>84x108 1/32</t>
        </is>
      </c>
      <c r="L4401" s="23" t="inlineStr">
        <is>
          <t>тв</t>
        </is>
      </c>
      <c r="M4401" s="23" t="n">
        <v>303</v>
      </c>
      <c r="N4401" s="23" t="n">
        <v>2008</v>
      </c>
      <c r="O4401" s="23" t="n">
        <v>288</v>
      </c>
      <c r="P4401" s="23" t="n"/>
      <c r="Q4401" s="23" t="n"/>
      <c r="R4401" s="25" t="inlineStr">
        <is>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is>
      </c>
      <c r="S4401" s="26">
        <f>HYPERLINK("http://www.cnpol.ru/covers/7396.jpg","фото на сайте")</f>
        <v/>
      </c>
    </row>
    <row r="4402" ht="50.1" customHeight="1" s="3">
      <c r="A4402" s="23" t="n"/>
      <c r="B4402" s="24" t="inlineStr">
        <is>
          <t>7211</t>
        </is>
      </c>
      <c r="C4402" s="23" t="inlineStr">
        <is>
          <t>РУБЛЕВКА</t>
        </is>
      </c>
      <c r="D4402" s="23" t="inlineStr">
        <is>
          <t>Огородникова Т.</t>
        </is>
      </c>
      <c r="E4402" s="23" t="inlineStr">
        <is>
          <t>Брачный контракт или ступени к доверию</t>
        </is>
      </c>
      <c r="F4402" s="23" t="inlineStr">
        <is>
          <t>        </t>
        </is>
      </c>
      <c r="G4402" s="23" t="n">
        <v>468</v>
      </c>
      <c r="H4402" s="23" t="n">
        <v>10</v>
      </c>
      <c r="I4402" s="23" t="n">
        <v>10</v>
      </c>
      <c r="J4402" s="23" t="inlineStr">
        <is>
          <t>5-9524-2281-0</t>
        </is>
      </c>
      <c r="K4402" s="23" t="inlineStr">
        <is>
          <t>84х90 1/32</t>
        </is>
      </c>
      <c r="L4402" s="23" t="inlineStr">
        <is>
          <t>тв</t>
        </is>
      </c>
      <c r="M4402" s="23" t="n">
        <v>303</v>
      </c>
      <c r="N4402" s="23" t="n">
        <v>2007</v>
      </c>
      <c r="O4402" s="23" t="n">
        <v>294</v>
      </c>
      <c r="P4402" s="23" t="n"/>
      <c r="Q4402" s="23" t="n"/>
      <c r="R4402" s="25" t="inlineStr">
        <is>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is>
      </c>
      <c r="S4402" s="26">
        <f>HYPERLINK("http://www.cnpol.ru/covers/7211.jpg","фото на сайте")</f>
        <v/>
      </c>
    </row>
    <row r="4403" ht="50.1" customHeight="1" s="3">
      <c r="A4403" s="23" t="n"/>
      <c r="B4403" s="24" t="inlineStr">
        <is>
          <t>7264</t>
        </is>
      </c>
      <c r="C4403" s="23" t="inlineStr">
        <is>
          <t>РУБЛЕВКА</t>
        </is>
      </c>
      <c r="D4403" s="23" t="inlineStr">
        <is>
          <t>Огородникова Т.</t>
        </is>
      </c>
      <c r="E4403" s="23" t="inlineStr">
        <is>
          <t>Брачный контракт или ступени к доверию</t>
        </is>
      </c>
      <c r="F4403" s="23" t="inlineStr">
        <is>
          <t>        </t>
        </is>
      </c>
      <c r="G4403" s="23" t="n">
        <v>468</v>
      </c>
      <c r="H4403" s="23" t="n">
        <v>10</v>
      </c>
      <c r="I4403" s="23" t="n">
        <v>10</v>
      </c>
      <c r="J4403" s="23" t="inlineStr">
        <is>
          <t>5-9524-2281-0</t>
        </is>
      </c>
      <c r="K4403" s="23" t="inlineStr">
        <is>
          <t>84x108 1/32</t>
        </is>
      </c>
      <c r="L4403" s="23" t="inlineStr">
        <is>
          <t>тв</t>
        </is>
      </c>
      <c r="M4403" s="23" t="n">
        <v>303</v>
      </c>
      <c r="N4403" s="23" t="n">
        <v>2007</v>
      </c>
      <c r="O4403" s="23" t="n">
        <v>288</v>
      </c>
      <c r="P4403" s="23" t="n"/>
      <c r="Q4403" s="23" t="n"/>
      <c r="R4403" s="25" t="inlineStr">
        <is>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is>
      </c>
      <c r="S4403" s="26">
        <f>HYPERLINK("http://www.cnpol.ru/covers/7264.jpg","фото на сайте")</f>
        <v/>
      </c>
    </row>
    <row r="4404" ht="50.1" customHeight="1" s="3">
      <c r="A4404" s="23" t="n"/>
      <c r="B4404" s="24" t="inlineStr">
        <is>
          <t>10122</t>
        </is>
      </c>
      <c r="C4404" s="23" t="inlineStr">
        <is>
          <t>РУБЛЕВКА</t>
        </is>
      </c>
      <c r="D4404" s="23" t="inlineStr">
        <is>
          <t>Огородникова Т.</t>
        </is>
      </c>
      <c r="E4404" s="23" t="inlineStr">
        <is>
          <t>Брачный экстрим или школа "Челси"</t>
        </is>
      </c>
      <c r="F4404" s="23" t="inlineStr">
        <is>
          <t>        </t>
        </is>
      </c>
      <c r="G4404" s="23" t="n">
        <v>468</v>
      </c>
      <c r="H4404" s="23" t="n">
        <v>10</v>
      </c>
      <c r="I4404" s="23" t="n">
        <v>12</v>
      </c>
      <c r="J4404" s="23" t="inlineStr">
        <is>
          <t>978-5-9524-3313-7</t>
        </is>
      </c>
      <c r="K4404" s="23" t="inlineStr">
        <is>
          <t>84х90 1/32</t>
        </is>
      </c>
      <c r="L4404" s="23" t="inlineStr">
        <is>
          <t>тв</t>
        </is>
      </c>
      <c r="M4404" s="23" t="n">
        <v>303</v>
      </c>
      <c r="N4404" s="23" t="n">
        <v>2008</v>
      </c>
      <c r="O4404" s="23" t="n">
        <v>282</v>
      </c>
      <c r="P4404" s="23" t="n"/>
      <c r="Q4404" s="23" t="n"/>
      <c r="R4404" s="25" t="inlineStr">
        <is>
          <t>Звезда светских хроник, самая стильная персона бомонда столицы, модная писательница Татьяна Огородникова смело обнажает изнанку блестящего глянца светской элиты. Все девушки мечтают выйти замуж за олигарха! Их грезы - бриллианты, яхты и модные бутики. Кто осуществит их желания? Акулы бизнеса! Только они могут, не задумываясь, проглотить зазевавшегося конкурента, но зачастую и сами являются объектами охоты.</t>
        </is>
      </c>
      <c r="S4404" s="26">
        <f>HYPERLINK("http://www.cnpol.ru/covers/10122.jpg","фото на сайте")</f>
        <v/>
      </c>
    </row>
    <row r="4405" ht="50.1" customHeight="1" s="3">
      <c r="A4405" s="23" t="n"/>
      <c r="B4405" s="24" t="inlineStr">
        <is>
          <t>10097</t>
        </is>
      </c>
      <c r="C4405" s="23" t="inlineStr">
        <is>
          <t>РУБЛЕВКА</t>
        </is>
      </c>
      <c r="D4405" s="23" t="inlineStr">
        <is>
          <t>Солей Н.</t>
        </is>
      </c>
      <c r="E4405" s="23" t="inlineStr">
        <is>
          <t>Рублевский Казанова</t>
        </is>
      </c>
      <c r="F4405" s="23" t="inlineStr">
        <is>
          <t>        </t>
        </is>
      </c>
      <c r="G4405" s="23" t="n">
        <v>554</v>
      </c>
      <c r="H4405" s="23" t="n">
        <v>10</v>
      </c>
      <c r="I4405" s="23" t="n">
        <v>12</v>
      </c>
      <c r="J4405" s="23" t="inlineStr">
        <is>
          <t>978-5-9524-3261-1</t>
        </is>
      </c>
      <c r="K4405" s="23" t="inlineStr">
        <is>
          <t>84х90 1/32</t>
        </is>
      </c>
      <c r="L4405" s="23" t="inlineStr">
        <is>
          <t>тв</t>
        </is>
      </c>
      <c r="M4405" s="23" t="n">
        <v>334</v>
      </c>
      <c r="N4405" s="23" t="n">
        <v>2008</v>
      </c>
      <c r="O4405" s="23" t="n">
        <v>294</v>
      </c>
      <c r="P4405" s="23" t="n"/>
      <c r="Q4405" s="23" t="n"/>
      <c r="R4405" s="25" t="n"/>
      <c r="S4405" s="26">
        <f>HYPERLINK("http://www.cnpol.ru/covers/10097.jpg","фото на сайте")</f>
        <v/>
      </c>
    </row>
    <row r="4406" ht="50.1" customHeight="1" s="3">
      <c r="A4406" s="23" t="n"/>
      <c r="B4406" s="24" t="inlineStr">
        <is>
          <t>7686</t>
        </is>
      </c>
      <c r="C4406" s="23" t="inlineStr">
        <is>
          <t>РУБЛЕВКА</t>
        </is>
      </c>
      <c r="D4406" s="23" t="inlineStr">
        <is>
          <t>Огородникова Т.</t>
        </is>
      </c>
      <c r="E4406" s="23" t="inlineStr">
        <is>
          <t>Топ 10 или мужчина моей мечты</t>
        </is>
      </c>
      <c r="F4406" s="23" t="inlineStr">
        <is>
          <t>        </t>
        </is>
      </c>
      <c r="G4406" s="23" t="n">
        <v>468</v>
      </c>
      <c r="H4406" s="23" t="n">
        <v>10</v>
      </c>
      <c r="I4406" s="23" t="n">
        <v>10</v>
      </c>
      <c r="J4406" s="23" t="inlineStr">
        <is>
          <t>978-5-9524-2639-9</t>
        </is>
      </c>
      <c r="K4406" s="23" t="inlineStr">
        <is>
          <t>84х90 1/32</t>
        </is>
      </c>
      <c r="L4406" s="23" t="inlineStr">
        <is>
          <t>тв</t>
        </is>
      </c>
      <c r="M4406" s="23" t="n">
        <v>319</v>
      </c>
      <c r="N4406" s="23" t="n">
        <v>2008</v>
      </c>
      <c r="O4406" s="23" t="n">
        <v>290</v>
      </c>
      <c r="P4406" s="23" t="n"/>
      <c r="Q4406" s="23" t="n"/>
      <c r="R4406" s="25" t="n"/>
      <c r="S4406" s="26">
        <f>HYPERLINK("http://www.cnpol.ru/covers/7686.jpg","фото на сайте")</f>
        <v/>
      </c>
    </row>
    <row r="4407" ht="50.1" customHeight="1" s="3">
      <c r="A4407" s="23" t="n"/>
      <c r="B4407" s="24" t="inlineStr">
        <is>
          <t>7778</t>
        </is>
      </c>
      <c r="C4407" s="23" t="inlineStr">
        <is>
          <t>РУБЛЕВКА</t>
        </is>
      </c>
      <c r="D4407" s="23" t="inlineStr">
        <is>
          <t>Огородникова Т.</t>
        </is>
      </c>
      <c r="E4407" s="23" t="inlineStr">
        <is>
          <t>Топ 10 или мужчина моей мечты</t>
        </is>
      </c>
      <c r="F4407" s="23" t="inlineStr">
        <is>
          <t>        </t>
        </is>
      </c>
      <c r="G4407" s="23" t="n">
        <v>468</v>
      </c>
      <c r="H4407" s="23" t="n">
        <v>10</v>
      </c>
      <c r="I4407" s="23" t="n">
        <v>12</v>
      </c>
      <c r="J4407" s="23" t="inlineStr">
        <is>
          <t>978-5-9524-2639-9</t>
        </is>
      </c>
      <c r="K4407" s="23" t="inlineStr">
        <is>
          <t>84х90 1/32</t>
        </is>
      </c>
      <c r="L4407" s="23" t="inlineStr">
        <is>
          <t>тв</t>
        </is>
      </c>
      <c r="M4407" s="23" t="n">
        <v>319</v>
      </c>
      <c r="N4407" s="23" t="n">
        <v>2008</v>
      </c>
      <c r="O4407" s="23" t="n">
        <v>290</v>
      </c>
      <c r="P4407" s="23" t="n"/>
      <c r="Q4407" s="23" t="n"/>
      <c r="R4407" s="25" t="n"/>
      <c r="S4407" s="26">
        <f>HYPERLINK("http://www.cnpol.ru/covers/7778.jpg","фото на сайте")</f>
        <v/>
      </c>
    </row>
    <row r="4408" ht="50.1" customHeight="1" s="3">
      <c r="A4408" s="23" t="n"/>
      <c r="B4408" s="24" t="inlineStr">
        <is>
          <t>20789</t>
        </is>
      </c>
      <c r="C4408" s="23" t="inlineStr">
        <is>
          <t>С/С ЗАДОРНОВ</t>
        </is>
      </c>
      <c r="D4408" s="23" t="inlineStr">
        <is>
          <t>Задорнов М.Н.</t>
        </is>
      </c>
      <c r="E4408" s="23" t="inlineStr">
        <is>
          <t>Вся правда о любви. Собрание сочинений.Том 7</t>
        </is>
      </c>
      <c r="F4408" s="23" t="n">
        <v>7</v>
      </c>
      <c r="G4408" s="23" t="n">
        <v>941</v>
      </c>
      <c r="H4408" s="23" t="n">
        <v>10</v>
      </c>
      <c r="I4408" s="23" t="n">
        <v>10</v>
      </c>
      <c r="J4408" s="23" t="inlineStr">
        <is>
          <t>978-5-227-10420-5</t>
        </is>
      </c>
      <c r="K4408" s="23" t="inlineStr">
        <is>
          <t>84x108 1/32</t>
        </is>
      </c>
      <c r="L4408" s="23" t="inlineStr">
        <is>
          <t>тв</t>
        </is>
      </c>
      <c r="M4408" s="23" t="n">
        <v>479</v>
      </c>
      <c r="N4408" s="23" t="n">
        <v>2023</v>
      </c>
      <c r="O4408" s="23" t="n">
        <v>516</v>
      </c>
      <c r="P4408" s="23" t="n"/>
      <c r="Q4408" s="23" t="n"/>
      <c r="R4408" s="25" t="inlineStr">
        <is>
          <t>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крылатыми._x000D_
Впервые читателям предоставляется уникальная возможность приобрести собрание сочинений этого удивительного человека. В седьмой том вошли пьесы, повести, а также афоризмы, наблюдения и забавные изречения.</t>
        </is>
      </c>
      <c r="S4408" s="26">
        <f>HYPERLINK("http://www.cnpol.ru/covers/20789.jpg","фото на сайте")</f>
        <v/>
      </c>
    </row>
    <row r="4409" ht="50.1" customHeight="1" s="3">
      <c r="A4409" s="23" t="n"/>
      <c r="B4409" s="24" t="inlineStr">
        <is>
          <t>20694</t>
        </is>
      </c>
      <c r="C4409" s="23" t="inlineStr">
        <is>
          <t>С/С ЗАДОРНОВ</t>
        </is>
      </c>
      <c r="D4409" s="23" t="inlineStr">
        <is>
          <t>Задорнов М.Н.</t>
        </is>
      </c>
      <c r="E4409" s="23" t="inlineStr">
        <is>
          <t>Загадки русской истории. Собрание сочинений. Том 5.</t>
        </is>
      </c>
      <c r="F4409" s="23" t="n">
        <v>5</v>
      </c>
      <c r="G4409" s="23" t="n">
        <v>846</v>
      </c>
      <c r="H4409" s="23" t="n">
        <v>10</v>
      </c>
      <c r="I4409" s="23" t="n">
        <v>12</v>
      </c>
      <c r="J4409" s="23" t="inlineStr">
        <is>
          <t>978-5-227-10384-0</t>
        </is>
      </c>
      <c r="K4409" s="23" t="inlineStr">
        <is>
          <t>84x108 1/32</t>
        </is>
      </c>
      <c r="L4409" s="23" t="inlineStr">
        <is>
          <t>тв, супер</t>
        </is>
      </c>
      <c r="M4409" s="23" t="n">
        <v>287</v>
      </c>
      <c r="N4409" s="23" t="n">
        <v>2023</v>
      </c>
      <c r="O4409" s="23" t="n">
        <v>280</v>
      </c>
      <c r="P4409" s="23" t="n"/>
      <c r="Q4409" s="23" t="n"/>
      <c r="R4409" s="25" t="inlineStr">
        <is>
          <t>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крылатыми._x000D_
Впервые читателям предоставляется уникальная возможность приобрести собрание сочинений этого удивительного человека. Пятый том раскрывает читателям авторский взгляд на древнерусскую историю, созвучный взглядам историков, не принявших норманскую теорию. Также здесь собраны тексты интервью с Михаилом Николаевичем об истории и его отце, писателе Николае Задорнове. Пьеса «Амур-батюшка» публикуется впервые.</t>
        </is>
      </c>
      <c r="S4409" s="26">
        <f>HYPERLINK("http://www.cnpol.ru/covers/20694.jpg","фото на сайте")</f>
        <v/>
      </c>
    </row>
    <row r="4410" ht="50.1" customHeight="1" s="3">
      <c r="A4410" s="23" t="n"/>
      <c r="B4410" s="24" t="inlineStr">
        <is>
          <t>20790</t>
        </is>
      </c>
      <c r="C4410" s="23" t="inlineStr">
        <is>
          <t>С/С ЗАДОРНОВ</t>
        </is>
      </c>
      <c r="D4410" s="23" t="inlineStr">
        <is>
          <t>Задорнов М.Н.</t>
        </is>
      </c>
      <c r="E4410" s="23" t="inlineStr">
        <is>
          <t>На злобу дня. Собрание сочинений. Том 8</t>
        </is>
      </c>
      <c r="F4410" s="23" t="n">
        <v>8</v>
      </c>
      <c r="G4410" s="23" t="n">
        <v>849</v>
      </c>
      <c r="H4410" s="23" t="n">
        <v>10</v>
      </c>
      <c r="I4410" s="23" t="n">
        <v>10</v>
      </c>
      <c r="J4410" s="23" t="inlineStr">
        <is>
          <t>978-5-227-10483-0</t>
        </is>
      </c>
      <c r="K4410" s="23" t="inlineStr">
        <is>
          <t>84x108 1/32</t>
        </is>
      </c>
      <c r="L4410" s="23" t="inlineStr">
        <is>
          <t>тв</t>
        </is>
      </c>
      <c r="M4410" s="23" t="n">
        <v>351</v>
      </c>
      <c r="N4410" s="23" t="n">
        <v>2023</v>
      </c>
      <c r="O4410" s="23" t="n">
        <v>407</v>
      </c>
      <c r="P4410" s="23" t="n"/>
      <c r="Q4410" s="23" t="n"/>
      <c r="R4410" s="25" t="inlineStr">
        <is>
          <t>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крылатыми._x000D_
Впервые читателям предоставляется уникальная возможность приобрести собрание сочинений этого удивительного человека. В восьмой том вошли тексты, публиковавшиеся в «Живом журнале» Михаила Николаевича, а также в многочисленных периодических изданиях. Это острый, смелый и быстрый отклик на события, происходившие в мире.</t>
        </is>
      </c>
      <c r="S4410" s="26">
        <f>HYPERLINK("http://www.cnpol.ru/covers/20790.jpg","фото на сайте")</f>
        <v/>
      </c>
    </row>
    <row r="4411" ht="50.1" customHeight="1" s="3">
      <c r="A4411" s="23" t="n"/>
      <c r="B4411" s="24" t="inlineStr">
        <is>
          <t>20626</t>
        </is>
      </c>
      <c r="C4411" s="23" t="inlineStr">
        <is>
          <t>С/С ЗАДОРНОВ</t>
        </is>
      </c>
      <c r="D4411" s="23" t="inlineStr">
        <is>
          <t>Задорнов М.Н.</t>
        </is>
      </c>
      <c r="E4411" s="23" t="inlineStr">
        <is>
          <t>По родной планете. Задорные путешествия. Собрание сочинений.Том 4</t>
        </is>
      </c>
      <c r="F4411" s="23" t="n">
        <v>4</v>
      </c>
      <c r="G4411" s="23" t="n">
        <v>846</v>
      </c>
      <c r="H4411" s="23" t="n">
        <v>10</v>
      </c>
      <c r="I4411" s="23" t="n">
        <v>12</v>
      </c>
      <c r="J4411" s="23" t="inlineStr">
        <is>
          <t>978-5-227-10239-3</t>
        </is>
      </c>
      <c r="K4411" s="23" t="inlineStr">
        <is>
          <t>84x108 1/32</t>
        </is>
      </c>
      <c r="L4411" s="23" t="inlineStr">
        <is>
          <t>тв, супер</t>
        </is>
      </c>
      <c r="M4411" s="23" t="n">
        <v>287</v>
      </c>
      <c r="N4411" s="23" t="n">
        <v>2023</v>
      </c>
      <c r="O4411" s="23" t="n">
        <v>340</v>
      </c>
      <c r="P4411" s="23" t="n"/>
      <c r="Q4411" s="23" t="n"/>
      <c r="R4411" s="25" t="inlineStr">
        <is>
          <t>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крылатыми._x000D_
Впервые читателям предоставляется уникальная возможность приобрести собрание сочинений этого удивительного человека. В четвёртый том вошли очерки автора о самых интересных местах нашей планеты, написанные с 1990­х по 2010­е годы.</t>
        </is>
      </c>
      <c r="S4411" s="26">
        <f>HYPERLINK("http://www.cnpol.ru/covers/20626.jpg","фото на сайте")</f>
        <v/>
      </c>
    </row>
    <row r="4412" ht="50.1" customHeight="1" s="3">
      <c r="A4412" s="23" t="n"/>
      <c r="B4412" s="24" t="inlineStr">
        <is>
          <t>20566</t>
        </is>
      </c>
      <c r="C4412" s="23" t="inlineStr">
        <is>
          <t>С/С ЗАДОРНОВ</t>
        </is>
      </c>
      <c r="D4412" s="23" t="inlineStr">
        <is>
          <t>Задорнов М.Н.</t>
        </is>
      </c>
      <c r="E4412" s="23" t="inlineStr">
        <is>
          <t>По родной России. Задорные путешествия. Собрание сочинений. Том 3</t>
        </is>
      </c>
      <c r="F4412" s="23" t="n">
        <v>3</v>
      </c>
      <c r="G4412" s="23" t="n">
        <v>846</v>
      </c>
      <c r="H4412" s="23" t="n">
        <v>10</v>
      </c>
      <c r="I4412" s="23" t="n">
        <v>14</v>
      </c>
      <c r="J4412" s="23" t="inlineStr">
        <is>
          <t>978-5-227-10236-2</t>
        </is>
      </c>
      <c r="K4412" s="23" t="inlineStr">
        <is>
          <t>84x108 1/32</t>
        </is>
      </c>
      <c r="L4412" s="23" t="inlineStr">
        <is>
          <t>тв, супер</t>
        </is>
      </c>
      <c r="M4412" s="23" t="n">
        <v>255</v>
      </c>
      <c r="N4412" s="23" t="n">
        <v>2023</v>
      </c>
      <c r="O4412" s="23" t="n">
        <v>250</v>
      </c>
      <c r="P4412" s="23" t="n"/>
      <c r="Q4412" s="23" t="n"/>
      <c r="R4412" s="25" t="inlineStr">
        <is>
          <t>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крылатыми._x000D_
Впервые читателям предоставляется уникальная возможность приобрести собрание сочинений этого удивительного человека. В третий том вошли не только современные очерки автора об удивительных местах России, но и его юношеское творчество 1970-х годов. Повесть «Курильские острова» публикуется впервые.</t>
        </is>
      </c>
      <c r="S4412" s="26">
        <f>HYPERLINK("http://www.cnpol.ru/covers/20566.jpg","фото на сайте")</f>
        <v/>
      </c>
    </row>
    <row r="4413" ht="50.1" customHeight="1" s="3">
      <c r="A4413" s="23" t="n"/>
      <c r="B4413" s="24" t="inlineStr">
        <is>
          <t>20936</t>
        </is>
      </c>
      <c r="C4413" s="23" t="inlineStr">
        <is>
          <t>С/С ЗАДОРНОВ</t>
        </is>
      </c>
      <c r="D4413" s="23" t="inlineStr">
        <is>
          <t>Задорнов М.Н.</t>
        </is>
      </c>
      <c r="E4413" s="23" t="inlineStr">
        <is>
          <t>Родом из СССР. Собрание сочинений. Том 1.</t>
        </is>
      </c>
      <c r="F4413" s="23" t="n">
        <v>1</v>
      </c>
      <c r="G4413" s="23" t="n">
        <v>846</v>
      </c>
      <c r="H4413" s="23" t="n">
        <v>10</v>
      </c>
      <c r="I4413" s="23" t="n">
        <v>18</v>
      </c>
      <c r="J4413" s="23" t="inlineStr">
        <is>
          <t>978-5-227-10555-4</t>
        </is>
      </c>
      <c r="K4413" s="23" t="inlineStr">
        <is>
          <t>84x108 1/32</t>
        </is>
      </c>
      <c r="L4413" s="23" t="inlineStr">
        <is>
          <t>тв, супер</t>
        </is>
      </c>
      <c r="M4413" s="23" t="n">
        <v>287</v>
      </c>
      <c r="N4413" s="23" t="n">
        <v>2024</v>
      </c>
      <c r="O4413" s="23" t="n">
        <v>280</v>
      </c>
      <c r="P4413" s="23" t="n"/>
      <c r="Q4413" s="23" t="n"/>
      <c r="R4413" s="25" t="inlineStr">
        <is>
          <t>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крылатыми._x000D__x000D_
Впервые читателям предоставляется уникальная возможность приобрести собрание сочинений этого удивительного человека. В первый том вошли рассказы, монологи, миниатюры, фельетоны  и пьеса, начиная с самого раннего творчества.</t>
        </is>
      </c>
      <c r="S4413" s="26">
        <f>HYPERLINK("http://www.cnpol.ru/covers/20936.jpg","фото на сайте")</f>
        <v/>
      </c>
    </row>
    <row r="4414" ht="50.1" customHeight="1" s="3">
      <c r="A4414" s="23" t="inlineStr">
        <is>
          <t>Д</t>
        </is>
      </c>
      <c r="B4414" s="24" t="inlineStr">
        <is>
          <t>21381</t>
        </is>
      </c>
      <c r="C4414" s="23" t="inlineStr">
        <is>
          <t>С/С ЗАДОРНОВ</t>
        </is>
      </c>
      <c r="D4414" s="23" t="inlineStr">
        <is>
          <t>Задорнов М.Н.</t>
        </is>
      </c>
      <c r="E4414" s="23" t="inlineStr">
        <is>
          <t>Смех в конце тоннеля. Собрание сочинений. Том 2.</t>
        </is>
      </c>
      <c r="F4414" s="23" t="n">
        <v>2</v>
      </c>
      <c r="G4414" s="23" t="n">
        <v>899</v>
      </c>
      <c r="H4414" s="23" t="n">
        <v>10</v>
      </c>
      <c r="I4414" s="23" t="n">
        <v>18</v>
      </c>
      <c r="J4414" s="23" t="inlineStr">
        <is>
          <t>978-5-227-10831-9</t>
        </is>
      </c>
      <c r="K4414" s="23" t="inlineStr">
        <is>
          <t>84x108 1/32</t>
        </is>
      </c>
      <c r="L4414" s="23" t="inlineStr">
        <is>
          <t>тв, супер</t>
        </is>
      </c>
      <c r="M4414" s="23" t="n">
        <v>287</v>
      </c>
      <c r="N4414" s="23" t="n">
        <v>2024</v>
      </c>
      <c r="O4414" s="23" t="n">
        <v>344</v>
      </c>
      <c r="P4414" s="23" t="n"/>
      <c r="Q4414" s="23" t="n"/>
      <c r="R4414" s="25" t="inlineStr">
        <is>
          <t>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крылатыми._x000D_
Впервые читателям предоставляется уникальная возможность приобрести собрание сочинений этого удивительного человека. Во второй том вошли рассказы, монологи, миниатюры, фельетоны и забавные истории конца 1980­х — начала 2000­х годов.</t>
        </is>
      </c>
      <c r="S4414" s="26">
        <f>HYPERLINK("http://www.cnpol.ru/covers/21381.jpg","фото на сайте")</f>
        <v/>
      </c>
    </row>
    <row r="4415" ht="50.1" customHeight="1" s="3">
      <c r="A4415" s="23" t="n"/>
      <c r="B4415" s="24" t="inlineStr">
        <is>
          <t>20749</t>
        </is>
      </c>
      <c r="C4415" s="23" t="inlineStr">
        <is>
          <t>С/С ЗАДОРНОВ</t>
        </is>
      </c>
      <c r="D4415" s="23" t="inlineStr">
        <is>
          <t>Задорнов М.Н.</t>
        </is>
      </c>
      <c r="E4415" s="23" t="inlineStr">
        <is>
          <t>Фантазии на тему… Собрание сочинений. Том 6.</t>
        </is>
      </c>
      <c r="F4415" s="23" t="n">
        <v>6</v>
      </c>
      <c r="G4415" s="23" t="n">
        <v>846</v>
      </c>
      <c r="H4415" s="23" t="n">
        <v>10</v>
      </c>
      <c r="I4415" s="23" t="n">
        <v>12</v>
      </c>
      <c r="J4415" s="23" t="inlineStr">
        <is>
          <t>978-5-227-10387-1</t>
        </is>
      </c>
      <c r="K4415" s="23" t="inlineStr">
        <is>
          <t>84x108 1/32</t>
        </is>
      </c>
      <c r="L4415" s="23" t="inlineStr">
        <is>
          <t>тв, супер</t>
        </is>
      </c>
      <c r="M4415" s="23" t="n">
        <v>287</v>
      </c>
      <c r="N4415" s="23" t="n">
        <v>2023</v>
      </c>
      <c r="O4415" s="23" t="n">
        <v>349</v>
      </c>
      <c r="P4415" s="23" t="n"/>
      <c r="Q4415" s="23" t="n"/>
      <c r="R4415" s="25" t="inlineStr">
        <is>
          <t>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крылатыми._x000D_
Впервые читателям предоставляется уникальная возможность приобрести собрание сочинений этого удивительного человека. В шестой том вошли работы, посвящённые значению чисел, букв, сказок и родственных связей. Также здесь опубликованы избранные пародии, афоризмы, наблюдения и забавные изречения, как «отпочковавшиеся» от основного творчества, так и подсмотренные в жизни.</t>
        </is>
      </c>
      <c r="S4415" s="26">
        <f>HYPERLINK("http://www.cnpol.ru/covers/20749.jpg","фото на сайте")</f>
        <v/>
      </c>
    </row>
    <row r="4416" ht="50.1" customHeight="1" s="3">
      <c r="A4416" s="23" t="inlineStr">
        <is>
          <t>Д</t>
        </is>
      </c>
      <c r="B4416" s="24" t="inlineStr">
        <is>
          <t>22290</t>
        </is>
      </c>
      <c r="C4416" s="23" t="inlineStr">
        <is>
          <t>САГИ</t>
        </is>
      </c>
      <c r="D4416" s="23" t="inlineStr">
        <is>
          <t>Иноуэ Я.</t>
        </is>
      </c>
      <c r="E4416" s="23" t="inlineStr">
        <is>
          <t>Хозяйка замка Ёдо</t>
        </is>
      </c>
      <c r="F4416" s="23" t="inlineStr">
        <is>
          <t>        </t>
        </is>
      </c>
      <c r="G4416" s="27" t="n">
        <v>1112</v>
      </c>
      <c r="H4416" s="23" t="n">
        <v>10</v>
      </c>
      <c r="I4416" s="23" t="n">
        <v>8</v>
      </c>
      <c r="J4416" s="23" t="inlineStr">
        <is>
          <t>978-5-9524-6744-6</t>
        </is>
      </c>
      <c r="K4416" s="23" t="inlineStr">
        <is>
          <t>84x108 1/32</t>
        </is>
      </c>
      <c r="L4416" s="23" t="inlineStr">
        <is>
          <t>тв</t>
        </is>
      </c>
      <c r="M4416" s="23" t="n">
        <v>367</v>
      </c>
      <c r="N4416" s="23" t="n">
        <v>2025</v>
      </c>
      <c r="O4416" s="23" t="n">
        <v>410</v>
      </c>
      <c r="P4416" s="23" t="n"/>
      <c r="Q4416" s="23" t="n"/>
      <c r="R4416" s="25" t="inlineStr">
        <is>
          <t>Роман знаменитого японского писателя Ясуси Иноуэ (1907—1991) посвящен реальным событиям одного из самых ярких и драматических периодов японской истории. Подходит к концу XVI век. Полководец Нобунага Ода ведет борьбу за объединение разрозненных княжеств в централизованное государство, ему на смену приходит Хидэёси Тоётоми и достигает вершин власти, а после его смерти наступает черед Иэясу Токугавы — основателя новой династии сёгунов. В разгар междоусобных войн, на фоне пылающих замков, под шум кровопролитных сражений взрослеет, постигает понятия чести и долга княжна Тятя, дочь Нагамасы Асаи и племянница Нобунаги Оды. Ей предстоит стать наложницей злейшего врага клана Асаи — тайко Хидэёси, родить ему наследника, воспитать отважного воина и проводить его в последний путь на развалинах пылающего Осакского замка.</t>
        </is>
      </c>
      <c r="S4416" s="26">
        <f>HYPERLINK("http://www.cnpol.ru/covers/22290.jpg","фото на сайте")</f>
        <v/>
      </c>
    </row>
    <row r="4417" ht="50.1" customHeight="1" s="3">
      <c r="A4417" s="23" t="n"/>
      <c r="B4417" s="24" t="inlineStr">
        <is>
          <t>4658</t>
        </is>
      </c>
      <c r="C4417" s="23" t="inlineStr">
        <is>
          <t>САД</t>
        </is>
      </c>
      <c r="D4417" s="23" t="inlineStr">
        <is>
          <t>Тавлинова</t>
        </is>
      </c>
      <c r="E4417" s="23" t="inlineStr">
        <is>
          <t>Бархатцы сорта выращивание и уход</t>
        </is>
      </c>
      <c r="F4417" s="23" t="inlineStr">
        <is>
          <t>        </t>
        </is>
      </c>
      <c r="G4417" s="23" t="n">
        <v>115</v>
      </c>
      <c r="H4417" s="23" t="n">
        <v>10</v>
      </c>
      <c r="I4417" s="23" t="n">
        <v>40</v>
      </c>
      <c r="J4417" s="23" t="inlineStr">
        <is>
          <t>5-9524-0883-4</t>
        </is>
      </c>
      <c r="K4417" s="23" t="inlineStr">
        <is>
          <t>84x108 1/32 (обл)</t>
        </is>
      </c>
      <c r="L4417" s="23" t="inlineStr">
        <is>
          <t>мяг</t>
        </is>
      </c>
      <c r="M4417" s="23" t="n">
        <v>111</v>
      </c>
      <c r="N4417" s="23" t="n">
        <v>2004</v>
      </c>
      <c r="O4417" s="23" t="n">
        <v>72</v>
      </c>
      <c r="P4417" s="23" t="n"/>
      <c r="Q4417" s="23" t="n"/>
      <c r="R4417" s="25" t="inlineStr">
        <is>
          <t>Эти яркие солнечные цветы обязательно выращивают в каждом саду. Их любят за неприхотливость, огромное разнообразие сортов, отличающихся окраской, формой соцветий, величиной кустов, а главное, за продолжительное (до заморозков) цветение. Как вырастить эти цветы, украсить ими сад и жилище, а также создать из них живые и сухие зимние букеты и композиции, рассказано в этой книге.</t>
        </is>
      </c>
      <c r="S4417" s="26">
        <f>HYPERLINK("http://www.cnpol.ru/covers/4658.jpg","фото на сайте")</f>
        <v/>
      </c>
    </row>
    <row r="4418" ht="50.1" customHeight="1" s="3">
      <c r="A4418" s="23" t="n"/>
      <c r="B4418" s="24" t="inlineStr">
        <is>
          <t>10266</t>
        </is>
      </c>
      <c r="C4418" s="23" t="inlineStr">
        <is>
          <t>САД</t>
        </is>
      </c>
      <c r="D4418" s="23" t="inlineStr">
        <is>
          <t>Масленников</t>
        </is>
      </c>
      <c r="E4418" s="23" t="inlineStr">
        <is>
          <t>Огород на подоконнике</t>
        </is>
      </c>
      <c r="F4418" s="23" t="inlineStr">
        <is>
          <t>        </t>
        </is>
      </c>
      <c r="G4418" s="23" t="n">
        <v>150</v>
      </c>
      <c r="H4418" s="23" t="n">
        <v>10</v>
      </c>
      <c r="I4418" s="23" t="n">
        <v>20</v>
      </c>
      <c r="J4418" s="23" t="inlineStr">
        <is>
          <t>978-5-9524-3529-2</t>
        </is>
      </c>
      <c r="K4418" s="23" t="inlineStr">
        <is>
          <t>84x108 1/32 (обл)</t>
        </is>
      </c>
      <c r="L4418" s="23" t="inlineStr">
        <is>
          <t>мяг</t>
        </is>
      </c>
      <c r="M4418" s="23" t="n">
        <v>191</v>
      </c>
      <c r="N4418" s="23" t="n">
        <v>2008</v>
      </c>
      <c r="O4418" s="23" t="n">
        <v>114</v>
      </c>
      <c r="P4418" s="23" t="n"/>
      <c r="Q4418" s="23" t="n"/>
      <c r="R4418" s="25" t="n"/>
      <c r="S4418" s="26">
        <f>HYPERLINK("http://www.cnpol.ru/covers/10266.jpg","фото на сайте")</f>
        <v/>
      </c>
    </row>
    <row r="4419" ht="50.1" customHeight="1" s="3">
      <c r="A4419" s="23" t="n"/>
      <c r="B4419" s="24" t="inlineStr">
        <is>
          <t>4652</t>
        </is>
      </c>
      <c r="C4419" s="23" t="inlineStr">
        <is>
          <t>САД</t>
        </is>
      </c>
      <c r="D4419" s="23" t="inlineStr">
        <is>
          <t>Тавлинова</t>
        </is>
      </c>
      <c r="E4419" s="23" t="inlineStr">
        <is>
          <t>Однолетники сорта выращивание и уход</t>
        </is>
      </c>
      <c r="F4419" s="23" t="inlineStr">
        <is>
          <t>        </t>
        </is>
      </c>
      <c r="G4419" s="23" t="n">
        <v>115</v>
      </c>
      <c r="H4419" s="23" t="n">
        <v>10</v>
      </c>
      <c r="I4419" s="23" t="n">
        <v>24</v>
      </c>
      <c r="J4419" s="23" t="inlineStr">
        <is>
          <t>5-9524-0815-X</t>
        </is>
      </c>
      <c r="K4419" s="23" t="inlineStr">
        <is>
          <t>84x108 1/32 (обл)</t>
        </is>
      </c>
      <c r="L4419" s="23" t="inlineStr">
        <is>
          <t>мяг</t>
        </is>
      </c>
      <c r="M4419" s="23" t="n">
        <v>251</v>
      </c>
      <c r="N4419" s="23" t="n">
        <v>2004</v>
      </c>
      <c r="O4419" s="23" t="n">
        <v>166</v>
      </c>
      <c r="P4419" s="23" t="n"/>
      <c r="Q4419" s="23" t="n"/>
      <c r="R4419" s="25" t="n"/>
      <c r="S4419" s="26">
        <f>HYPERLINK("http://www.cnpol.ru/covers/4652.jpg","фото на сайте")</f>
        <v/>
      </c>
    </row>
    <row r="4420" ht="50.1" customHeight="1" s="3">
      <c r="A4420" s="23" t="n"/>
      <c r="B4420" s="24" t="inlineStr">
        <is>
          <t>5737</t>
        </is>
      </c>
      <c r="C4420" s="23" t="inlineStr">
        <is>
          <t>САД</t>
        </is>
      </c>
      <c r="D4420" s="23" t="inlineStr">
        <is>
          <t>Тавлинова</t>
        </is>
      </c>
      <c r="E4420" s="23" t="inlineStr">
        <is>
          <t>Примулы Сорта выращивание и уход</t>
        </is>
      </c>
      <c r="F4420" s="23" t="inlineStr">
        <is>
          <t>        </t>
        </is>
      </c>
      <c r="G4420" s="23" t="n">
        <v>115</v>
      </c>
      <c r="H4420" s="23" t="n">
        <v>10</v>
      </c>
      <c r="I4420" s="23" t="n">
        <v>48</v>
      </c>
      <c r="J4420" s="23" t="inlineStr">
        <is>
          <t>5-9524-1670-5</t>
        </is>
      </c>
      <c r="K4420" s="23" t="inlineStr">
        <is>
          <t>84x108 1/32 (обл)</t>
        </is>
      </c>
      <c r="L4420" s="23" t="inlineStr">
        <is>
          <t>мяг</t>
        </is>
      </c>
      <c r="M4420" s="23" t="n">
        <v>107</v>
      </c>
      <c r="N4420" s="23" t="n">
        <v>2005</v>
      </c>
      <c r="O4420" s="23" t="n">
        <v>74</v>
      </c>
      <c r="P4420" s="23" t="n"/>
      <c r="Q4420" s="23" t="n"/>
      <c r="R4420" s="25" t="n"/>
      <c r="S4420" s="26">
        <f>HYPERLINK("http://www.cnpol.ru/covers/5737.jpg","фото на сайте")</f>
        <v/>
      </c>
    </row>
    <row r="4421" ht="50.1" customHeight="1" s="3">
      <c r="A4421" s="23" t="n"/>
      <c r="B4421" s="24" t="inlineStr">
        <is>
          <t>4571</t>
        </is>
      </c>
      <c r="C4421" s="23" t="inlineStr">
        <is>
          <t>САД</t>
        </is>
      </c>
      <c r="D4421" s="23" t="inlineStr">
        <is>
          <t>Горин</t>
        </is>
      </c>
      <c r="E4421" s="23" t="inlineStr">
        <is>
          <t>Путешествие в страну рододендронов</t>
        </is>
      </c>
      <c r="F4421" s="23" t="inlineStr">
        <is>
          <t>        </t>
        </is>
      </c>
      <c r="G4421" s="23" t="n">
        <v>88</v>
      </c>
      <c r="H4421" s="23" t="n">
        <v>10</v>
      </c>
      <c r="I4421" s="23" t="n">
        <v>40</v>
      </c>
      <c r="J4421" s="23" t="inlineStr">
        <is>
          <t>5-9524-0809-5</t>
        </is>
      </c>
      <c r="K4421" s="23" t="inlineStr">
        <is>
          <t>84x108 1/32 (обл)</t>
        </is>
      </c>
      <c r="L4421" s="23" t="inlineStr">
        <is>
          <t>мяг</t>
        </is>
      </c>
      <c r="M4421" s="23" t="n">
        <v>127</v>
      </c>
      <c r="N4421" s="23" t="n">
        <v>2004</v>
      </c>
      <c r="O4421" s="23" t="n">
        <v>84</v>
      </c>
      <c r="P4421" s="23" t="n"/>
      <c r="Q4421" s="23" t="n"/>
      <c r="R4421" s="25" t="n"/>
      <c r="S4421" s="26">
        <f>HYPERLINK("http://www.cnpol.ru/covers/4571.jpg","фото на сайте")</f>
        <v/>
      </c>
    </row>
    <row r="4422" ht="50.1" customHeight="1" s="3">
      <c r="A4422" s="23" t="n"/>
      <c r="B4422" s="24" t="inlineStr">
        <is>
          <t>11917</t>
        </is>
      </c>
      <c r="C4422" s="23" t="inlineStr">
        <is>
          <t>САД</t>
        </is>
      </c>
      <c r="D4422" s="23" t="inlineStr">
        <is>
          <t>Алешина Н.</t>
        </is>
      </c>
      <c r="E4422" s="23" t="inlineStr">
        <is>
          <t>Шикарный цветник из многолетника</t>
        </is>
      </c>
      <c r="F4422" s="23" t="inlineStr">
        <is>
          <t>        </t>
        </is>
      </c>
      <c r="G4422" s="23" t="n">
        <v>134</v>
      </c>
      <c r="H4422" s="23" t="n">
        <v>10</v>
      </c>
      <c r="I4422" s="23" t="n">
        <v>22</v>
      </c>
      <c r="J4422" s="23" t="inlineStr">
        <is>
          <t>978-5-227-02034-5</t>
        </is>
      </c>
      <c r="K4422" s="23" t="inlineStr">
        <is>
          <t>84x108 1/32 (обл)</t>
        </is>
      </c>
      <c r="L4422" s="23" t="inlineStr">
        <is>
          <t>мяг</t>
        </is>
      </c>
      <c r="M4422" s="23" t="n">
        <v>189</v>
      </c>
      <c r="N4422" s="23" t="n">
        <v>2010</v>
      </c>
      <c r="O4422" s="23" t="n">
        <v>136</v>
      </c>
      <c r="P4422" s="23" t="n"/>
      <c r="Q4422" s="23" t="n"/>
      <c r="R4422" s="25" t="n"/>
      <c r="S4422" s="26">
        <f>HYPERLINK("http://www.cnpol.ru/covers/11917.jpg","фото на сайте")</f>
        <v/>
      </c>
    </row>
    <row r="4423" ht="50.1" customHeight="1" s="3">
      <c r="A4423" s="23" t="n"/>
      <c r="B4423" s="24" t="inlineStr">
        <is>
          <t>12253</t>
        </is>
      </c>
      <c r="C4423" s="23" t="inlineStr">
        <is>
          <t>САД</t>
        </is>
      </c>
      <c r="D4423" s="23" t="inlineStr">
        <is>
          <t>Алешина Н.</t>
        </is>
      </c>
      <c r="E4423" s="23" t="inlineStr">
        <is>
          <t>Шикарный цветник из многолетника</t>
        </is>
      </c>
      <c r="F4423" s="23" t="inlineStr">
        <is>
          <t>        </t>
        </is>
      </c>
      <c r="G4423" s="23" t="n">
        <v>134</v>
      </c>
      <c r="H4423" s="23" t="n">
        <v>10</v>
      </c>
      <c r="I4423" s="23" t="n">
        <v>30</v>
      </c>
      <c r="J4423" s="23" t="inlineStr">
        <is>
          <t>978-5-227-02034-5</t>
        </is>
      </c>
      <c r="K4423" s="23" t="inlineStr">
        <is>
          <t>84x108 1/32 (обл)</t>
        </is>
      </c>
      <c r="L4423" s="23" t="inlineStr">
        <is>
          <t>мяг</t>
        </is>
      </c>
      <c r="M4423" s="23" t="n">
        <v>189</v>
      </c>
      <c r="N4423" s="23" t="n">
        <v>2010</v>
      </c>
      <c r="O4423" s="23" t="n">
        <v>146</v>
      </c>
      <c r="P4423" s="23" t="n"/>
      <c r="Q4423" s="23" t="n"/>
      <c r="R4423" s="25" t="n"/>
      <c r="S4423" s="26">
        <f>HYPERLINK("http://www.cnpol.ru/covers/12253.jpg","фото на сайте")</f>
        <v/>
      </c>
    </row>
    <row r="4424" ht="50.1" customHeight="1" s="3">
      <c r="A4424" s="23" t="n"/>
      <c r="B4424" s="24" t="inlineStr">
        <is>
          <t>12392</t>
        </is>
      </c>
      <c r="C4424" s="23" t="inlineStr">
        <is>
          <t>САД</t>
        </is>
      </c>
      <c r="D4424" s="23" t="inlineStr">
        <is>
          <t>Алешина Н.</t>
        </is>
      </c>
      <c r="E4424" s="23" t="inlineStr">
        <is>
          <t>Шикарный цветник из многолетника</t>
        </is>
      </c>
      <c r="F4424" s="23" t="inlineStr">
        <is>
          <t>        </t>
        </is>
      </c>
      <c r="G4424" s="23" t="n">
        <v>150</v>
      </c>
      <c r="H4424" s="23" t="n">
        <v>10</v>
      </c>
      <c r="I4424" s="23" t="n">
        <v>32</v>
      </c>
      <c r="J4424" s="23" t="inlineStr">
        <is>
          <t>978-5-227-02563-0</t>
        </is>
      </c>
      <c r="K4424" s="23" t="inlineStr">
        <is>
          <t>84x108 1/32 (обл)</t>
        </is>
      </c>
      <c r="L4424" s="23" t="inlineStr">
        <is>
          <t>мяг</t>
        </is>
      </c>
      <c r="M4424" s="23" t="n">
        <v>189</v>
      </c>
      <c r="N4424" s="23" t="n">
        <v>2010</v>
      </c>
      <c r="O4424" s="23" t="n">
        <v>146</v>
      </c>
      <c r="P4424" s="23" t="n"/>
      <c r="Q4424" s="23" t="n"/>
      <c r="R4424" s="25" t="n"/>
      <c r="S4424" s="26">
        <f>HYPERLINK("http://www.cnpol.ru/covers/12392.jpg","фото на сайте")</f>
        <v/>
      </c>
    </row>
    <row r="4425" ht="50.1" customHeight="1" s="3">
      <c r="A4425" s="23" t="n"/>
      <c r="B4425" s="24" t="inlineStr">
        <is>
          <t>12687</t>
        </is>
      </c>
      <c r="C4425" s="23" t="inlineStr">
        <is>
          <t>САД</t>
        </is>
      </c>
      <c r="D4425" s="23" t="inlineStr">
        <is>
          <t>Алешина Н.</t>
        </is>
      </c>
      <c r="E4425" s="23" t="inlineStr">
        <is>
          <t>Шикарный цветник из многолетника</t>
        </is>
      </c>
      <c r="F4425" s="23" t="inlineStr">
        <is>
          <t>        </t>
        </is>
      </c>
      <c r="G4425" s="23" t="n">
        <v>134</v>
      </c>
      <c r="H4425" s="23" t="n">
        <v>10</v>
      </c>
      <c r="I4425" s="23" t="n">
        <v>32</v>
      </c>
      <c r="J4425" s="23" t="inlineStr">
        <is>
          <t>978-5-227-02563-0</t>
        </is>
      </c>
      <c r="K4425" s="23" t="inlineStr">
        <is>
          <t>84x108 1/32 (обл)</t>
        </is>
      </c>
      <c r="L4425" s="23" t="inlineStr">
        <is>
          <t>мяг</t>
        </is>
      </c>
      <c r="M4425" s="23" t="n">
        <v>189</v>
      </c>
      <c r="N4425" s="23" t="n">
        <v>2011</v>
      </c>
      <c r="O4425" s="23" t="n">
        <v>146</v>
      </c>
      <c r="P4425" s="23" t="n"/>
      <c r="Q4425" s="23" t="n"/>
      <c r="R4425" s="25" t="n"/>
      <c r="S4425" s="26">
        <f>HYPERLINK("http://www.cnpol.ru/covers/12687.jpg","фото на сайте")</f>
        <v/>
      </c>
    </row>
    <row r="4426" ht="50.1" customHeight="1" s="3">
      <c r="A4426" s="23" t="n"/>
      <c r="B4426" s="24" t="inlineStr">
        <is>
          <t>16100</t>
        </is>
      </c>
      <c r="C4426" s="23" t="inlineStr">
        <is>
          <t>СБА</t>
        </is>
      </c>
      <c r="D4426" s="23" t="inlineStr">
        <is>
          <t>Звонарева А.Т.</t>
        </is>
      </c>
      <c r="E4426" s="23" t="inlineStr">
        <is>
          <t>Блюда из сухофруктов</t>
        </is>
      </c>
      <c r="F4426" s="23" t="inlineStr">
        <is>
          <t>        </t>
        </is>
      </c>
      <c r="G4426" s="23" t="n">
        <v>123</v>
      </c>
      <c r="H4426" s="23" t="n">
        <v>10</v>
      </c>
      <c r="I4426" s="23" t="n">
        <v>40</v>
      </c>
      <c r="J4426" s="23" t="inlineStr">
        <is>
          <t>978-5-227-05576-7</t>
        </is>
      </c>
      <c r="K4426" s="23" t="inlineStr">
        <is>
          <t>70x100 1/32</t>
        </is>
      </c>
      <c r="L4426" s="23" t="inlineStr">
        <is>
          <t>мяг</t>
        </is>
      </c>
      <c r="M4426" s="23" t="n">
        <v>127</v>
      </c>
      <c r="N4426" s="23" t="n">
        <v>2015</v>
      </c>
      <c r="O4426" s="23" t="n">
        <v>64</v>
      </c>
      <c r="P4426" s="23" t="n"/>
      <c r="Q4426" s="23" t="n"/>
      <c r="R4426" s="25" t="inlineStr">
        <is>
          <t>Сухофрукты — удобный и полезный продукт, богатый витаминами и микроэлементами. Их легко хранить и можно использовать практически где угодно. Сухофрукты любое блюдо сделают особенным, придадут ему сладость или кислинку._x000D_
Сухофрукты можно добавлять как в торты, пироги, печенье и прочие десерты, так и в мясо, салаты, соусы, супы, придавая этим блюдам особую пикантность. Воспользуйтесь советами и рецептами бабушки Агафьи и порадуйте вкусными и полезными блюдами себя и всю семью.</t>
        </is>
      </c>
      <c r="S4426" s="26">
        <f>HYPERLINK("http://www.cnpol.ru/covers/16100.jpg","фото на сайте")</f>
        <v/>
      </c>
    </row>
    <row r="4427" ht="50.1" customHeight="1" s="3">
      <c r="A4427" s="23" t="n"/>
      <c r="B4427" s="24" t="inlineStr">
        <is>
          <t>15508</t>
        </is>
      </c>
      <c r="C4427" s="23" t="inlineStr">
        <is>
          <t>СБА</t>
        </is>
      </c>
      <c r="D4427" s="23" t="inlineStr">
        <is>
          <t>Звонарева А.Т.</t>
        </is>
      </c>
      <c r="E4427" s="23" t="inlineStr">
        <is>
          <t>Вкусные напитки для взрослых и малышей</t>
        </is>
      </c>
      <c r="F4427" s="23" t="inlineStr">
        <is>
          <t>        </t>
        </is>
      </c>
      <c r="G4427" s="23" t="n">
        <v>123</v>
      </c>
      <c r="H4427" s="23" t="n">
        <v>10</v>
      </c>
      <c r="I4427" s="23" t="n">
        <v>50</v>
      </c>
      <c r="J4427" s="23" t="inlineStr">
        <is>
          <t>978-5-227-05358-9</t>
        </is>
      </c>
      <c r="K4427" s="23" t="inlineStr">
        <is>
          <t>70x100 1/32</t>
        </is>
      </c>
      <c r="L4427" s="23" t="inlineStr">
        <is>
          <t>мяг</t>
        </is>
      </c>
      <c r="M4427" s="23" t="n">
        <v>128</v>
      </c>
      <c r="N4427" s="23" t="n">
        <v>2014</v>
      </c>
      <c r="O4427" s="23" t="n">
        <v>62</v>
      </c>
      <c r="P4427" s="23" t="n"/>
      <c r="Q4427" s="23" t="n"/>
      <c r="R4427" s="25" t="inlineStr">
        <is>
          <t>Слово «напиток» пришло к нам из древности. В старину оно обозначало не просто жидкость для питья. Напитки служили для того, чтобы «напитывать» организм, насыщать его всем необходимым: влагой, силой, энергией, витаминами…_x000D_
Бабушка Агафья поделится с вами рецептами всевозможных вкусных напитков для взрослых и малышей. Старинный рецепт русского кваса и заварной монастырский сбитень, земляничный чай и восточный пунш, морсы, оригинальные компоты и кисели, молочные коктейли и щербеты, многочисленные рецепты кофе, какао, горячего шоколада… _x000D_
Освежающие в жару и согревающие в мороз, бодрящие и успокаивающие — огромный выбор оригинальных и редких рецептов удовлетворит самый капризный вкус!</t>
        </is>
      </c>
      <c r="S4427" s="26">
        <f>HYPERLINK("http://www.cnpol.ru/covers/15508.jpg","фото на сайте")</f>
        <v/>
      </c>
    </row>
    <row r="4428" ht="50.1" customHeight="1" s="3">
      <c r="A4428" s="23" t="n"/>
      <c r="B4428" s="24" t="inlineStr">
        <is>
          <t>16344</t>
        </is>
      </c>
      <c r="C4428" s="23" t="inlineStr">
        <is>
          <t>СБА</t>
        </is>
      </c>
      <c r="D4428" s="23" t="inlineStr">
        <is>
          <t>Звонарева А.Т.</t>
        </is>
      </c>
      <c r="E4428" s="23" t="inlineStr">
        <is>
          <t>Десерты для взрослых и малышей</t>
        </is>
      </c>
      <c r="F4428" s="23" t="inlineStr">
        <is>
          <t>        </t>
        </is>
      </c>
      <c r="G4428" s="23" t="n">
        <v>123</v>
      </c>
      <c r="H4428" s="23" t="n">
        <v>10</v>
      </c>
      <c r="I4428" s="23" t="n">
        <v>40</v>
      </c>
      <c r="J4428" s="23" t="inlineStr">
        <is>
          <t>978-5-227-06026-6</t>
        </is>
      </c>
      <c r="K4428" s="23" t="inlineStr">
        <is>
          <t>70x100 1/32</t>
        </is>
      </c>
      <c r="L4428" s="23" t="inlineStr">
        <is>
          <t>мяг</t>
        </is>
      </c>
      <c r="M4428" s="23" t="n">
        <v>128</v>
      </c>
      <c r="N4428" s="23" t="n">
        <v>2015</v>
      </c>
      <c r="O4428" s="23" t="n">
        <v>68</v>
      </c>
      <c r="P4428" s="23" t="n"/>
      <c r="Q4428" s="23" t="n"/>
      <c r="R4428" s="25" t="inlineStr">
        <is>
          <t>В саду частного загородного поместья обнаружен скелет человека. ­Комиссар Ван­Ин и его друг инспектор Версавел вскоре выясняют, что ­поместье в ту пору, когда было совершено убийство, принадлежало благотворительной организации «Собственная помощь», а на самом деле очень богатому и уважаемому жителю Брюгге. И располагался в его владении закрытый бордель для влиятельных людей города. Сюда поставлялись «специальные девочки», с которыми можно было делать все что угодно. Расследование усложняется из­за выдвинутого против комиссара обвинения в давлении на свидетеля. Но тут происходит новое, невероятно жестокое убийство…</t>
        </is>
      </c>
      <c r="S4428" s="26">
        <f>HYPERLINK("http://www.cnpol.ru/covers/16344.jpg","фото на сайте")</f>
        <v/>
      </c>
    </row>
    <row r="4429" ht="50.1" customHeight="1" s="3">
      <c r="A4429" s="23" t="n"/>
      <c r="B4429" s="24" t="inlineStr">
        <is>
          <t>16159</t>
        </is>
      </c>
      <c r="C4429" s="23" t="inlineStr">
        <is>
          <t>СБА</t>
        </is>
      </c>
      <c r="D4429" s="23" t="inlineStr">
        <is>
          <t>Звонарева А.Т.</t>
        </is>
      </c>
      <c r="E4429" s="23" t="inlineStr">
        <is>
          <t>Коктейли для взрослых и малышей</t>
        </is>
      </c>
      <c r="F4429" s="23" t="inlineStr">
        <is>
          <t>        </t>
        </is>
      </c>
      <c r="G4429" s="23" t="n">
        <v>123</v>
      </c>
      <c r="H4429" s="23" t="n">
        <v>10</v>
      </c>
      <c r="I4429" s="23" t="n">
        <v>40</v>
      </c>
      <c r="J4429" s="23" t="inlineStr">
        <is>
          <t>978-5-227-05545-3</t>
        </is>
      </c>
      <c r="K4429" s="23" t="inlineStr">
        <is>
          <t>70x100 1/32</t>
        </is>
      </c>
      <c r="L4429" s="23" t="inlineStr">
        <is>
          <t>мяг</t>
        </is>
      </c>
      <c r="M4429" s="23" t="n">
        <v>128</v>
      </c>
      <c r="N4429" s="23" t="n">
        <v>2015</v>
      </c>
      <c r="O4429" s="23" t="n">
        <v>68</v>
      </c>
      <c r="P4429" s="23" t="n"/>
      <c r="Q4429" s="23" t="n"/>
      <c r="R4429" s="25" t="inlineStr">
        <is>
          <t>Коктейли — это напитки, смешанные из нескольких ком­понентов. Ничего сложного в их приготовлении нет, главное — соблюдать рецептуру и знать, какие продукты сочетаются друг с другом. Бабушка Агафья предлагает вам разнообразные рецепты этих вкусных напитков. Для тех, кто постарше, — слабоалкогольные коктейли, для малышей — молочные, шоколадные и фруктовые, коктейли праздничные и вечерние, коктейли для похудения и даже лечебные при различных заболеваниях.</t>
        </is>
      </c>
      <c r="S4429" s="26">
        <f>HYPERLINK("http://www.cnpol.ru/covers/16159.jpg","фото на сайте")</f>
        <v/>
      </c>
    </row>
    <row r="4430" ht="50.1" customHeight="1" s="3">
      <c r="A4430" s="23" t="n"/>
      <c r="B4430" s="24" t="inlineStr">
        <is>
          <t>14471</t>
        </is>
      </c>
      <c r="C4430" s="23" t="inlineStr">
        <is>
          <t>СБА</t>
        </is>
      </c>
      <c r="D4430" s="23" t="inlineStr">
        <is>
          <t>Звонарева А.Т.</t>
        </is>
      </c>
      <c r="E4430" s="23" t="inlineStr">
        <is>
          <t>Коса до пят</t>
        </is>
      </c>
      <c r="F4430" s="23" t="inlineStr">
        <is>
          <t>        </t>
        </is>
      </c>
      <c r="G4430" s="23" t="n">
        <v>115</v>
      </c>
      <c r="H4430" s="23" t="n">
        <v>10</v>
      </c>
      <c r="I4430" s="23" t="n">
        <v>40</v>
      </c>
      <c r="J4430" s="23" t="inlineStr">
        <is>
          <t>978-5-227-04039-8</t>
        </is>
      </c>
      <c r="K4430" s="23" t="inlineStr">
        <is>
          <t>70x100 1/32</t>
        </is>
      </c>
      <c r="L4430" s="23" t="inlineStr">
        <is>
          <t>мяг</t>
        </is>
      </c>
      <c r="M4430" s="23" t="n">
        <v>125</v>
      </c>
      <c r="N4430" s="23" t="n">
        <v>2013</v>
      </c>
      <c r="O4430" s="23" t="n">
        <v>62</v>
      </c>
      <c r="P4430" s="23" t="n"/>
      <c r="Q4430" s="23" t="n"/>
      <c r="R4430" s="25" t="inlineStr">
        <is>
          <t>Расти, коса, до пояса, не вырони ни волоса — строчки, знакомые нам с самого нежного детства… А многие ли знают, что здоровые волосы — показатель благополучия всего организма? Что нельзя иметь роскошную кожу и слабые волосы и ломкие ногти одновременно, потому что и ногти и волосы — производные кожи.Бабушка Агафья знает, как, не имея под рукой дорогих косметических средств, сохранить косу до пят на долгие годы, ведь издревле на Руси косу берегли до самой старости. Кроме этого, Агафья Тихоновна научит вас, как сохранить румянец на бархатных щечках, поделится народными секретами для красоты кожи тела и крепости ногтей. Все ингредиенты, которые использованы в предлагаемых рецептах, дешевы, доступны, а главное — полезны.</t>
        </is>
      </c>
      <c r="S4430" s="26">
        <f>HYPERLINK("http://www.cnpol.ru/covers/14471.jpg","фото на сайте")</f>
        <v/>
      </c>
    </row>
    <row r="4431" ht="50.1" customHeight="1" s="3">
      <c r="A4431" s="23" t="n"/>
      <c r="B4431" s="24" t="inlineStr">
        <is>
          <t>14545</t>
        </is>
      </c>
      <c r="C4431" s="23" t="inlineStr">
        <is>
          <t>СБА</t>
        </is>
      </c>
      <c r="D4431" s="23" t="inlineStr">
        <is>
          <t>Звонарева А.Т.</t>
        </is>
      </c>
      <c r="E4431" s="23" t="inlineStr">
        <is>
          <t>Коса до пят</t>
        </is>
      </c>
      <c r="F4431" s="23" t="inlineStr">
        <is>
          <t>        </t>
        </is>
      </c>
      <c r="G4431" s="23" t="n">
        <v>105</v>
      </c>
      <c r="H4431" s="23" t="n">
        <v>10</v>
      </c>
      <c r="I4431" s="23" t="n">
        <v>56</v>
      </c>
      <c r="J4431" s="23" t="inlineStr">
        <is>
          <t>978-5-227-04039-8</t>
        </is>
      </c>
      <c r="K4431" s="23" t="inlineStr">
        <is>
          <t>70x100 1/32</t>
        </is>
      </c>
      <c r="L4431" s="23" t="inlineStr">
        <is>
          <t>мяг</t>
        </is>
      </c>
      <c r="M4431" s="23" t="n">
        <v>125</v>
      </c>
      <c r="N4431" s="23" t="n">
        <v>2013</v>
      </c>
      <c r="O4431" s="23" t="n">
        <v>64</v>
      </c>
      <c r="P4431" s="23" t="n"/>
      <c r="Q4431" s="23" t="n"/>
      <c r="R4431" s="25" t="inlineStr">
        <is>
          <t>Расти, коса, до пояса, не вырони ни волоса — строчки, знакомые нам с самого нежного детства… А многие ли знают, что здоровые волосы — показатель благополучия всего организма? Что нельзя иметь роскошную кожу и слабые волосы и ломкие ногти одновременно, потому что и ногти и волосы — производные кожи.Бабушка Агафья знает, как, не имея под рукой дорогих косметических средств, сохранить косу до пят на долгие годы, ведь издревле на Руси косу берегли до самой старости. Кроме этого, Агафья Тихоновна научит вас, как сохранить румянец на бархатных щечках, поделится народными секретами для красоты кожи тела и крепости ногтей. Все ингредиенты, которые использованы в предлагаемых рецептах, дешевы, доступны, а главное — полезны.</t>
        </is>
      </c>
      <c r="S4431" s="26">
        <f>HYPERLINK("http://www.cnpol.ru/covers/14545.jpg","фото на сайте")</f>
        <v/>
      </c>
    </row>
    <row r="4432" ht="50.1" customHeight="1" s="3">
      <c r="A4432" s="23" t="n"/>
      <c r="B4432" s="24" t="inlineStr">
        <is>
          <t>16538</t>
        </is>
      </c>
      <c r="C4432" s="23" t="inlineStr">
        <is>
          <t>СБА</t>
        </is>
      </c>
      <c r="D4432" s="23" t="inlineStr">
        <is>
          <t>Звонарева А.Т.</t>
        </is>
      </c>
      <c r="E4432" s="23" t="inlineStr">
        <is>
          <t>Лучшие рецепты из цитрусов</t>
        </is>
      </c>
      <c r="F4432" s="23" t="inlineStr">
        <is>
          <t>        </t>
        </is>
      </c>
      <c r="G4432" s="23" t="n">
        <v>123</v>
      </c>
      <c r="H4432" s="23" t="n">
        <v>10</v>
      </c>
      <c r="I4432" s="23" t="n">
        <v>32</v>
      </c>
      <c r="J4432" s="23" t="inlineStr">
        <is>
          <t>978-5-227-06359-5</t>
        </is>
      </c>
      <c r="K4432" s="23" t="inlineStr">
        <is>
          <t>70x100 1/32</t>
        </is>
      </c>
      <c r="L4432" s="23" t="inlineStr">
        <is>
          <t>мяг</t>
        </is>
      </c>
      <c r="M4432" s="23" t="n">
        <v>160</v>
      </c>
      <c r="N4432" s="23" t="n">
        <v>2016</v>
      </c>
      <c r="O4432" s="23" t="n">
        <v>60</v>
      </c>
      <c r="P4432" s="23" t="n"/>
      <c r="Q4432" s="23" t="n"/>
      <c r="R4432" s="25" t="inlineStr">
        <is>
          <t>"В своей новой книге Агафья Тихоновна поделится лучшими кулинарными, лечебными и косметическими рецептами из цитрусов. Апельсины, лимоны, лайм, кумкват, грейпфрут… Эти яркие и душистые фрукты всем знакомы с самого детства! Полезные свойства цитрусовых очень обширны. В них содержатся витамины С, В1, В2, Р, РР, каротин, соли кальция, калия, фосфора, органические кислоты, растворимая и нерастворимая клетчатка, фруктоза и сахароза…  В кулинарии цитрусы используются полностью, начиная от сока, мякоти и заканчивая цедрой и кожурой. Из кожуры плодов получают ароматное масло, цедрой и соком приправляют самые разные блюда, а мякоть некоторых цитрусовых съедается как самостоятельный десерт. Нашли широкое применение и в косметологии.
Как приготовить вкусные и ароматные блюда, вылечить болезни и стать красивыми, вы прочтете в этой книге. Желающие вырастить на подоконнике свой цитрусовый сад тоже получат полезную информацию.
"</t>
        </is>
      </c>
      <c r="S4432" s="26">
        <f>HYPERLINK("http://www.cnpol.ru/covers/16538.jpg","фото на сайте")</f>
        <v/>
      </c>
    </row>
    <row r="4433" ht="50.1" customHeight="1" s="3">
      <c r="A4433" s="23" t="n"/>
      <c r="B4433" s="24" t="inlineStr">
        <is>
          <t>16460</t>
        </is>
      </c>
      <c r="C4433" s="23" t="inlineStr">
        <is>
          <t>СБА</t>
        </is>
      </c>
      <c r="D4433" s="23" t="inlineStr">
        <is>
          <t>Звонарева А.Т.</t>
        </is>
      </c>
      <c r="E4433" s="23" t="inlineStr">
        <is>
          <t>Овощные блюда в мультиварке</t>
        </is>
      </c>
      <c r="F4433" s="23" t="inlineStr">
        <is>
          <t>        </t>
        </is>
      </c>
      <c r="G4433" s="23" t="n">
        <v>123</v>
      </c>
      <c r="H4433" s="23" t="n">
        <v>10</v>
      </c>
      <c r="I4433" s="23" t="n">
        <v>60</v>
      </c>
      <c r="J4433" s="23" t="inlineStr">
        <is>
          <t>978-5-227-06335-9</t>
        </is>
      </c>
      <c r="K4433" s="23" t="inlineStr">
        <is>
          <t>70x100 1/32</t>
        </is>
      </c>
      <c r="L4433" s="23" t="inlineStr">
        <is>
          <t>мяг</t>
        </is>
      </c>
      <c r="M4433" s="23" t="n">
        <v>128</v>
      </c>
      <c r="N4433" s="23" t="n">
        <v>2016</v>
      </c>
      <c r="O4433" s="23" t="n">
        <v>62</v>
      </c>
      <c r="P4433" s="23" t="n"/>
      <c r="Q4433" s="23" t="n"/>
      <c r="R4433" s="25" t="n"/>
      <c r="S4433" s="26">
        <f>HYPERLINK("http://www.cnpol.ru/covers/16460.jpg","фото на сайте")</f>
        <v/>
      </c>
    </row>
    <row r="4434" ht="50.1" customHeight="1" s="3">
      <c r="A4434" s="23" t="n"/>
      <c r="B4434" s="24" t="inlineStr">
        <is>
          <t>11795</t>
        </is>
      </c>
      <c r="C4434" s="23" t="inlineStr">
        <is>
          <t>СБА</t>
        </is>
      </c>
      <c r="D4434" s="23" t="inlineStr">
        <is>
          <t>Звонарева А.Т.</t>
        </is>
      </c>
      <c r="E4434" s="23" t="inlineStr">
        <is>
          <t>Огород и сад без хлопот и затрат</t>
        </is>
      </c>
      <c r="F4434" s="23" t="inlineStr">
        <is>
          <t>        </t>
        </is>
      </c>
      <c r="G4434" s="23" t="n">
        <v>97</v>
      </c>
      <c r="H4434" s="23" t="n">
        <v>10</v>
      </c>
      <c r="I4434" s="23" t="n">
        <v>40</v>
      </c>
      <c r="J4434" s="23" t="inlineStr">
        <is>
          <t>978-5-9524-4826-1</t>
        </is>
      </c>
      <c r="K4434" s="23" t="inlineStr">
        <is>
          <t>70x100 1/32</t>
        </is>
      </c>
      <c r="L4434" s="23" t="inlineStr">
        <is>
          <t>мяг</t>
        </is>
      </c>
      <c r="M4434" s="23" t="n">
        <v>125</v>
      </c>
      <c r="N4434" s="23" t="n">
        <v>2010</v>
      </c>
      <c r="O4434" s="23" t="n">
        <v>60</v>
      </c>
      <c r="P4434" s="23" t="n"/>
      <c r="Q4434" s="23" t="n"/>
      <c r="R4434" s="25" t="n"/>
      <c r="S4434" s="26">
        <f>HYPERLINK("http://www.cnpol.ru/covers/11795.jpg","фото на сайте")</f>
        <v/>
      </c>
    </row>
    <row r="4435" ht="50.1" customHeight="1" s="3">
      <c r="A4435" s="23" t="n"/>
      <c r="B4435" s="24" t="inlineStr">
        <is>
          <t>13371</t>
        </is>
      </c>
      <c r="C4435" s="23" t="inlineStr">
        <is>
          <t>СБА</t>
        </is>
      </c>
      <c r="D4435" s="23" t="inlineStr">
        <is>
          <t>Звонарева А.Т.</t>
        </is>
      </c>
      <c r="E4435" s="23" t="inlineStr">
        <is>
          <t>Однолетние цветы дивной красоты. Выращивание, размножение, уход.</t>
        </is>
      </c>
      <c r="F4435" s="23" t="inlineStr">
        <is>
          <t>        </t>
        </is>
      </c>
      <c r="G4435" s="23" t="n">
        <v>105</v>
      </c>
      <c r="H4435" s="23" t="n">
        <v>10</v>
      </c>
      <c r="I4435" s="23" t="n">
        <v>48</v>
      </c>
      <c r="J4435" s="23" t="inlineStr">
        <is>
          <t>978-5-227-03386-4</t>
        </is>
      </c>
      <c r="K4435" s="23" t="inlineStr">
        <is>
          <t>70x100 1/32</t>
        </is>
      </c>
      <c r="L4435" s="23" t="inlineStr">
        <is>
          <t>мяг</t>
        </is>
      </c>
      <c r="M4435" s="23" t="n">
        <v>126</v>
      </c>
      <c r="N4435" s="23" t="n">
        <v>2012</v>
      </c>
      <c r="O4435" s="23" t="n">
        <v>60</v>
      </c>
      <c r="P4435" s="23" t="n"/>
      <c r="Q4435" s="23" t="n"/>
      <c r="R4435" s="25" t="n"/>
      <c r="S4435" s="26">
        <f>HYPERLINK("http://www.cnpol.ru/covers/13371.jpg","фото на сайте")</f>
        <v/>
      </c>
    </row>
    <row r="4436" ht="50.1" customHeight="1" s="3">
      <c r="A4436" s="23" t="n"/>
      <c r="B4436" s="24" t="inlineStr">
        <is>
          <t>10398</t>
        </is>
      </c>
      <c r="C4436" s="23" t="inlineStr">
        <is>
          <t>СБА</t>
        </is>
      </c>
      <c r="D4436" s="23" t="inlineStr">
        <is>
          <t>Звонарева А.Т.</t>
        </is>
      </c>
      <c r="E4436" s="23" t="inlineStr">
        <is>
          <t>Постные блюда</t>
        </is>
      </c>
      <c r="F4436" s="23" t="inlineStr">
        <is>
          <t>        </t>
        </is>
      </c>
      <c r="G4436" s="23" t="n">
        <v>123</v>
      </c>
      <c r="H4436" s="23" t="n">
        <v>10</v>
      </c>
      <c r="I4436" s="23" t="n">
        <v>40</v>
      </c>
      <c r="J4436" s="23" t="inlineStr">
        <is>
          <t>978-5-9524-3525-4</t>
        </is>
      </c>
      <c r="K4436" s="23" t="inlineStr">
        <is>
          <t>70x100 1/32</t>
        </is>
      </c>
      <c r="L4436" s="23" t="inlineStr">
        <is>
          <t>мяг</t>
        </is>
      </c>
      <c r="M4436" s="23" t="n">
        <v>128</v>
      </c>
      <c r="N4436" s="23" t="n">
        <v>2008</v>
      </c>
      <c r="O4436" s="23" t="n">
        <v>64</v>
      </c>
      <c r="P4436" s="23" t="n"/>
      <c r="Q4436" s="23" t="n"/>
      <c r="R4436" s="25" t="n"/>
      <c r="S4436" s="26">
        <f>HYPERLINK("http://www.cnpol.ru/covers/10398.jpg","фото на сайте")</f>
        <v/>
      </c>
    </row>
    <row r="4437" ht="50.1" customHeight="1" s="3">
      <c r="A4437" s="23" t="n"/>
      <c r="B4437" s="24" t="inlineStr">
        <is>
          <t>10244</t>
        </is>
      </c>
      <c r="C4437" s="23" t="inlineStr">
        <is>
          <t>СБА</t>
        </is>
      </c>
      <c r="D4437" s="23" t="inlineStr">
        <is>
          <t>Звонарева А.Т.</t>
        </is>
      </c>
      <c r="E4437" s="23" t="inlineStr">
        <is>
          <t>Правила поведения в церкви</t>
        </is>
      </c>
      <c r="F4437" s="23" t="inlineStr">
        <is>
          <t>        </t>
        </is>
      </c>
      <c r="G4437" s="23" t="n">
        <v>123</v>
      </c>
      <c r="H4437" s="23" t="n">
        <v>10</v>
      </c>
      <c r="I4437" s="23" t="n">
        <v>40</v>
      </c>
      <c r="J4437" s="23" t="inlineStr">
        <is>
          <t>978-5-9524-3462-2</t>
        </is>
      </c>
      <c r="K4437" s="23" t="inlineStr">
        <is>
          <t>70x100 1/32</t>
        </is>
      </c>
      <c r="L4437" s="23" t="inlineStr">
        <is>
          <t>мяг</t>
        </is>
      </c>
      <c r="M4437" s="23" t="n">
        <v>128</v>
      </c>
      <c r="N4437" s="23" t="n">
        <v>2008</v>
      </c>
      <c r="O4437" s="23" t="inlineStr">
        <is>
          <t>     </t>
        </is>
      </c>
      <c r="P4437" s="23" t="n"/>
      <c r="Q4437" s="23" t="n"/>
      <c r="R4437" s="25" t="n"/>
      <c r="S4437" s="26">
        <f>HYPERLINK("http://www.cnpol.ru/covers/10244.jpg","фото на сайте")</f>
        <v/>
      </c>
    </row>
    <row r="4438" ht="50.1" customHeight="1" s="3">
      <c r="A4438" s="23" t="n"/>
      <c r="B4438" s="24" t="inlineStr">
        <is>
          <t>16163</t>
        </is>
      </c>
      <c r="C4438" s="23" t="inlineStr">
        <is>
          <t>СБА</t>
        </is>
      </c>
      <c r="D4438" s="23" t="inlineStr">
        <is>
          <t>Звонарева А.Т.</t>
        </is>
      </c>
      <c r="E4438" s="23" t="inlineStr">
        <is>
          <t>Пудинги, суфле</t>
        </is>
      </c>
      <c r="F4438" s="23" t="inlineStr">
        <is>
          <t>        </t>
        </is>
      </c>
      <c r="G4438" s="23" t="n">
        <v>123</v>
      </c>
      <c r="H4438" s="23" t="n">
        <v>10</v>
      </c>
      <c r="I4438" s="23" t="n">
        <v>40</v>
      </c>
      <c r="J4438" s="23" t="inlineStr">
        <is>
          <t>978-5-227-06007-5</t>
        </is>
      </c>
      <c r="K4438" s="23" t="inlineStr">
        <is>
          <t>70x100 1/32</t>
        </is>
      </c>
      <c r="L4438" s="23" t="inlineStr">
        <is>
          <t>мяг</t>
        </is>
      </c>
      <c r="M4438" s="23" t="n">
        <v>128</v>
      </c>
      <c r="N4438" s="23" t="n">
        <v>2015</v>
      </c>
      <c r="O4438" s="23" t="n">
        <v>68</v>
      </c>
      <c r="P4438" s="23" t="n"/>
      <c r="Q4438" s="23" t="n"/>
      <c r="R4438" s="25" t="n"/>
      <c r="S4438" s="26">
        <f>HYPERLINK("http://www.cnpol.ru/covers/16163.jpg","фото на сайте")</f>
        <v/>
      </c>
    </row>
    <row r="4439" ht="50.1" customHeight="1" s="3">
      <c r="A4439" s="23" t="n"/>
      <c r="B4439" s="24" t="inlineStr">
        <is>
          <t>10413</t>
        </is>
      </c>
      <c r="C4439" s="23" t="inlineStr">
        <is>
          <t>СБА</t>
        </is>
      </c>
      <c r="D4439" s="23" t="inlineStr">
        <is>
          <t>Звонарева А.Т.</t>
        </is>
      </c>
      <c r="E4439" s="23" t="inlineStr">
        <is>
          <t>Рецепты с секретом</t>
        </is>
      </c>
      <c r="F4439" s="23" t="inlineStr">
        <is>
          <t>        </t>
        </is>
      </c>
      <c r="G4439" s="23" t="n">
        <v>123</v>
      </c>
      <c r="H4439" s="23" t="n">
        <v>10</v>
      </c>
      <c r="I4439" s="23" t="n">
        <v>40</v>
      </c>
      <c r="J4439" s="23" t="inlineStr">
        <is>
          <t>978-5-9524-3538-4</t>
        </is>
      </c>
      <c r="K4439" s="23" t="inlineStr">
        <is>
          <t>70x100 1/32</t>
        </is>
      </c>
      <c r="L4439" s="23" t="inlineStr">
        <is>
          <t>мяг</t>
        </is>
      </c>
      <c r="M4439" s="23" t="n">
        <v>128</v>
      </c>
      <c r="N4439" s="23" t="n">
        <v>2008</v>
      </c>
      <c r="O4439" s="23" t="n">
        <v>70</v>
      </c>
      <c r="P4439" s="23" t="n"/>
      <c r="Q4439" s="23" t="n"/>
      <c r="R4439" s="25" t="n"/>
      <c r="S4439" s="26">
        <f>HYPERLINK("http://www.cnpol.ru/covers/10413.jpg","фото на сайте")</f>
        <v/>
      </c>
    </row>
    <row r="4440" ht="50.1" customHeight="1" s="3">
      <c r="A4440" s="23" t="n"/>
      <c r="B4440" s="24" t="inlineStr">
        <is>
          <t>16620</t>
        </is>
      </c>
      <c r="C4440" s="23" t="inlineStr">
        <is>
          <t>СБА</t>
        </is>
      </c>
      <c r="D4440" s="23" t="inlineStr">
        <is>
          <t>Звонарева А.Т.</t>
        </is>
      </c>
      <c r="E4440" s="23" t="inlineStr">
        <is>
          <t>Рыбные блюда в мультиварке</t>
        </is>
      </c>
      <c r="F4440" s="23" t="inlineStr">
        <is>
          <t>        </t>
        </is>
      </c>
      <c r="G4440" s="23" t="n">
        <v>123</v>
      </c>
      <c r="H4440" s="23" t="n">
        <v>10</v>
      </c>
      <c r="I4440" s="23" t="n">
        <v>60</v>
      </c>
      <c r="J4440" s="23" t="inlineStr">
        <is>
          <t>978-5-227-06346-5</t>
        </is>
      </c>
      <c r="K4440" s="23" t="inlineStr">
        <is>
          <t>70x100 1/32</t>
        </is>
      </c>
      <c r="L4440" s="23" t="inlineStr">
        <is>
          <t>мяг</t>
        </is>
      </c>
      <c r="M4440" s="23" t="n">
        <v>128</v>
      </c>
      <c r="N4440" s="23" t="n">
        <v>2016</v>
      </c>
      <c r="O4440" s="23" t="n">
        <v>62</v>
      </c>
      <c r="P4440" s="23" t="n"/>
      <c r="Q4440" s="23" t="n"/>
      <c r="R4440" s="25" t="n"/>
      <c r="S4440" s="26">
        <f>HYPERLINK("http://www.cnpol.ru/covers/16620.jpg","фото на сайте")</f>
        <v/>
      </c>
    </row>
    <row r="4441" ht="50.1" customHeight="1" s="3">
      <c r="A4441" s="23" t="n"/>
      <c r="B4441" s="24" t="inlineStr">
        <is>
          <t>10537</t>
        </is>
      </c>
      <c r="C4441" s="23" t="inlineStr">
        <is>
          <t>СБА</t>
        </is>
      </c>
      <c r="D4441" s="23" t="inlineStr">
        <is>
          <t>Звонарева А.Т.</t>
        </is>
      </c>
      <c r="E4441" s="23" t="inlineStr">
        <is>
          <t>Салаты из овощей, фруктов и прочих продуктов</t>
        </is>
      </c>
      <c r="F4441" s="23" t="inlineStr">
        <is>
          <t>        </t>
        </is>
      </c>
      <c r="G4441" s="23" t="n">
        <v>123</v>
      </c>
      <c r="H4441" s="23" t="n">
        <v>10</v>
      </c>
      <c r="I4441" s="23" t="n">
        <v>40</v>
      </c>
      <c r="J4441" s="23" t="inlineStr">
        <is>
          <t>978-5-9524-3741-8</t>
        </is>
      </c>
      <c r="K4441" s="23" t="inlineStr">
        <is>
          <t>70x100 1/32</t>
        </is>
      </c>
      <c r="L4441" s="23" t="inlineStr">
        <is>
          <t>мяг</t>
        </is>
      </c>
      <c r="M4441" s="23" t="n">
        <v>127</v>
      </c>
      <c r="N4441" s="23" t="n">
        <v>2008</v>
      </c>
      <c r="O4441" s="23" t="inlineStr">
        <is>
          <t>     </t>
        </is>
      </c>
      <c r="P4441" s="23" t="n"/>
      <c r="Q4441" s="23" t="n"/>
      <c r="R4441" s="25" t="n"/>
      <c r="S4441" s="26">
        <f>HYPERLINK("http://www.cnpol.ru/covers/10537.jpg","фото на сайте")</f>
        <v/>
      </c>
    </row>
    <row r="4442" ht="50.1" customHeight="1" s="3">
      <c r="A4442" s="23" t="n"/>
      <c r="B4442" s="24" t="inlineStr">
        <is>
          <t>10320</t>
        </is>
      </c>
      <c r="C4442" s="23" t="inlineStr">
        <is>
          <t>СБА</t>
        </is>
      </c>
      <c r="D4442" s="23" t="inlineStr">
        <is>
          <t>Звонарева А.Т.</t>
        </is>
      </c>
      <c r="E4442" s="23" t="inlineStr">
        <is>
          <t>Сладкие блюда и напитки</t>
        </is>
      </c>
      <c r="F4442" s="23" t="inlineStr">
        <is>
          <t>        </t>
        </is>
      </c>
      <c r="G4442" s="23" t="n">
        <v>123</v>
      </c>
      <c r="H4442" s="23" t="n">
        <v>10</v>
      </c>
      <c r="I4442" s="23" t="n">
        <v>40</v>
      </c>
      <c r="J4442" s="23" t="inlineStr">
        <is>
          <t>978-5-9524-3472-1</t>
        </is>
      </c>
      <c r="K4442" s="23" t="inlineStr">
        <is>
          <t>70x100 1/32</t>
        </is>
      </c>
      <c r="L4442" s="23" t="inlineStr">
        <is>
          <t>мяг</t>
        </is>
      </c>
      <c r="M4442" s="23" t="n">
        <v>128</v>
      </c>
      <c r="N4442" s="23" t="n">
        <v>2008</v>
      </c>
      <c r="O4442" s="23" t="n">
        <v>64</v>
      </c>
      <c r="P4442" s="23" t="n"/>
      <c r="Q4442" s="23" t="n"/>
      <c r="R4442" s="25" t="n"/>
      <c r="S4442" s="26">
        <f>HYPERLINK("http://www.cnpol.ru/covers/10320.jpg","фото на сайте")</f>
        <v/>
      </c>
    </row>
    <row r="4443" ht="50.1" customHeight="1" s="3">
      <c r="A4443" s="23" t="n"/>
      <c r="B4443" s="24" t="inlineStr">
        <is>
          <t>16236</t>
        </is>
      </c>
      <c r="C4443" s="23" t="inlineStr">
        <is>
          <t>СБА</t>
        </is>
      </c>
      <c r="D4443" s="23" t="inlineStr">
        <is>
          <t>Звонарева А.Т.</t>
        </is>
      </c>
      <c r="E4443" s="23" t="inlineStr">
        <is>
          <t>Холодные супы. Свежо, вкусно, недорого</t>
        </is>
      </c>
      <c r="F4443" s="23" t="inlineStr">
        <is>
          <t>        </t>
        </is>
      </c>
      <c r="G4443" s="23" t="n">
        <v>123</v>
      </c>
      <c r="H4443" s="23" t="n">
        <v>10</v>
      </c>
      <c r="I4443" s="23" t="n">
        <v>60</v>
      </c>
      <c r="J4443" s="23" t="inlineStr">
        <is>
          <t>978-5-227-05867-6</t>
        </is>
      </c>
      <c r="K4443" s="23" t="inlineStr">
        <is>
          <t>70x100 1/32</t>
        </is>
      </c>
      <c r="L4443" s="23" t="inlineStr">
        <is>
          <t>мяг</t>
        </is>
      </c>
      <c r="M4443" s="23" t="n">
        <v>128</v>
      </c>
      <c r="N4443" s="23" t="n">
        <v>2015</v>
      </c>
      <c r="O4443" s="23" t="n">
        <v>62</v>
      </c>
      <c r="P4443" s="23" t="n"/>
      <c r="Q4443" s="23" t="n"/>
      <c r="R4443" s="25" t="n"/>
      <c r="S4443" s="26">
        <f>HYPERLINK("http://www.cnpol.ru/covers/16236.jpg","фото на сайте")</f>
        <v/>
      </c>
    </row>
    <row r="4444" ht="50.1" customHeight="1" s="3">
      <c r="A4444" s="23" t="inlineStr">
        <is>
          <t>Д</t>
        </is>
      </c>
      <c r="B4444" s="24" t="inlineStr">
        <is>
          <t>21510</t>
        </is>
      </c>
      <c r="C4444" s="23" t="inlineStr">
        <is>
          <t>Сверхсознание</t>
        </is>
      </c>
      <c r="D4444" s="23" t="inlineStr">
        <is>
          <t>Меньшикова К.Е.</t>
        </is>
      </c>
      <c r="E4444" s="23" t="inlineStr">
        <is>
          <t>Карма — закон причины и следствия. Как переписать свою судьбу</t>
        </is>
      </c>
      <c r="F4444" s="23" t="inlineStr">
        <is>
          <t>        </t>
        </is>
      </c>
      <c r="G4444" s="23" t="n">
        <v>672</v>
      </c>
      <c r="H4444" s="23" t="n">
        <v>10</v>
      </c>
      <c r="I4444" s="23" t="n">
        <v>10</v>
      </c>
      <c r="J4444" s="23" t="inlineStr">
        <is>
          <t>978-5-227-10895-1</t>
        </is>
      </c>
      <c r="K4444" s="23" t="inlineStr">
        <is>
          <t>84x108 1/32</t>
        </is>
      </c>
      <c r="L4444" s="23" t="inlineStr">
        <is>
          <t>тв</t>
        </is>
      </c>
      <c r="M4444" s="23" t="n">
        <v>447</v>
      </c>
      <c r="N4444" s="23" t="n">
        <v>2025</v>
      </c>
      <c r="O4444" s="23" t="n">
        <v>345</v>
      </c>
      <c r="P4444" s="23" t="n"/>
      <c r="Q4444" s="23" t="n"/>
      <c r="R4444" s="25" t="inlineStr">
        <is>
          <t>Книга посвящена работе с таким сложным и неоднозначным разделом человеческого сознания, как Сверхсознание. Это неисследованная область разума, контакт с которой долгое время был исключительно в ведении религии. Но те, кто ищет иных знаний, кого не удовлетворяют догмы и заповеди, никогда не согласятся с тем, что они не имеют права что-то знать и понимать. Эта книга для тех, кто ищет!_x000D_
На ее страницах мы попробуем разобраться с таким непростым понятием, как судьба и карма. Существует ли судьба? Действительно ли в жизни человека всегда все предопределено? Что такое карма? Как проявляет себя провидение? И вообще, стоит ли при всех этих предпосылках человеку в принципе что-то пытаться делать или все бессмысленно?_x000D_
Нет, не бессмысленно! Переписать судьбу можно! Это долгий и непростой труд, и выполнить его правильно сможет только тот, кто все, что описано в этой книге, поймет и сделает практическую работу по освобождению линии своей жизни. Поверьте, результаты того стоят. Согласитесь, что между существованием и жизнью все-таки есть разница. Жизнь — это тяга к свободе. Для тех, кто предпочитает жить, и написана эта книга.</t>
        </is>
      </c>
      <c r="S4444" s="26">
        <f>HYPERLINK("http://www.cnpol.ru/covers/21510.jpg","фото на сайте")</f>
        <v/>
      </c>
    </row>
    <row r="4445" ht="50.1" customHeight="1" s="3">
      <c r="A4445" s="23" t="inlineStr">
        <is>
          <t>Д</t>
        </is>
      </c>
      <c r="B4445" s="24" t="inlineStr">
        <is>
          <t>21542</t>
        </is>
      </c>
      <c r="C4445" s="23" t="inlineStr">
        <is>
          <t>Сверхсознание</t>
        </is>
      </c>
      <c r="D4445" s="23" t="inlineStr">
        <is>
          <t>Меньшикова К.Е.</t>
        </is>
      </c>
      <c r="E4445" s="23" t="inlineStr">
        <is>
          <t>Сила Стихий. Раскрытие и познание</t>
        </is>
      </c>
      <c r="F4445" s="23" t="inlineStr">
        <is>
          <t>        </t>
        </is>
      </c>
      <c r="G4445" s="27" t="n">
        <v>1075</v>
      </c>
      <c r="H4445" s="23" t="n">
        <v>10</v>
      </c>
      <c r="I4445" s="23" t="n">
        <v>10</v>
      </c>
      <c r="J4445" s="23" t="inlineStr">
        <is>
          <t>978-5-227-10994-1</t>
        </is>
      </c>
      <c r="K4445" s="23" t="inlineStr">
        <is>
          <t>84x108 1/32</t>
        </is>
      </c>
      <c r="L4445" s="23" t="inlineStr">
        <is>
          <t>тв</t>
        </is>
      </c>
      <c r="M4445" s="23" t="n">
        <v>575</v>
      </c>
      <c r="N4445" s="23" t="n">
        <v>2025</v>
      </c>
      <c r="O4445" s="23" t="n">
        <v>580</v>
      </c>
      <c r="P4445" s="23" t="n"/>
      <c r="Q4445" s="23" t="n"/>
      <c r="R4445" s="25" t="inlineStr">
        <is>
          <t>С понятием стихий мы знакомы с детства. Земля, по которой ходим, огонь, что согревает, вода, которую пьём, и воздух, которым дышим, так же естественны для восприятия, как и то, что всё перечисленное есть основание для жизни. К естественному быстро привыкаешь и перестаёшь замечать удивительные вещи, которые делают человека живым, а ощущение жизни реальным… Однако цель этой книги совсем не в том, чтобы убедить вас в очевидности состояния «жизнь» или необходимости беречь природу. Цель в том, чтобы рассказать вам о стихийных силах в оккультном, магическом смысле, раскрыть их истинную суть.  Каждый может прийти в мир с набором прав, но может и бесправным. Единственное, что у каждого человека есть как базис, как основа формирования любых прав, — это Сила Стихий. Даже совершенно бесправный человек может поднять себя до невероятных высот, если научится работать со стихийными силами. Познание стихийных сил — это познание своей настоящей природы. Это познание природы мира, в котором живёт человек, природы истинной, изначальной. Познание ведёт к пониманию, а понимание даёт контроль. Контроль над своей природой — это первый шаг к постижению великого искусства магии. _x000D_
Пусть эта книга станет путеводной нитью, которая поможет научиться ходить — ходить по магическим тропам постижения себя и сотворённой вами реальности.</t>
        </is>
      </c>
      <c r="S4445" s="26">
        <f>HYPERLINK("http://www.cnpol.ru/covers/21542.jpg","фото на сайте")</f>
        <v/>
      </c>
    </row>
    <row r="4446" ht="50.1" customHeight="1" s="3">
      <c r="A4446" s="23" t="inlineStr">
        <is>
          <t>Д</t>
        </is>
      </c>
      <c r="B4446" s="24" t="inlineStr">
        <is>
          <t>21638</t>
        </is>
      </c>
      <c r="C4446" s="23" t="inlineStr">
        <is>
          <t>Сверхсознание</t>
        </is>
      </c>
      <c r="D4446" s="23" t="inlineStr">
        <is>
          <t>Меньшикова К.Е.</t>
        </is>
      </c>
      <c r="E4446" s="23" t="inlineStr">
        <is>
          <t>Эгрегоры и система управления реальностью</t>
        </is>
      </c>
      <c r="F4446" s="23" t="inlineStr">
        <is>
          <t>        </t>
        </is>
      </c>
      <c r="G4446" s="23" t="n">
        <v>754</v>
      </c>
      <c r="H4446" s="23" t="n">
        <v>10</v>
      </c>
      <c r="I4446" s="23" t="n">
        <v>8</v>
      </c>
      <c r="J4446" s="23" t="inlineStr">
        <is>
          <t>978-5-227-11018-3</t>
        </is>
      </c>
      <c r="K4446" s="23" t="inlineStr">
        <is>
          <t>84x108 1/32</t>
        </is>
      </c>
      <c r="L4446" s="23" t="inlineStr">
        <is>
          <t>тв</t>
        </is>
      </c>
      <c r="M4446" s="23" t="n">
        <v>511</v>
      </c>
      <c r="N4446" s="23" t="n">
        <v>2025</v>
      </c>
      <c r="O4446" s="23" t="n">
        <v>460</v>
      </c>
      <c r="P4446" s="23" t="n"/>
      <c r="Q4446" s="23" t="n"/>
      <c r="R4446" s="25" t="inlineStr">
        <is>
          <t>Построение системы внутренней и внешней свободы — кропотливый труд. Никто не подарит вам свободу, её нужно добывать, завоёвывать и отстаивать. Данная книга — серьёзное подспорье для тех, кто идёт по пути обретения прав — настоящих, а не данных взаймы._x000D_
В первой части вы найдёте важную информацию об устройстве миросети и откроете для себя реальность со стороны управления ею. Систематизация собственных ценностей и убеждений в иной иерархии позволит изменить течение судьбы._x000D_
Вторая часть посвящена эгрегорам как системным образованиям, которые управляют жизнью людей, подчиняя их себе. Можно ли этого избежать? Понять принцип и цель? Научиться управлять?_x000D_
Третья часть поможет в познании потоков сил и позволит вам увидеть мир, в котором выдалось жить, несколько шире. Увидеть и почувствовать течение силы, научиться взаимодействовать с нею — истинная свобода. Тот, кто познал её хоть раз, не сможет более хотеть ничего иного._x000D_
Ищите свою силу, зовите её. Проявленная однажды, она откликнется снова. А найдя, больше не теряйте._x000D_
Прежде чем откроете эту книгу, вы должны знать следующее. В этом мире идут процессы, цель которых не вращается вокруг человека. И он, человек, лишь малая часть огромного организма сил. Постигнуть наш мир человеческому сознанию невозможно в одночасье — всему нужно учиться. Процесс обучения труден порой, но он нужен — в любой форме, в любом виде. Отрицание чего-либо всегда происходит от недостатка знаний, а невозможность принять познанное и найти ему применение — от недостатка любви. Это не вина человека, но необходимость научиться правильно смотреть на вещи. Не читайте эту книгу, если считаете иначе. Читайте эту книгу, если согласны.</t>
        </is>
      </c>
      <c r="S4446" s="26">
        <f>HYPERLINK("http://www.cnpol.ru/covers/21638.jpg","фото на сайте")</f>
        <v/>
      </c>
    </row>
    <row r="4447" ht="50.1" customHeight="1" s="3">
      <c r="A4447" s="23" t="n"/>
      <c r="B4447" s="24" t="inlineStr">
        <is>
          <t>11848</t>
        </is>
      </c>
      <c r="C4447" s="23" t="inlineStr">
        <is>
          <t>СВМ</t>
        </is>
      </c>
      <c r="D4447" s="23" t="inlineStr">
        <is>
          <t>Земке Э.</t>
        </is>
      </c>
      <c r="E4447" s="23" t="inlineStr">
        <is>
          <t>От Сталинграда до Берлина. Операции советских войск и вермахта. 1942-1945</t>
        </is>
      </c>
      <c r="F4447" s="23" t="inlineStr">
        <is>
          <t>        </t>
        </is>
      </c>
      <c r="G4447" s="23" t="n">
        <v>724</v>
      </c>
      <c r="H4447" s="23" t="n">
        <v>10</v>
      </c>
      <c r="I4447" s="23" t="n">
        <v>8</v>
      </c>
      <c r="J4447" s="23" t="inlineStr">
        <is>
          <t>978-5-9524-4891-9</t>
        </is>
      </c>
      <c r="K4447" s="23" t="inlineStr">
        <is>
          <t>60x90 1/16</t>
        </is>
      </c>
      <c r="L4447" s="23" t="inlineStr">
        <is>
          <t>тв</t>
        </is>
      </c>
      <c r="M4447" s="23" t="n">
        <v>604</v>
      </c>
      <c r="N4447" s="23" t="n">
        <v>2010</v>
      </c>
      <c r="O4447" s="23" t="n">
        <v>540</v>
      </c>
      <c r="P4447" s="23" t="n"/>
      <c r="Q4447" s="23" t="n"/>
      <c r="R4447" s="25" t="n"/>
      <c r="S4447" s="26">
        <f>HYPERLINK("http://www.cnpol.ru/covers/11848.jpg","фото на сайте")</f>
        <v/>
      </c>
    </row>
    <row r="4448" ht="50.1" customHeight="1" s="3">
      <c r="A4448" s="23" t="inlineStr">
        <is>
          <t>Д</t>
        </is>
      </c>
      <c r="B4448" s="24" t="inlineStr">
        <is>
          <t>22050</t>
        </is>
      </c>
      <c r="C4448" s="23" t="inlineStr">
        <is>
          <t>СВМ</t>
        </is>
      </c>
      <c r="D4448" s="23" t="inlineStr">
        <is>
          <t>Земке Э.</t>
        </is>
      </c>
      <c r="E4448" s="23" t="inlineStr">
        <is>
          <t>От Сталинграда до Берлина. Операции советских войск и вермахта. 1942-1945</t>
        </is>
      </c>
      <c r="F4448" s="23" t="inlineStr">
        <is>
          <t>        </t>
        </is>
      </c>
      <c r="G4448" s="27" t="n">
        <v>1527</v>
      </c>
      <c r="H4448" s="23" t="n">
        <v>10</v>
      </c>
      <c r="I4448" s="23" t="n">
        <v>5</v>
      </c>
      <c r="J4448" s="23" t="inlineStr">
        <is>
          <t>978-5-9524-4271-9</t>
        </is>
      </c>
      <c r="K4448" s="23" t="inlineStr">
        <is>
          <t>60x90 1/16</t>
        </is>
      </c>
      <c r="L4448" s="23" t="inlineStr">
        <is>
          <t>тв</t>
        </is>
      </c>
      <c r="M4448" s="23" t="n">
        <v>604</v>
      </c>
      <c r="N4448" s="23" t="n">
        <v>2009</v>
      </c>
      <c r="O4448" s="23" t="n">
        <v>701</v>
      </c>
      <c r="P4448" s="23" t="n"/>
      <c r="Q4448" s="23" t="n"/>
      <c r="R4448" s="25" t="inlineStr">
        <is>
          <t>"Начальник отдела военно-исторической службы армии США Эрл Земке в своей книге рассказывает о важнейших сражениях Второй мировой войны и тех факторах, благодаря которым Советский Союз стал доминирующей державой Европы. Автор последовательно, день за днем проследил ход важнейших боев между советскими войсками и немецкими армиями от Сталинграда до Берлина, осветил все аспекты партизанского движения, поведал об операциях, которые призваны были изменить ход войны.
В книге нашли отражение материалы из трофейных архивов германских сухопутных войск и военно-морских сил. Использованы мемуары и другие письменные свидетельства очевидцев, принимавших участие в боевых операциях на Востоке."</t>
        </is>
      </c>
      <c r="S4448" s="26">
        <f>HYPERLINK("http://www.cnpol.ru/covers/22050.jpg","фото на сайте")</f>
        <v/>
      </c>
    </row>
    <row r="4449" ht="50.1" customHeight="1" s="3">
      <c r="A4449" s="23" t="n"/>
      <c r="B4449" s="24" t="inlineStr">
        <is>
          <t>20729</t>
        </is>
      </c>
      <c r="C4449" s="23" t="inlineStr">
        <is>
          <t>СГ</t>
        </is>
      </c>
      <c r="D4449" s="23" t="inlineStr">
        <is>
          <t>Грей И.</t>
        </is>
      </c>
      <c r="E4449" s="23" t="inlineStr">
        <is>
          <t>Вселенная Таро. Полное руководство по чтению и толкованию карт в свете нумерологии, Каббалы и астрологии</t>
        </is>
      </c>
      <c r="F4449" s="23" t="inlineStr">
        <is>
          <t>        </t>
        </is>
      </c>
      <c r="G4449" s="23" t="n">
        <v>641</v>
      </c>
      <c r="H4449" s="23" t="n">
        <v>10</v>
      </c>
      <c r="I4449" s="23" t="n">
        <v>12</v>
      </c>
      <c r="J4449" s="23" t="inlineStr">
        <is>
          <t>978-5-9524-5965-6</t>
        </is>
      </c>
      <c r="K4449" s="23" t="inlineStr">
        <is>
          <t>70x100 1/16</t>
        </is>
      </c>
      <c r="L4449" s="23" t="inlineStr">
        <is>
          <t>тв</t>
        </is>
      </c>
      <c r="M4449" s="23" t="n">
        <v>159</v>
      </c>
      <c r="N4449" s="23" t="n">
        <v>2023</v>
      </c>
      <c r="O4449" s="23" t="n">
        <v>354</v>
      </c>
      <c r="P4449" s="23" t="n"/>
      <c r="Q4449" s="23" t="n"/>
      <c r="R4449" s="25" t="inlineStr">
        <is>
          <t>Загадочная колода Таро на протяжении столетий была доступна лишь избранным, благодаря этой книге вы освоите искусство толкования Таро и соприкоснетесь с магией символов и чисел. В руководстве приведены подробные описания 78 карт колоды Уэйта и схемы раскладов для начинающих таромантов, а также рассмотрены соответствия между арканами, путями сефирот Древа Жизни и знаками зодиака. С помощью руководства вы научитесь читать карты, получите ответы на интересующие вас вопросы и освоите медитативные практики, позволяющие заглянуть в глубины бессознательного.</t>
        </is>
      </c>
      <c r="S4449" s="26">
        <f>HYPERLINK("http://www.cnpol.ru/covers/20729.jpg","фото на сайте")</f>
        <v/>
      </c>
    </row>
    <row r="4450" ht="50.1" customHeight="1" s="3">
      <c r="A4450" s="23" t="inlineStr">
        <is>
          <t>Д</t>
        </is>
      </c>
      <c r="B4450" s="24" t="inlineStr">
        <is>
          <t>22031</t>
        </is>
      </c>
      <c r="C4450" s="23" t="inlineStr">
        <is>
          <t>СГ</t>
        </is>
      </c>
      <c r="D4450" s="23" t="inlineStr">
        <is>
          <t>Каплан С.</t>
        </is>
      </c>
      <c r="E4450" s="23" t="inlineStr">
        <is>
          <t>Классика Таро. Происхождение, история, гадание</t>
        </is>
      </c>
      <c r="F4450" s="23" t="inlineStr">
        <is>
          <t>        </t>
        </is>
      </c>
      <c r="G4450" s="23" t="n">
        <v>835</v>
      </c>
      <c r="H4450" s="23" t="n">
        <v>10</v>
      </c>
      <c r="I4450" s="23" t="n">
        <v>10</v>
      </c>
      <c r="J4450" s="23" t="inlineStr">
        <is>
          <t>978-5-9524-6633-3</t>
        </is>
      </c>
      <c r="K4450" s="23" t="inlineStr">
        <is>
          <t>84x108 1/32</t>
        </is>
      </c>
      <c r="L4450" s="23" t="inlineStr">
        <is>
          <t>тв</t>
        </is>
      </c>
      <c r="M4450" s="23" t="n">
        <v>207</v>
      </c>
      <c r="N4450" s="23" t="n">
        <v>2026</v>
      </c>
      <c r="O4450" s="23" t="n">
        <v>294</v>
      </c>
      <c r="P4450" s="23" t="n"/>
      <c r="Q4450" s="23" t="n"/>
      <c r="R4450" s="25" t="inlineStr">
        <is>
          <t>В этой книге приводится множество интересных фактов из истории карт Таро, рассказывается о тайне их происхождения, различных системах гадания и тонкостях толкования._x000D_
При написании этой работы автор использовал свою уникальную коллекцию колод Таро и сведения из редких изданий.</t>
        </is>
      </c>
      <c r="S4450" s="26">
        <f>HYPERLINK("http://www.cnpol.ru/covers/22031.jpg","фото на сайте")</f>
        <v/>
      </c>
    </row>
    <row r="4451" ht="50.1" customHeight="1" s="3">
      <c r="A4451" s="23" t="inlineStr">
        <is>
          <t>Д</t>
        </is>
      </c>
      <c r="B4451" s="24" t="inlineStr">
        <is>
          <t>22046</t>
        </is>
      </c>
      <c r="C4451" s="23" t="inlineStr">
        <is>
          <t>СГ</t>
        </is>
      </c>
      <c r="D4451" s="23" t="inlineStr">
        <is>
          <t>Меньшикова К.Е.</t>
        </is>
      </c>
      <c r="E4451" s="23" t="inlineStr">
        <is>
          <t>Руны и боги. Древние сакральные знания о рунах, богах и мирах, о северной магии и её тайнах</t>
        </is>
      </c>
      <c r="F4451" s="23" t="inlineStr">
        <is>
          <t>        </t>
        </is>
      </c>
      <c r="G4451" s="23" t="n">
        <v>806</v>
      </c>
      <c r="H4451" s="23" t="n">
        <v>10</v>
      </c>
      <c r="I4451" s="23" t="n">
        <v>8</v>
      </c>
      <c r="J4451" s="23" t="inlineStr">
        <is>
          <t>978-5-227-11278-1</t>
        </is>
      </c>
      <c r="K4451" s="23" t="inlineStr">
        <is>
          <t>60x90 1/16</t>
        </is>
      </c>
      <c r="L4451" s="23" t="inlineStr">
        <is>
          <t>тв</t>
        </is>
      </c>
      <c r="M4451" s="23" t="n">
        <v>496</v>
      </c>
      <c r="N4451" s="23" t="n">
        <v>2026</v>
      </c>
      <c r="O4451" s="23" t="n">
        <v>449</v>
      </c>
      <c r="P4451" s="23" t="n"/>
      <c r="Q4451" s="23" t="n"/>
      <c r="R4451" s="25" t="inlineStr">
        <is>
          <t>Изучать руническую магию можно по-разному. Обычно люди, которые впервые применяют руны, делают это для решения бытовых задач: себя подлечить, близким помочь, денег притянуть, любовь приманить – словом, всё, что близко сердцу и потребно телу. Никто не говорит, что это мелко или неправильно – мы всем этим занимаемся и заниматься будем, в том числе и на страницах этой книги. Но в первую очередь изучающего руническую магию интересуют не столько бытовые эффекты, сколько собственная трансформация. Обычному колдовству можно научиться где угодно и достичь в этом деле ощутимых результатов; и хоть к магии это имеет косвенное отношение, но тоже вполне имеет право быть. Моих учеников в большей степени интересует магия и личное магическое преображение, а это значит, что нам придётся изучать вопрос и глубже, и шире. Нам нужна дополнительная сила и дополнительные знания, чтобы понимать не только как работает магическая формула или намерение, но и почему._x000D_
В этой книге будут изложены основные и обязательные к исполнению законы. Мы подробно разберём силы, пронизывающие этот мир через соединение с пантеоном северных богов. Научимся писать рунические формулы и грамотно использовать их. Изучим те ставы, которые приносят реальный и вполне ощутимый результат; попробуем понять, как именно они работают.</t>
        </is>
      </c>
      <c r="S4451" s="26">
        <f>HYPERLINK("http://www.cnpol.ru/covers/22046.jpg","фото на сайте")</f>
        <v/>
      </c>
    </row>
    <row r="4452" ht="50.1" customHeight="1" s="3">
      <c r="A4452" s="23" t="inlineStr">
        <is>
          <t>Д</t>
        </is>
      </c>
      <c r="B4452" s="24" t="inlineStr">
        <is>
          <t>21866</t>
        </is>
      </c>
      <c r="C4452" s="23" t="inlineStr">
        <is>
          <t>СГ</t>
        </is>
      </c>
      <c r="D4452" s="23" t="inlineStr">
        <is>
          <t>Меньшикова К.Е.</t>
        </is>
      </c>
      <c r="E4452" s="23" t="inlineStr">
        <is>
          <t>Руны раскрывают тайны Мира. Древние знания в магических символах</t>
        </is>
      </c>
      <c r="F4452" s="23" t="inlineStr">
        <is>
          <t>        </t>
        </is>
      </c>
      <c r="G4452" s="23" t="n">
        <v>977</v>
      </c>
      <c r="H4452" s="23" t="n">
        <v>10</v>
      </c>
      <c r="I4452" s="23" t="n">
        <v>6</v>
      </c>
      <c r="J4452" s="23" t="inlineStr">
        <is>
          <t>978-5-227-11161-6</t>
        </is>
      </c>
      <c r="K4452" s="23" t="inlineStr">
        <is>
          <t>60x90 1/16</t>
        </is>
      </c>
      <c r="L4452" s="23" t="inlineStr">
        <is>
          <t>тв</t>
        </is>
      </c>
      <c r="M4452" s="23" t="n">
        <v>608</v>
      </c>
      <c r="N4452" s="23" t="n">
        <v>2025</v>
      </c>
      <c r="O4452" s="23" t="n">
        <v>485</v>
      </c>
      <c r="P4452" s="23" t="n"/>
      <c r="Q4452" s="23" t="n"/>
      <c r="R4452" s="25" t="inlineStr">
        <is>
          <t>Руны — это магические символы, которыми пользовались люди в дохристианскую эпоху. Люди, которые прикасаются к рунам, перестают быть обычными людьми. Методика, на которой построена эта книга, дает возможность использовать руны для изменения, прежде всего, своего внутреннего мира — расширения сознания до уровня полного понимания событий и управления ими. Этот уровень магии дает колоссальные возможности._x000D_
Эта книга — живая. Она построена на реальных переживаниях реальных людей, которые изучали руны. Эти люди изменили себя, переписали свою судьбу, изменили судьбу своих детей, и на страницах книги они рассказывают об этом._x000D_
Следуйте изложенной методике — и вы научитесь мастерству, откроете для себя возможности и мощь древнего магического инструмента._x000D_
ИМЯ ЕМУ — РУНЫ.</t>
        </is>
      </c>
      <c r="S4452" s="26">
        <f>HYPERLINK("http://www.cnpol.ru/covers/21866.jpg","фото на сайте")</f>
        <v/>
      </c>
    </row>
    <row r="4453" ht="50.1" customHeight="1" s="3">
      <c r="A4453" s="23" t="n"/>
      <c r="B4453" s="24" t="inlineStr">
        <is>
          <t>20468</t>
        </is>
      </c>
      <c r="C4453" s="23" t="inlineStr">
        <is>
          <t>СГ</t>
        </is>
      </c>
      <c r="D4453" s="23" t="inlineStr">
        <is>
          <t>Шмаков В.А.</t>
        </is>
      </c>
      <c r="E4453" s="23" t="inlineStr">
        <is>
          <t>Священная книга Тота (цветная). Великие Арканы Таро. Абсолютные начала синтетической философии эзотеризма (Оф.2)</t>
        </is>
      </c>
      <c r="F4453" s="23" t="inlineStr">
        <is>
          <t>        </t>
        </is>
      </c>
      <c r="G4453" s="27" t="n">
        <v>1747</v>
      </c>
      <c r="H4453" s="23" t="n">
        <v>10</v>
      </c>
      <c r="I4453" s="23" t="n">
        <v>6</v>
      </c>
      <c r="J4453" s="23" t="inlineStr">
        <is>
          <t>978-5-227-10116-7</t>
        </is>
      </c>
      <c r="K4453" s="23" t="inlineStr">
        <is>
          <t>60x90 1/16</t>
        </is>
      </c>
      <c r="L4453" s="23" t="inlineStr">
        <is>
          <t>тв</t>
        </is>
      </c>
      <c r="M4453" s="23" t="n">
        <v>735</v>
      </c>
      <c r="N4453" s="23" t="n">
        <v>2022</v>
      </c>
      <c r="O4453" s="23" t="n">
        <v>740</v>
      </c>
      <c r="P4453" s="23" t="n"/>
      <c r="Q4453" s="23" t="n"/>
      <c r="R4453" s="25" t="inlineStr">
        <is>
          <t>Представленная вашему вниманию книга — настоящий кладезь тайного эзотерического знания, сплав самых мощных философских течений и рассчитана не на то, чтобы дать толкование раскладу Таро, а на постижение самых глубочайших идей, стоящих не только за каждым Арканом отдельно, но и за всеми старшими Арканами в целом. Владимир Шмаков — наш умудренный многими познаниями соотечественник, корифей русского оккультизма, обладавший реальной возможностью создать собственное течение, гораздо более углубленное по сравнению с западным миропониманием. К сожалению, революция пресекла развитие русского оккультизма, унеся эту волну в иммиграцию вслед за носителями идей, но труды Шмакова остались, и с их помощью можно хоть немного прикоснуться к божественным смыслам._x000D_
Существует версия, что к этой книге были иллюстрации, найти которые в доступном для печати качестве, к сожалению, невозможно. Тем не менее художник приложил максимальные усилия для того, чтобы восстановить изображение этих Арканов по данным автором описаниям.</t>
        </is>
      </c>
      <c r="S4453" s="26">
        <f>HYPERLINK("http://www.cnpol.ru/covers/20468.jpg","фото на сайте")</f>
        <v/>
      </c>
    </row>
    <row r="4454" ht="50.1" customHeight="1" s="3">
      <c r="A4454" s="23" t="n"/>
      <c r="B4454" s="24" t="inlineStr">
        <is>
          <t>20467</t>
        </is>
      </c>
      <c r="C4454" s="23" t="inlineStr">
        <is>
          <t>СГ</t>
        </is>
      </c>
      <c r="D4454" s="23" t="inlineStr">
        <is>
          <t>Шмаков В.А.</t>
        </is>
      </c>
      <c r="E4454" s="23" t="inlineStr">
        <is>
          <t>Священная книга Тота. Великие Арканы Таро. Абсолютные начала синтетической философии эзотеризма (Оф. 1)</t>
        </is>
      </c>
      <c r="F4454" s="23" t="inlineStr">
        <is>
          <t>        </t>
        </is>
      </c>
      <c r="G4454" s="27" t="n">
        <v>1747</v>
      </c>
      <c r="H4454" s="23" t="n">
        <v>10</v>
      </c>
      <c r="I4454" s="23" t="n">
        <v>6</v>
      </c>
      <c r="J4454" s="23" t="inlineStr">
        <is>
          <t>978-5-227-10114-3</t>
        </is>
      </c>
      <c r="K4454" s="23" t="inlineStr">
        <is>
          <t>60x90 1/16</t>
        </is>
      </c>
      <c r="L4454" s="23" t="inlineStr">
        <is>
          <t>тв</t>
        </is>
      </c>
      <c r="M4454" s="23" t="n">
        <v>735</v>
      </c>
      <c r="N4454" s="23" t="n">
        <v>2022</v>
      </c>
      <c r="O4454" s="23" t="n">
        <v>740</v>
      </c>
      <c r="P4454" s="23" t="n"/>
      <c r="Q4454" s="23" t="n"/>
      <c r="R4454" s="25" t="inlineStr">
        <is>
          <t>Представленная вашему вниманию книга — настоящий кладезь тайного эзотерического знания, сплав самых мощных философских течений и рассчитана не на то, чтобы дать толкование раскладу Таро, а на постижение самых глубочайших идей, стоящих не только за каждым Арканом отдельно, но и за всеми старшими Арканами в целом. Владимир Шмаков — наш умудренный многими познаниями соотечественник, корифей русского оккультизма, обладавший реальной возможностью создать собственное течение, гораздо более углубленное по сравнению с западным миропониманием. К сожалению, революция пресекла развитие русского оккультизма, унеся эту волну в иммиграцию вслед за носителями идей, но труды Шмакова остались, и с их помощью можно хоть немного прикоснуться к божественным смыслам._x000D_
Существует версия, что к этой книге были иллюстрации, найти которые в доступном для печати качестве, к сожалению, невозможно. Тем не менее художник приложил максимальные усилия для того, чтобы восстановить изображение этих Арканов по данным автором описаниям.</t>
        </is>
      </c>
      <c r="S4454" s="26">
        <f>HYPERLINK("http://www.cnpol.ru/covers/20467.jpg","фото на сайте")</f>
        <v/>
      </c>
    </row>
    <row r="4455" ht="50.1" customHeight="1" s="3">
      <c r="A4455" s="23" t="inlineStr">
        <is>
          <t>Д</t>
        </is>
      </c>
      <c r="B4455" s="24" t="inlineStr">
        <is>
          <t>21816</t>
        </is>
      </c>
      <c r="C4455" s="23" t="inlineStr">
        <is>
          <t>СГ</t>
        </is>
      </c>
      <c r="D4455" s="23" t="inlineStr">
        <is>
          <t>Котельникова А.А.</t>
        </is>
      </c>
      <c r="E4455" s="23" t="inlineStr">
        <is>
          <t>Уроки предсказания с Марией Ленорман</t>
        </is>
      </c>
      <c r="F4455" s="23" t="inlineStr">
        <is>
          <t>        </t>
        </is>
      </c>
      <c r="G4455" s="23" t="n">
        <v>534</v>
      </c>
      <c r="H4455" s="23" t="n">
        <v>10</v>
      </c>
      <c r="I4455" s="23" t="n">
        <v>18</v>
      </c>
      <c r="J4455" s="23" t="inlineStr">
        <is>
          <t>978-5-227-10712-1</t>
        </is>
      </c>
      <c r="K4455" s="23" t="inlineStr">
        <is>
          <t>70x100 1/32</t>
        </is>
      </c>
      <c r="L4455" s="23" t="inlineStr">
        <is>
          <t>тв</t>
        </is>
      </c>
      <c r="M4455" s="23" t="n">
        <v>319</v>
      </c>
      <c r="N4455" s="23" t="n">
        <v>2025</v>
      </c>
      <c r="O4455" s="23" t="n">
        <v>222</v>
      </c>
      <c r="P4455" s="23" t="n"/>
      <c r="Q4455" s="23" t="n"/>
      <c r="R4455" s="25" t="inlineStr">
        <is>
          <t>Это ценное пособие по изучению и применению системы гадания Марии Ленорман, личной гадалки императрицы Жозефины. Книга научит читать карты и говорить на языке образов. Она послужит хорошим подспорьем не только ученику, впервые взявшему карты в руки, но и мастеру, ищущему Истину.</t>
        </is>
      </c>
      <c r="S4455" s="26">
        <f>HYPERLINK("http://www.cnpol.ru/covers/21816.jpg","фото на сайте")</f>
        <v/>
      </c>
    </row>
    <row r="4456" ht="50.1" customHeight="1" s="3">
      <c r="A4456" s="23" t="n"/>
      <c r="B4456" s="24" t="inlineStr">
        <is>
          <t>5729</t>
        </is>
      </c>
      <c r="C4456" s="23" t="inlineStr">
        <is>
          <t>СД+</t>
        </is>
      </c>
      <c r="D4456" s="23" t="inlineStr">
        <is>
          <t>Волкова</t>
        </is>
      </c>
      <c r="E4456" s="23" t="inlineStr">
        <is>
          <t>Анемия и другие болезни крови</t>
        </is>
      </c>
      <c r="F4456" s="23" t="inlineStr">
        <is>
          <t>        </t>
        </is>
      </c>
      <c r="G4456" s="23" t="n">
        <v>105</v>
      </c>
      <c r="H4456" s="23" t="n">
        <v>10</v>
      </c>
      <c r="I4456" s="23" t="n">
        <v>48</v>
      </c>
      <c r="J4456" s="23" t="inlineStr">
        <is>
          <t>5-9524-1679-9</t>
        </is>
      </c>
      <c r="K4456" s="23" t="inlineStr">
        <is>
          <t>70x90 1/32</t>
        </is>
      </c>
      <c r="L4456" s="23" t="inlineStr">
        <is>
          <t>мяг</t>
        </is>
      </c>
      <c r="M4456" s="23" t="n">
        <v>159</v>
      </c>
      <c r="N4456" s="23" t="n">
        <v>2005</v>
      </c>
      <c r="O4456" s="23" t="n">
        <v>72</v>
      </c>
      <c r="P4456" s="23" t="n"/>
      <c r="Q4456" s="23" t="n"/>
      <c r="R4456" s="25" t="inlineStr">
        <is>
          <t>Все мы хотим быть здоровыми, жизнерадостными, иметь хороший цвет лица и жить долго. Для этого вы должны прочитать эту книгу об анемии и других болезнях крови, написанную опытным врачом-гематологом высшей категории, кандидатом медицинских наук, доцентом кафедры госпитальной терапии Нижегородской государственной медицинской академии.</t>
        </is>
      </c>
      <c r="S4456" s="26">
        <f>HYPERLINK("http://www.cnpol.ru/covers/5729.jpg","фото на сайте")</f>
        <v/>
      </c>
    </row>
    <row r="4457" ht="50.1" customHeight="1" s="3">
      <c r="A4457" s="23" t="n"/>
      <c r="B4457" s="24" t="inlineStr">
        <is>
          <t>10364</t>
        </is>
      </c>
      <c r="C4457" s="23" t="inlineStr">
        <is>
          <t>СД+</t>
        </is>
      </c>
      <c r="D4457" s="23" t="inlineStr">
        <is>
          <t>Боровков</t>
        </is>
      </c>
      <c r="E4457" s="23" t="inlineStr">
        <is>
          <t>Гипертония Профилактика и методы лечения</t>
        </is>
      </c>
      <c r="F4457" s="23" t="inlineStr">
        <is>
          <t>        </t>
        </is>
      </c>
      <c r="G4457" s="23" t="n">
        <v>79</v>
      </c>
      <c r="H4457" s="23" t="n">
        <v>10</v>
      </c>
      <c r="I4457" s="23" t="n">
        <v>30</v>
      </c>
      <c r="J4457" s="23" t="inlineStr">
        <is>
          <t>978-5-9524-3544-5</t>
        </is>
      </c>
      <c r="K4457" s="23" t="inlineStr">
        <is>
          <t>84x108 1/32 (обл)</t>
        </is>
      </c>
      <c r="L4457" s="23" t="inlineStr">
        <is>
          <t>мяг</t>
        </is>
      </c>
      <c r="M4457" s="23" t="n">
        <v>139</v>
      </c>
      <c r="N4457" s="23" t="n">
        <v>2008</v>
      </c>
      <c r="O4457" s="23" t="inlineStr">
        <is>
          <t>     </t>
        </is>
      </c>
      <c r="P4457" s="23" t="n"/>
      <c r="Q4457" s="23" t="n"/>
      <c r="R4457" s="25" t="inlineStr">
        <is>
          <t>Эта книга будет полезна для очень многих людей, ведь гипертония сейчас распространена, как никогда. Опытные врачи, доктор медицинских наук, профессор Н.Н. Боровков и кандидат медицинских наук В.П. Носов, расскажут вам, отчего развивается артериальная гипертония, научат правильно измерять давление, подскажут, как надо лечиться и какой образ жизни...</t>
        </is>
      </c>
      <c r="S4457" s="26">
        <f>HYPERLINK("http://www.cnpol.ru/covers/10364.jpg","фото на сайте")</f>
        <v/>
      </c>
    </row>
    <row r="4458" ht="50.1" customHeight="1" s="3">
      <c r="A4458" s="23" t="n"/>
      <c r="B4458" s="24" t="inlineStr">
        <is>
          <t>5878</t>
        </is>
      </c>
      <c r="C4458" s="23" t="inlineStr">
        <is>
          <t>СД+</t>
        </is>
      </c>
      <c r="D4458" s="23" t="inlineStr">
        <is>
          <t>Руина О.</t>
        </is>
      </c>
      <c r="E4458" s="23" t="inlineStr">
        <is>
          <t>Детские болезни Профилактика и методы лечения</t>
        </is>
      </c>
      <c r="F4458" s="23" t="inlineStr">
        <is>
          <t>        </t>
        </is>
      </c>
      <c r="G4458" s="23" t="n">
        <v>105</v>
      </c>
      <c r="H4458" s="23" t="n">
        <v>10</v>
      </c>
      <c r="I4458" s="23" t="n">
        <v>30</v>
      </c>
      <c r="J4458" s="23" t="inlineStr">
        <is>
          <t>5-9524-1769-8</t>
        </is>
      </c>
      <c r="K4458" s="23" t="inlineStr">
        <is>
          <t>70x90 1/32</t>
        </is>
      </c>
      <c r="L4458" s="23" t="inlineStr">
        <is>
          <t>мяг</t>
        </is>
      </c>
      <c r="M4458" s="23" t="n">
        <v>191</v>
      </c>
      <c r="N4458" s="23" t="n">
        <v>2005</v>
      </c>
      <c r="O4458" s="23" t="n">
        <v>82</v>
      </c>
      <c r="P4458" s="23" t="n"/>
      <c r="Q4458" s="23" t="n"/>
      <c r="R4458" s="25" t="inlineStr">
        <is>
          <t>Опытный врач-педиатр О.В. Руина написала эту книгу о детских болезнях для всех, кто растит маленьких детей. Вы узнаете, как помочь ребенку при инфекционных и кишечных заболеваниях, болезнях дыхательных путей и многих других. Вам подскажут, в каких случаях к какому доктору следует обратиться и, самое главное, как помочь ребенку до прихода врача.</t>
        </is>
      </c>
      <c r="S4458" s="26">
        <f>HYPERLINK("http://www.cnpol.ru/covers/5878.jpg","фото на сайте")</f>
        <v/>
      </c>
    </row>
    <row r="4459" ht="50.1" customHeight="1" s="3">
      <c r="A4459" s="23" t="n"/>
      <c r="B4459" s="24" t="inlineStr">
        <is>
          <t>7227</t>
        </is>
      </c>
      <c r="C4459" s="23" t="inlineStr">
        <is>
          <t>СД+</t>
        </is>
      </c>
      <c r="D4459" s="23" t="inlineStr">
        <is>
          <t>Краснов</t>
        </is>
      </c>
      <c r="E4459" s="23" t="inlineStr">
        <is>
          <t>Детские инфекции</t>
        </is>
      </c>
      <c r="F4459" s="23" t="inlineStr">
        <is>
          <t>        </t>
        </is>
      </c>
      <c r="G4459" s="23" t="n">
        <v>105</v>
      </c>
      <c r="H4459" s="23" t="n">
        <v>10</v>
      </c>
      <c r="I4459" s="23" t="n">
        <v>30</v>
      </c>
      <c r="J4459" s="23" t="inlineStr">
        <is>
          <t>5-9524-2305-1</t>
        </is>
      </c>
      <c r="K4459" s="23" t="inlineStr">
        <is>
          <t>84x108 1/32 (обл)</t>
        </is>
      </c>
      <c r="L4459" s="23" t="inlineStr">
        <is>
          <t>мяг</t>
        </is>
      </c>
      <c r="M4459" s="23" t="n">
        <v>223</v>
      </c>
      <c r="N4459" s="23" t="n">
        <v>2007</v>
      </c>
      <c r="O4459" s="23" t="n">
        <v>138</v>
      </c>
      <c r="P4459" s="23" t="n"/>
      <c r="Q4459" s="23" t="n"/>
      <c r="R4459" s="25" t="inlineStr">
        <is>
          <t>В  книге в доступной для родителей форме рассказывается о самых распространенных детских инфекциях, о их симптомах, профилактике и методах лечения. Прочитав ее, вы сможете до прихода врача распознать болезнь и в домашних условиях помочь ребенку. Написал эту книгу для родителей доктор медицинских наук, заведующий кафедрой детских инфекций...</t>
        </is>
      </c>
      <c r="S4459" s="26">
        <f>HYPERLINK("http://www.cnpol.ru/covers/7227.jpg","фото на сайте")</f>
        <v/>
      </c>
    </row>
    <row r="4460" ht="50.1" customHeight="1" s="3">
      <c r="A4460" s="23" t="n"/>
      <c r="B4460" s="24" t="inlineStr">
        <is>
          <t>6040</t>
        </is>
      </c>
      <c r="C4460" s="23" t="inlineStr">
        <is>
          <t>СД+</t>
        </is>
      </c>
      <c r="D4460" s="23" t="inlineStr">
        <is>
          <t>Руина О.</t>
        </is>
      </c>
      <c r="E4460" s="23" t="inlineStr">
        <is>
          <t>Доврачебная медицинская помощь</t>
        </is>
      </c>
      <c r="F4460" s="23" t="inlineStr">
        <is>
          <t>        </t>
        </is>
      </c>
      <c r="G4460" s="23" t="n">
        <v>105</v>
      </c>
      <c r="H4460" s="23" t="n">
        <v>10</v>
      </c>
      <c r="I4460" s="23" t="n">
        <v>40</v>
      </c>
      <c r="J4460" s="23" t="inlineStr">
        <is>
          <t>5-9524-1863-5</t>
        </is>
      </c>
      <c r="K4460" s="23" t="inlineStr">
        <is>
          <t>70x90 1/32</t>
        </is>
      </c>
      <c r="L4460" s="23" t="inlineStr">
        <is>
          <t>мяг</t>
        </is>
      </c>
      <c r="M4460" s="23" t="n">
        <v>127</v>
      </c>
      <c r="N4460" s="23" t="n">
        <v>2005</v>
      </c>
      <c r="O4460" s="23" t="n">
        <v>56</v>
      </c>
      <c r="P4460" s="23" t="n"/>
      <c r="Q4460" s="23" t="n"/>
      <c r="R4460" s="25" t="inlineStr">
        <is>
          <t>Человек может оказаться в ситуации, когда следует не растеряться и оказать правильную медицинскую помощь до прихода доктора. Освещаются основные принципы оказания неотложной доврачебной помощи при переломах, вывихах, кровотечениях, ожогах и т.д. Вы узнаете, как помочь больным при стенокардии, приступах бронхиальной астмы, сахарном диабете...</t>
        </is>
      </c>
      <c r="S4460" s="26">
        <f>HYPERLINK("http://www.cnpol.ru/covers/6040.jpg","фото на сайте")</f>
        <v/>
      </c>
    </row>
    <row r="4461" ht="50.1" customHeight="1" s="3">
      <c r="A4461" s="23" t="n"/>
      <c r="B4461" s="24" t="inlineStr">
        <is>
          <t>7228</t>
        </is>
      </c>
      <c r="C4461" s="23" t="inlineStr">
        <is>
          <t>СД+</t>
        </is>
      </c>
      <c r="D4461" s="23" t="inlineStr">
        <is>
          <t>Мазунин</t>
        </is>
      </c>
      <c r="E4461" s="23" t="inlineStr">
        <is>
          <t>Заболевания глаз Профилактика и методы лечения</t>
        </is>
      </c>
      <c r="F4461" s="23" t="inlineStr">
        <is>
          <t>        </t>
        </is>
      </c>
      <c r="G4461" s="23" t="n">
        <v>105</v>
      </c>
      <c r="H4461" s="23" t="n">
        <v>10</v>
      </c>
      <c r="I4461" s="23" t="n">
        <v>40</v>
      </c>
      <c r="J4461" s="23" t="inlineStr">
        <is>
          <t>5-9524-2304-3</t>
        </is>
      </c>
      <c r="K4461" s="23" t="inlineStr">
        <is>
          <t>84x108 1/32 (обл)</t>
        </is>
      </c>
      <c r="L4461" s="23" t="inlineStr">
        <is>
          <t>мяг</t>
        </is>
      </c>
      <c r="M4461" s="23" t="n">
        <v>127</v>
      </c>
      <c r="N4461" s="23" t="n">
        <v>2007</v>
      </c>
      <c r="O4461" s="23" t="n">
        <v>82</v>
      </c>
      <c r="P4461" s="23" t="n"/>
      <c r="Q4461" s="23" t="n"/>
      <c r="R4461" s="25" t="n"/>
      <c r="S4461" s="26">
        <f>HYPERLINK("http://www.cnpol.ru/covers/7228.jpg","фото на сайте")</f>
        <v/>
      </c>
    </row>
    <row r="4462" ht="50.1" customHeight="1" s="3">
      <c r="A4462" s="23" t="n"/>
      <c r="B4462" s="24" t="inlineStr">
        <is>
          <t>5346</t>
        </is>
      </c>
      <c r="C4462" s="23" t="inlineStr">
        <is>
          <t>СД+</t>
        </is>
      </c>
      <c r="D4462" s="23" t="inlineStr">
        <is>
          <t>Алясова</t>
        </is>
      </c>
      <c r="E4462" s="23" t="inlineStr">
        <is>
          <t>Заболевания молочной железы Профилактика и лечение</t>
        </is>
      </c>
      <c r="F4462" s="23" t="inlineStr">
        <is>
          <t>        </t>
        </is>
      </c>
      <c r="G4462" s="23" t="n">
        <v>105</v>
      </c>
      <c r="H4462" s="23" t="n">
        <v>10</v>
      </c>
      <c r="I4462" s="23" t="n">
        <v>40</v>
      </c>
      <c r="J4462" s="23" t="inlineStr">
        <is>
          <t>5-9524-1398-6</t>
        </is>
      </c>
      <c r="K4462" s="23" t="inlineStr">
        <is>
          <t>70x90 1/32</t>
        </is>
      </c>
      <c r="L4462" s="23" t="inlineStr">
        <is>
          <t>мяг</t>
        </is>
      </c>
      <c r="M4462" s="23" t="n">
        <v>189</v>
      </c>
      <c r="N4462" s="23" t="n">
        <v>2004</v>
      </c>
      <c r="O4462" s="23" t="n">
        <v>82</v>
      </c>
      <c r="P4462" s="23" t="n"/>
      <c r="Q4462" s="23" t="n"/>
      <c r="R4462" s="25" t="inlineStr">
        <is>
          <t>В книге в доступной форме представлены причины, симптомы, основные методы диагностики и лечения наиболее распространенных болезней молочной железы, появление которых может наблюдаться не только у женщин, но и у мужчин.</t>
        </is>
      </c>
      <c r="S4462" s="26">
        <f>HYPERLINK("http://www.cnpol.ru/covers/5346.jpg","фото на сайте")</f>
        <v/>
      </c>
    </row>
    <row r="4463" ht="50.1" customHeight="1" s="3">
      <c r="A4463" s="23" t="n"/>
      <c r="B4463" s="24" t="inlineStr">
        <is>
          <t>6453</t>
        </is>
      </c>
      <c r="C4463" s="23" t="inlineStr">
        <is>
          <t>СД+</t>
        </is>
      </c>
      <c r="D4463" s="23" t="inlineStr">
        <is>
          <t>Дощанников</t>
        </is>
      </c>
      <c r="E4463" s="23" t="inlineStr">
        <is>
          <t>Заболевания органов дыхания Профилактика и методы лечения</t>
        </is>
      </c>
      <c r="F4463" s="23" t="inlineStr">
        <is>
          <t>        </t>
        </is>
      </c>
      <c r="G4463" s="23" t="n">
        <v>105</v>
      </c>
      <c r="H4463" s="23" t="n">
        <v>10</v>
      </c>
      <c r="I4463" s="23" t="n">
        <v>40</v>
      </c>
      <c r="J4463" s="23" t="inlineStr">
        <is>
          <t>5-9524-2175-X</t>
        </is>
      </c>
      <c r="K4463" s="23" t="inlineStr">
        <is>
          <t>84x108 1/32 (обл)</t>
        </is>
      </c>
      <c r="L4463" s="23" t="inlineStr">
        <is>
          <t>мяг</t>
        </is>
      </c>
      <c r="M4463" s="23" t="n">
        <v>127</v>
      </c>
      <c r="N4463" s="23" t="n">
        <v>2007</v>
      </c>
      <c r="O4463" s="23" t="n">
        <v>82</v>
      </c>
      <c r="P4463" s="23" t="n"/>
      <c r="Q4463" s="23" t="n"/>
      <c r="R4463" s="25" t="inlineStr">
        <is>
          <t>Заболевания органов дыхания — самые распространенные из всех недугов. Как грамотно с ними бороться, вы узнаете из этой книги, написанной опытным доктором, доцентом кафедры факультетской и поликлинической терапии НГМА, врачом высшей категории, кандидатом медицинских наук Дощанниковым Александром Владимировичем.</t>
        </is>
      </c>
      <c r="S4463" s="26">
        <f>HYPERLINK("http://www.cnpol.ru/covers/6453.jpg","фото на сайте")</f>
        <v/>
      </c>
    </row>
    <row r="4464" ht="50.1" customHeight="1" s="3">
      <c r="A4464" s="23" t="n"/>
      <c r="B4464" s="24" t="inlineStr">
        <is>
          <t>6162</t>
        </is>
      </c>
      <c r="C4464" s="23" t="inlineStr">
        <is>
          <t>СД+</t>
        </is>
      </c>
      <c r="D4464" s="23" t="inlineStr">
        <is>
          <t>Зубеева</t>
        </is>
      </c>
      <c r="E4464" s="23" t="inlineStr">
        <is>
          <t>Ишемическая болезнь сердца Профилактика и лечение</t>
        </is>
      </c>
      <c r="F4464" s="23" t="inlineStr">
        <is>
          <t>        </t>
        </is>
      </c>
      <c r="G4464" s="23" t="n">
        <v>105</v>
      </c>
      <c r="H4464" s="23" t="n">
        <v>10</v>
      </c>
      <c r="I4464" s="23" t="n">
        <v>48</v>
      </c>
      <c r="J4464" s="23" t="inlineStr">
        <is>
          <t>5-9524-1981-X</t>
        </is>
      </c>
      <c r="K4464" s="23" t="inlineStr">
        <is>
          <t>84x108 1/32 (обл)</t>
        </is>
      </c>
      <c r="L4464" s="23" t="inlineStr">
        <is>
          <t>мяг</t>
        </is>
      </c>
      <c r="M4464" s="23" t="n">
        <v>127</v>
      </c>
      <c r="N4464" s="23" t="n">
        <v>2005</v>
      </c>
      <c r="O4464" s="23" t="n">
        <v>84</v>
      </c>
      <c r="P4464" s="23" t="n"/>
      <c r="Q4464" s="23" t="n"/>
      <c r="R4464" s="25" t="inlineStr">
        <is>
          <t>Из книги кандидата медицинских наук, врача высшей категории Г.Н. Зубеевой, вы узнаете, как предотвратить страшный недуг — ишемическую болезнь сердца, научитесь бороться с этим заболеванием, минуя избыточный вес, гипертонический криз, стресс и атеросклероз.</t>
        </is>
      </c>
      <c r="S4464" s="26">
        <f>HYPERLINK("http://www.cnpol.ru/covers/6162.jpg","фото на сайте")</f>
        <v/>
      </c>
    </row>
    <row r="4465" ht="50.1" customHeight="1" s="3">
      <c r="A4465" s="23" t="n"/>
      <c r="B4465" s="24" t="inlineStr">
        <is>
          <t>6158</t>
        </is>
      </c>
      <c r="C4465" s="23" t="inlineStr">
        <is>
          <t>СД+</t>
        </is>
      </c>
      <c r="D4465" s="23" t="inlineStr">
        <is>
          <t>Александрова</t>
        </is>
      </c>
      <c r="E4465" s="23" t="inlineStr">
        <is>
          <t>Как победить стресс Профилактика и методы лечения</t>
        </is>
      </c>
      <c r="F4465" s="23" t="inlineStr">
        <is>
          <t>        </t>
        </is>
      </c>
      <c r="G4465" s="23" t="n">
        <v>105</v>
      </c>
      <c r="H4465" s="23" t="n">
        <v>10</v>
      </c>
      <c r="I4465" s="23" t="n">
        <v>48</v>
      </c>
      <c r="J4465" s="23" t="inlineStr">
        <is>
          <t>5-9524-1983-6</t>
        </is>
      </c>
      <c r="K4465" s="23" t="inlineStr">
        <is>
          <t>84x108 1/32 (обл)</t>
        </is>
      </c>
      <c r="L4465" s="23" t="inlineStr">
        <is>
          <t>мяг</t>
        </is>
      </c>
      <c r="M4465" s="23" t="n">
        <v>128</v>
      </c>
      <c r="N4465" s="23" t="n">
        <v>2005</v>
      </c>
      <c r="O4465" s="23" t="n">
        <v>84</v>
      </c>
      <c r="P4465" s="23" t="n"/>
      <c r="Q4465" s="23" t="n"/>
      <c r="R4465" s="25" t="inlineStr">
        <is>
          <t>Как бороться с такими заболеваниями, как стресс и невроз? Советы опытного врача Е.А. Александровой помогут вам определять факторы, вызывающие это заболевание, и, самое главное, повысить свою нервно-психическую устойчивость.</t>
        </is>
      </c>
      <c r="S4465" s="26">
        <f>HYPERLINK("http://www.cnpol.ru/covers/6158.jpg","фото на сайте")</f>
        <v/>
      </c>
    </row>
    <row r="4466" ht="50.1" customHeight="1" s="3">
      <c r="A4466" s="23" t="n"/>
      <c r="B4466" s="24" t="inlineStr">
        <is>
          <t>6452</t>
        </is>
      </c>
      <c r="C4466" s="23" t="inlineStr">
        <is>
          <t>СД+</t>
        </is>
      </c>
      <c r="D4466" s="23" t="inlineStr">
        <is>
          <t>Крупин</t>
        </is>
      </c>
      <c r="E4466" s="23" t="inlineStr">
        <is>
          <t>Мужские болезни Профилактика и методы лечения</t>
        </is>
      </c>
      <c r="F4466" s="23" t="inlineStr">
        <is>
          <t>        </t>
        </is>
      </c>
      <c r="G4466" s="23" t="n">
        <v>105</v>
      </c>
      <c r="H4466" s="23" t="n">
        <v>10</v>
      </c>
      <c r="I4466" s="23" t="n">
        <v>30</v>
      </c>
      <c r="J4466" s="23" t="inlineStr">
        <is>
          <t>5-9524-2176-8</t>
        </is>
      </c>
      <c r="K4466" s="23" t="inlineStr">
        <is>
          <t>84x108 1/32 (обл)</t>
        </is>
      </c>
      <c r="L4466" s="23" t="inlineStr">
        <is>
          <t>мяг</t>
        </is>
      </c>
      <c r="M4466" s="23" t="n">
        <v>159</v>
      </c>
      <c r="N4466" s="23" t="n">
        <v>2007</v>
      </c>
      <c r="O4466" s="23" t="n">
        <v>100</v>
      </c>
      <c r="P4466" s="23" t="n"/>
      <c r="Q4466" s="23" t="n"/>
      <c r="R4466" s="25" t="n"/>
      <c r="S4466" s="26">
        <f>HYPERLINK("http://www.cnpol.ru/covers/6452.jpg","фото на сайте")</f>
        <v/>
      </c>
    </row>
    <row r="4467" ht="50.1" customHeight="1" s="3">
      <c r="A4467" s="23" t="n"/>
      <c r="B4467" s="24" t="inlineStr">
        <is>
          <t>6161</t>
        </is>
      </c>
      <c r="C4467" s="23" t="inlineStr">
        <is>
          <t>СД+</t>
        </is>
      </c>
      <c r="D4467" s="23" t="inlineStr">
        <is>
          <t>Трошин</t>
        </is>
      </c>
      <c r="E4467" s="23" t="inlineStr">
        <is>
          <t>Наследственность и здоровье Профилактика и лечение</t>
        </is>
      </c>
      <c r="F4467" s="23" t="inlineStr">
        <is>
          <t>        </t>
        </is>
      </c>
      <c r="G4467" s="23" t="n">
        <v>105</v>
      </c>
      <c r="H4467" s="23" t="n">
        <v>10</v>
      </c>
      <c r="I4467" s="23" t="n">
        <v>28</v>
      </c>
      <c r="J4467" s="23" t="inlineStr">
        <is>
          <t>5-9524-1935-6</t>
        </is>
      </c>
      <c r="K4467" s="23" t="inlineStr">
        <is>
          <t>84x108 1/32 (обл)</t>
        </is>
      </c>
      <c r="L4467" s="23" t="inlineStr">
        <is>
          <t>мяг</t>
        </is>
      </c>
      <c r="M4467" s="23" t="n">
        <v>254</v>
      </c>
      <c r="N4467" s="23" t="n">
        <v>2005</v>
      </c>
      <c r="O4467" s="23" t="n">
        <v>158</v>
      </c>
      <c r="P4467" s="23" t="n"/>
      <c r="Q4467" s="23" t="n"/>
      <c r="R4467" s="25" t="n"/>
      <c r="S4467" s="26">
        <f>HYPERLINK("http://www.cnpol.ru/covers/6161.jpg","фото на сайте")</f>
        <v/>
      </c>
    </row>
    <row r="4468" ht="50.1" customHeight="1" s="3">
      <c r="A4468" s="23" t="n"/>
      <c r="B4468" s="24" t="inlineStr">
        <is>
          <t>7171</t>
        </is>
      </c>
      <c r="C4468" s="23" t="inlineStr">
        <is>
          <t>СД+</t>
        </is>
      </c>
      <c r="D4468" s="23" t="inlineStr">
        <is>
          <t>Трошин</t>
        </is>
      </c>
      <c r="E4468" s="23" t="inlineStr">
        <is>
          <t>Нервные заболевания детей и подростков</t>
        </is>
      </c>
      <c r="F4468" s="23" t="inlineStr">
        <is>
          <t>        </t>
        </is>
      </c>
      <c r="G4468" s="23" t="n">
        <v>105</v>
      </c>
      <c r="H4468" s="23" t="n">
        <v>10</v>
      </c>
      <c r="I4468" s="23" t="n">
        <v>20</v>
      </c>
      <c r="J4468" s="23" t="inlineStr">
        <is>
          <t>5-9524-2226-8</t>
        </is>
      </c>
      <c r="K4468" s="23" t="inlineStr">
        <is>
          <t>84x108 1/32 (обл)</t>
        </is>
      </c>
      <c r="L4468" s="23" t="inlineStr">
        <is>
          <t>мяг</t>
        </is>
      </c>
      <c r="M4468" s="23" t="n">
        <v>239</v>
      </c>
      <c r="N4468" s="23" t="n">
        <v>2007</v>
      </c>
      <c r="O4468" s="23" t="n">
        <v>144</v>
      </c>
      <c r="P4468" s="23" t="n"/>
      <c r="Q4468" s="23" t="n"/>
      <c r="R4468" s="25" t="n"/>
      <c r="S4468" s="26">
        <f>HYPERLINK("http://www.cnpol.ru/covers/7171.jpg","фото на сайте")</f>
        <v/>
      </c>
    </row>
    <row r="4469" ht="50.1" customHeight="1" s="3">
      <c r="A4469" s="23" t="n"/>
      <c r="B4469" s="24" t="inlineStr">
        <is>
          <t>5777</t>
        </is>
      </c>
      <c r="C4469" s="23" t="inlineStr">
        <is>
          <t>СД+</t>
        </is>
      </c>
      <c r="D4469" s="23" t="inlineStr">
        <is>
          <t>Сентялов</t>
        </is>
      </c>
      <c r="E4469" s="23" t="inlineStr">
        <is>
          <t>Сахарный диабет Профилактика и методы лечения</t>
        </is>
      </c>
      <c r="F4469" s="23" t="inlineStr">
        <is>
          <t>        </t>
        </is>
      </c>
      <c r="G4469" s="23" t="n">
        <v>105</v>
      </c>
      <c r="H4469" s="23" t="n">
        <v>10</v>
      </c>
      <c r="I4469" s="23" t="n">
        <v>40</v>
      </c>
      <c r="J4469" s="23" t="inlineStr">
        <is>
          <t>5-9524-1723-X</t>
        </is>
      </c>
      <c r="K4469" s="23" t="inlineStr">
        <is>
          <t>70x90 1/32</t>
        </is>
      </c>
      <c r="L4469" s="23" t="inlineStr">
        <is>
          <t>мяг</t>
        </is>
      </c>
      <c r="M4469" s="23" t="n">
        <v>191</v>
      </c>
      <c r="N4469" s="23" t="n">
        <v>2005</v>
      </c>
      <c r="O4469" s="23" t="n">
        <v>82</v>
      </c>
      <c r="P4469" s="23" t="n"/>
      <c r="Q4469" s="23" t="n"/>
      <c r="R4469" s="25" t="n"/>
      <c r="S4469" s="26">
        <f>HYPERLINK("http://www.cnpol.ru/covers/5777.jpg","фото на сайте")</f>
        <v/>
      </c>
    </row>
    <row r="4470" ht="50.1" customHeight="1" s="3">
      <c r="A4470" s="23" t="n"/>
      <c r="B4470" s="24" t="inlineStr">
        <is>
          <t>6343</t>
        </is>
      </c>
      <c r="C4470" s="23" t="inlineStr">
        <is>
          <t>СД+</t>
        </is>
      </c>
      <c r="D4470" s="23" t="inlineStr">
        <is>
          <t>Барсов Б.</t>
        </is>
      </c>
      <c r="E4470" s="23" t="inlineStr">
        <is>
          <t>Туберкулез Профилактика и методы лечения</t>
        </is>
      </c>
      <c r="F4470" s="23" t="inlineStr">
        <is>
          <t>        </t>
        </is>
      </c>
      <c r="G4470" s="23" t="n">
        <v>105</v>
      </c>
      <c r="H4470" s="23" t="n">
        <v>10</v>
      </c>
      <c r="I4470" s="23" t="n">
        <v>30</v>
      </c>
      <c r="J4470" s="23" t="inlineStr">
        <is>
          <t>5-9524-2114-8</t>
        </is>
      </c>
      <c r="K4470" s="23" t="inlineStr">
        <is>
          <t>84x108 1/32 (обл)</t>
        </is>
      </c>
      <c r="L4470" s="23" t="inlineStr">
        <is>
          <t>мяг</t>
        </is>
      </c>
      <c r="M4470" s="23" t="n">
        <v>127</v>
      </c>
      <c r="N4470" s="23" t="n">
        <v>2007</v>
      </c>
      <c r="O4470" s="23" t="n">
        <v>82</v>
      </c>
      <c r="P4470" s="23" t="n"/>
      <c r="Q4470" s="23" t="n"/>
      <c r="R4470" s="25" t="n"/>
      <c r="S4470" s="26">
        <f>HYPERLINK("http://www.cnpol.ru/covers/6343.jpg","фото на сайте")</f>
        <v/>
      </c>
    </row>
    <row r="4471" ht="50.1" customHeight="1" s="3">
      <c r="A4471" s="23" t="n"/>
      <c r="B4471" s="24" t="inlineStr">
        <is>
          <t>5390</t>
        </is>
      </c>
      <c r="C4471" s="23" t="inlineStr">
        <is>
          <t>СД+</t>
        </is>
      </c>
      <c r="D4471" s="23" t="inlineStr">
        <is>
          <t>Архипов</t>
        </is>
      </c>
      <c r="E4471" s="23" t="inlineStr">
        <is>
          <t>Хроническая венозная недостаточность</t>
        </is>
      </c>
      <c r="F4471" s="23" t="inlineStr">
        <is>
          <t>        </t>
        </is>
      </c>
      <c r="G4471" s="23" t="n">
        <v>105</v>
      </c>
      <c r="H4471" s="23" t="n">
        <v>10</v>
      </c>
      <c r="I4471" s="23" t="n">
        <v>80</v>
      </c>
      <c r="J4471" s="23" t="inlineStr">
        <is>
          <t>5-9524-1447-8</t>
        </is>
      </c>
      <c r="K4471" s="23" t="inlineStr">
        <is>
          <t>70x90 1/32</t>
        </is>
      </c>
      <c r="L4471" s="23" t="inlineStr">
        <is>
          <t>мяг</t>
        </is>
      </c>
      <c r="M4471" s="23" t="n">
        <v>95</v>
      </c>
      <c r="N4471" s="23" t="n">
        <v>2005</v>
      </c>
      <c r="O4471" s="23" t="n">
        <v>52</v>
      </c>
      <c r="P4471" s="23" t="n"/>
      <c r="Q4471" s="23" t="n"/>
      <c r="R4471" s="25" t="n"/>
      <c r="S4471" s="26">
        <f>HYPERLINK("http://www.cnpol.ru/covers/5390.jpg","фото на сайте")</f>
        <v/>
      </c>
    </row>
    <row r="4472" ht="50.1" customHeight="1" s="3">
      <c r="A4472" s="23" t="n"/>
      <c r="B4472" s="24" t="inlineStr">
        <is>
          <t>5592</t>
        </is>
      </c>
      <c r="C4472" s="23" t="inlineStr">
        <is>
          <t>СД+</t>
        </is>
      </c>
      <c r="D4472" s="23" t="inlineStr">
        <is>
          <t>Александрова</t>
        </is>
      </c>
      <c r="E4472" s="23" t="inlineStr">
        <is>
          <t>Язвенная болезнь Профилактика и методы лечения</t>
        </is>
      </c>
      <c r="F4472" s="23" t="inlineStr">
        <is>
          <t>        </t>
        </is>
      </c>
      <c r="G4472" s="23" t="n">
        <v>68</v>
      </c>
      <c r="H4472" s="23" t="n">
        <v>10</v>
      </c>
      <c r="I4472" s="23" t="n">
        <v>80</v>
      </c>
      <c r="J4472" s="23" t="inlineStr">
        <is>
          <t>5-9524-1590-3</t>
        </is>
      </c>
      <c r="K4472" s="23" t="inlineStr">
        <is>
          <t>70x90 1/32</t>
        </is>
      </c>
      <c r="L4472" s="23" t="inlineStr">
        <is>
          <t>мяг</t>
        </is>
      </c>
      <c r="M4472" s="23" t="n">
        <v>94</v>
      </c>
      <c r="N4472" s="23" t="n">
        <v>2005</v>
      </c>
      <c r="O4472" s="23" t="n">
        <v>46</v>
      </c>
      <c r="P4472" s="23" t="n"/>
      <c r="Q4472" s="23" t="n"/>
      <c r="R4472" s="25" t="n"/>
      <c r="S4472" s="26">
        <f>HYPERLINK("http://www.cnpol.ru/covers/5592.jpg","фото на сайте")</f>
        <v/>
      </c>
    </row>
    <row r="4473" ht="50.1" customHeight="1" s="3">
      <c r="A4473" s="23" t="n"/>
      <c r="B4473" s="24" t="inlineStr">
        <is>
          <t>17187</t>
        </is>
      </c>
      <c r="C4473" s="23" t="inlineStr">
        <is>
          <t>СЕНСАЦИЯ</t>
        </is>
      </c>
      <c r="D4473" s="23" t="inlineStr">
        <is>
          <t>Фримантл Э</t>
        </is>
      </c>
      <c r="E4473" s="23" t="inlineStr">
        <is>
          <t>Гамбит Королевы</t>
        </is>
      </c>
      <c r="F4473" s="23" t="inlineStr">
        <is>
          <t>        </t>
        </is>
      </c>
      <c r="G4473" s="23" t="n">
        <v>927</v>
      </c>
      <c r="H4473" s="23" t="n">
        <v>10</v>
      </c>
      <c r="I4473" s="23" t="n">
        <v>10</v>
      </c>
      <c r="J4473" s="23" t="inlineStr">
        <is>
          <t>978-5-227-07281-8</t>
        </is>
      </c>
      <c r="K4473" s="23" t="inlineStr">
        <is>
          <t>60x90 1/16</t>
        </is>
      </c>
      <c r="L4473" s="23" t="inlineStr">
        <is>
          <t>тв</t>
        </is>
      </c>
      <c r="M4473" s="23" t="n">
        <v>416</v>
      </c>
      <c r="N4473" s="23" t="n">
        <v>2016</v>
      </c>
      <c r="O4473" s="23" t="n">
        <v>476</v>
      </c>
      <c r="P4473" s="23" t="n"/>
      <c r="Q4473" s="23" t="n"/>
      <c r="R4473" s="25" t="inlineStr">
        <is>
          <t>«Развелся, казнил, умерла, развелся, казнил, пережила…» — эту считалку англичане придумали, чтобы запомнить жен Генриха VIII. Его шестой, и последней, жене повезло больше, чем всем ее предшественницам, — Кате­рине Парр удалось пережить своего властительного супруга, хотя она не однажды оказывалась на краю гибели. Овдовев во второй раз, она вынуждена была явиться ко двору в свиту старшей дочери Генриха VIII ­Марии Тюдор. Здесь Катерина влюбилась в красавца Томаса Сеймура и надеялась выйти за него замуж. Но у короля были на нее свои планы. Привлеченный умом и выдержкой Катерины, король объявил о своем решении жениться на ней. Сеймур был отправлен с глаз долой за границу. Так ­Катерина стала шестой женой стареющего, больного, своенравного монарха, страстно мечтающего еще об одном сыне…</t>
        </is>
      </c>
      <c r="S4473" s="26">
        <f>HYPERLINK("http://www.cnpol.ru/covers/17187.jpg","фото на сайте")</f>
        <v/>
      </c>
    </row>
    <row r="4474" ht="50.1" customHeight="1" s="3">
      <c r="A4474" s="23" t="n"/>
      <c r="B4474" s="24" t="inlineStr">
        <is>
          <t>11563</t>
        </is>
      </c>
      <c r="C4474" s="23" t="inlineStr">
        <is>
          <t>СЕНСАЦИЯ</t>
        </is>
      </c>
      <c r="D4474" s="23" t="inlineStr">
        <is>
          <t>Хилл Д.</t>
        </is>
      </c>
      <c r="E4474" s="23" t="inlineStr">
        <is>
          <t>Договорняк. Предельно откровенная книга о коррупции в мировом спорте</t>
        </is>
      </c>
      <c r="F4474" s="23" t="inlineStr">
        <is>
          <t>        </t>
        </is>
      </c>
      <c r="G4474" s="23" t="n">
        <v>672</v>
      </c>
      <c r="H4474" s="23" t="n">
        <v>10</v>
      </c>
      <c r="I4474" s="23" t="n">
        <v>12</v>
      </c>
      <c r="J4474" s="23" t="inlineStr">
        <is>
          <t>978-5-9524-4700-4</t>
        </is>
      </c>
      <c r="K4474" s="23" t="inlineStr">
        <is>
          <t>84x108 1/32</t>
        </is>
      </c>
      <c r="L4474" s="23" t="inlineStr">
        <is>
          <t>тв</t>
        </is>
      </c>
      <c r="M4474" s="23" t="n">
        <v>383</v>
      </c>
      <c r="N4474" s="23" t="n">
        <v>2009</v>
      </c>
      <c r="O4474" s="23" t="n">
        <v>350</v>
      </c>
      <c r="P4474" s="23" t="n"/>
      <c r="Q4474" s="23" t="n"/>
      <c r="R4474" s="25" t="inlineStr">
        <is>
          <t>"Договорняк" разворачивает перед нами захватывающую историю о вступающих в преступный заговор игроках, гангстерах и спортивном руководстве. Эта книга основывается не на случаях и сплетнях, а на обстоятельном, надежном и соответствующем этическим нормам исследовании._x000D_
"Договорняк" - сенсационное явление в мире журналистики, равных которому практически не существует. Это исследование болезни, угрожающей уничтожить спорт в том виде, в каком мы его знаем._x000D_
Деклан Хилл создал книгу, которая является настоящей жемчужиной аналитической журналистики. Она рассказывает о подпольном мире договорных футбольных матчей, который вышестоящие лица предпочитают не замечать, заметая свидетельства его существования под ковер, чтобы сохранить имидж игры.</t>
        </is>
      </c>
      <c r="S4474" s="26">
        <f>HYPERLINK("http://www.cnpol.ru/covers/11563.jpg","фото на сайте")</f>
        <v/>
      </c>
    </row>
    <row r="4475" ht="50.1" customHeight="1" s="3">
      <c r="A4475" s="23" t="n"/>
      <c r="B4475" s="24" t="inlineStr">
        <is>
          <t>15908</t>
        </is>
      </c>
      <c r="C4475" s="23" t="inlineStr">
        <is>
          <t>СЕНСАЦИЯ</t>
        </is>
      </c>
      <c r="D4475" s="23" t="inlineStr">
        <is>
          <t>Линдаут А., Корбетт С.</t>
        </is>
      </c>
      <c r="E4475" s="23" t="inlineStr">
        <is>
          <t>Дом в небе</t>
        </is>
      </c>
      <c r="F4475" s="23" t="inlineStr">
        <is>
          <t>        </t>
        </is>
      </c>
      <c r="G4475" s="23" t="n">
        <v>763</v>
      </c>
      <c r="H4475" s="23" t="n">
        <v>10</v>
      </c>
      <c r="I4475" s="23" t="n">
        <v>18</v>
      </c>
      <c r="J4475" s="23" t="inlineStr">
        <is>
          <t>978-5-227-05849-2</t>
        </is>
      </c>
      <c r="K4475" s="23" t="inlineStr">
        <is>
          <t>84x108 1/32</t>
        </is>
      </c>
      <c r="L4475" s="23" t="inlineStr">
        <is>
          <t>тв</t>
        </is>
      </c>
      <c r="M4475" s="23" t="n">
        <v>319</v>
      </c>
      <c r="N4475" s="23" t="n">
        <v>2015</v>
      </c>
      <c r="O4475" s="23" t="n">
        <v>350</v>
      </c>
      <c r="P4475" s="23" t="n"/>
      <c r="Q4475" s="23" t="n"/>
      <c r="R4475" s="25" t="inlineStr">
        <is>
          <t>В 2008 г. канадская журналистка Аманда Линдаут и австралийский фотограф Найджел Бреннан отправились в Сомали, чтобы готовить репортажи из этой «горячей точки» Африканского континента. По дороге в лагерь беженцев недалеко от Могадишо они были захвачены в плен вооруженным отрядом исламских фундаменталистов. После освобождения Аманда в соавторстве с Сарой Корбетт издала мемуары о выпавших на ее долю испытаниях. Это горький рассказ о 460 днях страданий и насилия, но также преодоления страха и боли. Книга получила широкую прессу и горячий читательский отклик по всему миру.</t>
        </is>
      </c>
      <c r="S4475" s="26">
        <f>HYPERLINK("http://www.cnpol.ru/covers/15908.jpg","фото на сайте")</f>
        <v/>
      </c>
    </row>
    <row r="4476" ht="50.1" customHeight="1" s="3">
      <c r="A4476" s="23" t="n"/>
      <c r="B4476" s="24" t="inlineStr">
        <is>
          <t>18223</t>
        </is>
      </c>
      <c r="C4476" s="23" t="inlineStr">
        <is>
          <t>СЕНСАЦИЯ</t>
        </is>
      </c>
      <c r="D4476" s="23" t="inlineStr">
        <is>
          <t>Аннабел Э</t>
        </is>
      </c>
      <c r="E4476" s="23" t="inlineStr">
        <is>
          <t>Дочь того самого Джойса</t>
        </is>
      </c>
      <c r="F4476" s="23" t="inlineStr">
        <is>
          <t>        </t>
        </is>
      </c>
      <c r="G4476" s="23" t="n">
        <v>763</v>
      </c>
      <c r="H4476" s="23" t="n">
        <v>10</v>
      </c>
      <c r="I4476" s="23" t="n">
        <v>16</v>
      </c>
      <c r="J4476" s="23" t="inlineStr">
        <is>
          <t>978-5-227-08253-4</t>
        </is>
      </c>
      <c r="K4476" s="23" t="inlineStr">
        <is>
          <t>84x108 1/32</t>
        </is>
      </c>
      <c r="L4476" s="23" t="inlineStr">
        <is>
          <t>тв</t>
        </is>
      </c>
      <c r="M4476" s="23" t="n">
        <v>384</v>
      </c>
      <c r="N4476" s="23" t="n">
        <v>2018</v>
      </c>
      <c r="O4476" s="23" t="n">
        <v>390</v>
      </c>
      <c r="P4476" s="23" t="n"/>
      <c r="Q4476" s="23" t="n"/>
      <c r="R4476" s="25" t="inlineStr">
        <is>
          <t>Книга о любви, творчестве и жизни в тени гения. Завораживающее повествование о драматической судьбе Лючии Джойс, дочери писателя Джеймса Джойса, автора знаменитого «Улисса», танцовщицы, блестяще дебютировавшей на одной из лучших сцен Парижа, талантливой художницы, красавицы, прекрасно говорившей на четырех языках. Что же подорвало так ярко начавшуюся жизнь Лючии? Отчего закатилась ее сверкающая звезда? Автор рассказывает потрясающую и малоизвестную историю, произошедшую в один из самых насыщенных культурных периодов XX века.</t>
        </is>
      </c>
      <c r="S4476" s="26">
        <f>HYPERLINK("http://www.cnpol.ru/covers/18223.jpg","фото на сайте")</f>
        <v/>
      </c>
    </row>
    <row r="4477" ht="50.1" customHeight="1" s="3">
      <c r="A4477" s="23" t="n"/>
      <c r="B4477" s="24" t="inlineStr">
        <is>
          <t>13570</t>
        </is>
      </c>
      <c r="C4477" s="23" t="inlineStr">
        <is>
          <t>СЕНСАЦИЯ</t>
        </is>
      </c>
      <c r="D4477" s="23" t="inlineStr">
        <is>
          <t>Шрайвер Л.</t>
        </is>
      </c>
      <c r="E4477" s="23" t="inlineStr">
        <is>
          <t>Другая жизнь</t>
        </is>
      </c>
      <c r="F4477" s="23" t="inlineStr">
        <is>
          <t>        </t>
        </is>
      </c>
      <c r="G4477" s="23" t="n">
        <v>871</v>
      </c>
      <c r="H4477" s="23" t="n">
        <v>10</v>
      </c>
      <c r="I4477" s="23" t="n">
        <v>8</v>
      </c>
      <c r="J4477" s="23" t="inlineStr">
        <is>
          <t>978-5-227-03584-4</t>
        </is>
      </c>
      <c r="K4477" s="23" t="inlineStr">
        <is>
          <t>60x90 1/16</t>
        </is>
      </c>
      <c r="L4477" s="23" t="inlineStr">
        <is>
          <t>тв</t>
        </is>
      </c>
      <c r="M4477" s="23" t="n">
        <v>463</v>
      </c>
      <c r="N4477" s="23" t="n">
        <v>2012</v>
      </c>
      <c r="O4477" s="23" t="n">
        <v>428</v>
      </c>
      <c r="P4477" s="23" t="n"/>
      <c r="Q4477" s="23" t="n"/>
      <c r="R4477" s="25" t="inlineStr">
        <is>
          <t>Шепард Накер, вполне удачливый бизнесмен, долгие годы лелеял мечту о простой жизни, без пустой суеты и амбиций, без кредитных карточек и автомобильных пробок. И однажды он наконец решился осуществить свою мечту на острове Пемба в Индийском океане, независимо от того, поедет с ним его жена Глинис или нет. Но судьба распорядилась иначе. Нак узнал, что Глинис тяжело больна, и все стало предельно просто в его жизни: ему не нужен счастливый остров без жены. Началась тяжелая, изнурительная борьба со смертельной болезнью. Уходили силы и таяли деньги, вырученные за проданную фирму, мечта утратила очертания, но все же не умерла...</t>
        </is>
      </c>
      <c r="S4477" s="26">
        <f>HYPERLINK("http://www.cnpol.ru/covers/13570.jpg","фото на сайте")</f>
        <v/>
      </c>
    </row>
    <row r="4478" ht="50.1" customHeight="1" s="3">
      <c r="A4478" s="23" t="n"/>
      <c r="B4478" s="24" t="inlineStr">
        <is>
          <t>18109</t>
        </is>
      </c>
      <c r="C4478" s="23" t="inlineStr">
        <is>
          <t>СЕНСАЦИЯ</t>
        </is>
      </c>
      <c r="D4478" s="23" t="inlineStr">
        <is>
          <t>Лоранс К.</t>
        </is>
      </c>
      <c r="E4478" s="23" t="inlineStr">
        <is>
          <t>Единственный, кому ты веришь</t>
        </is>
      </c>
      <c r="F4478" s="23" t="inlineStr">
        <is>
          <t>        </t>
        </is>
      </c>
      <c r="G4478" s="23" t="n">
        <v>653</v>
      </c>
      <c r="H4478" s="23" t="n">
        <v>10</v>
      </c>
      <c r="I4478" s="23" t="n">
        <v>20</v>
      </c>
      <c r="J4478" s="23" t="inlineStr">
        <is>
          <t>978-5-227-08033-2</t>
        </is>
      </c>
      <c r="K4478" s="23" t="inlineStr">
        <is>
          <t>82x100 1/32</t>
        </is>
      </c>
      <c r="L4478" s="23" t="inlineStr">
        <is>
          <t>тв</t>
        </is>
      </c>
      <c r="M4478" s="23" t="n">
        <v>223</v>
      </c>
      <c r="N4478" s="23" t="n">
        <v>2018</v>
      </c>
      <c r="O4478" s="23" t="n">
        <v>264</v>
      </c>
      <c r="P4478" s="23" t="n"/>
      <c r="Q4478" s="23" t="n"/>
      <c r="R4478" s="25" t="inlineStr">
        <is>
          <t>Стремясь получить информацию о своем непостоянном любовнике Жо, 48-летняя разведенная преподавательница Клер создает на Фейсбуке фальшивый профиль. Представляясь яркой брюнеткой двадцати с небольшим лет, она вступает в переписку с ближайшим другом Жо. Невинный обмен сообщениями с Крисом перерастает в бурный роман. Зрелая женщина, которая хочет любить и быть любимой, постепенно оказывается в опасном зеркальном лабиринте, где уже не различить реальный и ­виртуальный мир, основанный на лжи, инсценировках и манипуляциях.</t>
        </is>
      </c>
      <c r="S4478" s="26">
        <f>HYPERLINK("http://www.cnpol.ru/covers/18109.jpg","фото на сайте")</f>
        <v/>
      </c>
    </row>
    <row r="4479" ht="50.1" customHeight="1" s="3">
      <c r="A4479" s="23" t="n"/>
      <c r="B4479" s="24" t="inlineStr">
        <is>
          <t>14683</t>
        </is>
      </c>
      <c r="C4479" s="23" t="inlineStr">
        <is>
          <t>СЕНСАЦИЯ</t>
        </is>
      </c>
      <c r="D4479" s="23" t="inlineStr">
        <is>
          <t>Спилман Л.Н.</t>
        </is>
      </c>
      <c r="E4479" s="23" t="inlineStr">
        <is>
          <t>Жизненный план</t>
        </is>
      </c>
      <c r="F4479" s="23" t="inlineStr">
        <is>
          <t>        </t>
        </is>
      </c>
      <c r="G4479" s="23" t="n">
        <v>743</v>
      </c>
      <c r="H4479" s="23" t="n">
        <v>10</v>
      </c>
      <c r="I4479" s="23" t="n">
        <v>18</v>
      </c>
      <c r="J4479" s="23" t="inlineStr">
        <is>
          <t>978-5-227-04619-2</t>
        </is>
      </c>
      <c r="K4479" s="23" t="inlineStr">
        <is>
          <t>84x108 1/32</t>
        </is>
      </c>
      <c r="L4479" s="23" t="inlineStr">
        <is>
          <t>тв</t>
        </is>
      </c>
      <c r="M4479" s="23" t="n">
        <v>317</v>
      </c>
      <c r="N4479" s="23" t="n">
        <v>2013</v>
      </c>
      <c r="O4479" s="23" t="n">
        <v>348</v>
      </c>
      <c r="P4479" s="23" t="n"/>
      <c r="Q4479" s="23" t="n"/>
      <c r="R4479" s="25" t="inlineStr">
        <is>
          <t>После смерти матери Брет Боулингер с ужасом обнаруживает, что ей одной из трех детей в наследство достался лишь список ее же собственных жизненных целей, написанный в четырнадцать лет, с комментариями мамы. Условие получения остального наследства — выполнение всех пунктов списка, включая и замужество, и даже покупку лошади. Но реально ли осуществить детские мечты всего лишь в течение года? И как, например, помириться с ­отцом, если он уже умер… Нищая, униженная, и все это только ради нее? А тут еще странный мужчина в плаще «Бёрберри»…</t>
        </is>
      </c>
      <c r="S4479" s="26">
        <f>HYPERLINK("http://www.cnpol.ru/covers/14683.jpg","фото на сайте")</f>
        <v/>
      </c>
    </row>
    <row r="4480" ht="50.1" customHeight="1" s="3">
      <c r="A4480" s="23" t="n"/>
      <c r="B4480" s="24" t="inlineStr">
        <is>
          <t>14292</t>
        </is>
      </c>
      <c r="C4480" s="23" t="inlineStr">
        <is>
          <t>СЕНСАЦИЯ</t>
        </is>
      </c>
      <c r="D4480" s="23" t="inlineStr">
        <is>
          <t>Донохью Э.</t>
        </is>
      </c>
      <c r="E4480" s="23" t="inlineStr">
        <is>
          <t>Запечатанное письмо</t>
        </is>
      </c>
      <c r="F4480" s="23" t="inlineStr">
        <is>
          <t>        </t>
        </is>
      </c>
      <c r="G4480" s="23" t="n">
        <v>743</v>
      </c>
      <c r="H4480" s="23" t="n">
        <v>10</v>
      </c>
      <c r="I4480" s="23" t="n">
        <v>12</v>
      </c>
      <c r="J4480" s="23" t="inlineStr">
        <is>
          <t>978-5-227-04322-1</t>
        </is>
      </c>
      <c r="K4480" s="23" t="inlineStr">
        <is>
          <t>84x108 1/32</t>
        </is>
      </c>
      <c r="L4480" s="23" t="inlineStr">
        <is>
          <t>тв</t>
        </is>
      </c>
      <c r="M4480" s="23" t="n">
        <v>413</v>
      </c>
      <c r="N4480" s="23" t="n">
        <v>2013</v>
      </c>
      <c r="O4480" s="23" t="n">
        <v>386</v>
      </c>
      <c r="P4480" s="23" t="n"/>
      <c r="Q4480" s="23" t="n"/>
      <c r="R4480" s="25" t="inlineStr">
        <is>
          <t>Красавица Хелен, дерзкая искательница развлечений, не боится рисковать, и в какой-то момент о ее измене становится известно мужу — адмиралу Кодрингтону. Чтобы избежать огласки и развода, Хелен задумывает интригу, в которую вовлекает старую деву Эмили Фейтфул. Пожилой муж, ветреная жена и близкая подруга образуют роковой треугольник. Их сложные отношения дают толчок к стремительному и неожиданному развитию сюжета, за которым читатель напряженно следит до самой последней страницы, как в настоящем детективе.Роман основан на действительно происходившем в 1864 г. бракоразводном процессе «Кодрингтон против Кодрингтон и Андерсона», подробные отчеты о котором печатались во всех английских газетах.</t>
        </is>
      </c>
      <c r="S4480" s="26">
        <f>HYPERLINK("http://www.cnpol.ru/covers/14292.jpg","фото на сайте")</f>
        <v/>
      </c>
    </row>
    <row r="4481" ht="50.1" customHeight="1" s="3">
      <c r="A4481" s="23" t="n"/>
      <c r="B4481" s="24" t="inlineStr">
        <is>
          <t>17386</t>
        </is>
      </c>
      <c r="C4481" s="23" t="inlineStr">
        <is>
          <t>СЕНСАЦИЯ</t>
        </is>
      </c>
      <c r="D4481" s="23" t="inlineStr">
        <is>
          <t>Фримантл Э</t>
        </is>
      </c>
      <c r="E4481" s="23" t="inlineStr">
        <is>
          <t>Изменницы</t>
        </is>
      </c>
      <c r="F4481" s="23" t="inlineStr">
        <is>
          <t>        </t>
        </is>
      </c>
      <c r="G4481" s="23" t="n">
        <v>927</v>
      </c>
      <c r="H4481" s="23" t="n">
        <v>10</v>
      </c>
      <c r="I4481" s="23" t="n">
        <v>12</v>
      </c>
      <c r="J4481" s="23" t="inlineStr">
        <is>
          <t>978-5-227-07339-6</t>
        </is>
      </c>
      <c r="K4481" s="23" t="inlineStr">
        <is>
          <t>60x90 1/16</t>
        </is>
      </c>
      <c r="L4481" s="23" t="inlineStr">
        <is>
          <t>тв</t>
        </is>
      </c>
      <c r="M4481" s="23" t="n">
        <v>416</v>
      </c>
      <c r="N4481" s="23" t="n">
        <v>2017</v>
      </c>
      <c r="O4481" s="23" t="n">
        <v>458</v>
      </c>
      <c r="P4481" s="23" t="n"/>
      <c r="Q4481" s="23" t="n"/>
      <c r="R4481" s="25" t="inlineStr">
        <is>
          <t>После того как Джейн Грей, прозванная в народе Девятидневной королевой, была свергнута Марией Тюдор и казнена вместе с отцом и мужем по обвинению в государственной измене, семья Грей впала в немилость. И Мария Кровавая, и Елизавета Девственница, упорно подозревая сестер Кэтрин и Мэри Грей в интригах и посягательстве на трон, держали девушек при себе, следя за каждым их шагом. И все же не уследили: ни смертельная опасность, ни строгие запреты не помешали Кэтрин страстно влюбиться и тайно выйти замуж, а Мэри обрести истинного, любящего друга…</t>
        </is>
      </c>
      <c r="S4481" s="26">
        <f>HYPERLINK("http://www.cnpol.ru/covers/17386.jpg","фото на сайте")</f>
        <v/>
      </c>
    </row>
    <row r="4482" ht="50.1" customHeight="1" s="3">
      <c r="A4482" s="23" t="n"/>
      <c r="B4482" s="24" t="inlineStr">
        <is>
          <t>17008</t>
        </is>
      </c>
      <c r="C4482" s="23" t="inlineStr">
        <is>
          <t>СЕНСАЦИЯ</t>
        </is>
      </c>
      <c r="D4482" s="23" t="inlineStr">
        <is>
          <t>Маклей К.</t>
        </is>
      </c>
      <c r="E4482" s="23" t="inlineStr">
        <is>
          <t>Киноклуб</t>
        </is>
      </c>
      <c r="F4482" s="23" t="inlineStr">
        <is>
          <t>        </t>
        </is>
      </c>
      <c r="G4482" s="23" t="n">
        <v>763</v>
      </c>
      <c r="H4482" s="23" t="n">
        <v>10</v>
      </c>
      <c r="I4482" s="23" t="n">
        <v>14</v>
      </c>
      <c r="J4482" s="23" t="inlineStr">
        <is>
          <t>978-5-227-07066-1</t>
        </is>
      </c>
      <c r="K4482" s="23" t="inlineStr">
        <is>
          <t>84x108 1/32</t>
        </is>
      </c>
      <c r="L4482" s="23" t="inlineStr">
        <is>
          <t>тв</t>
        </is>
      </c>
      <c r="M4482" s="23" t="n">
        <v>352</v>
      </c>
      <c r="N4482" s="23" t="n">
        <v>2016</v>
      </c>
      <c r="O4482" s="23" t="n">
        <v>412</v>
      </c>
      <c r="P4482" s="23" t="n"/>
      <c r="Q4482" s="23" t="n"/>
      <c r="R4482" s="25" t="inlineStr">
        <is>
          <t>Казалось бы, что может объединять начинающего писателя, музыканта-бунтаря, плейбоя-миллиардера, примерного семьянина, комика, работающего в жанре комедии  оскорблений, и любителя спорта, ведущего малоподвижный образ жизни? Конечно же общая любовь к кино! Они собираются раз в месяц, чтобы посмотреть какой-нибудь фильм. И этим встречам ничто не может помешать — даже самые фантастические жизненные ситуации, в которые они попадают и которые напоминают то комедию, то мелодраму, то детектив, а то и вовсе фильм ужасов…</t>
        </is>
      </c>
      <c r="S4482" s="26">
        <f>HYPERLINK("http://www.cnpol.ru/covers/17008.jpg","фото на сайте")</f>
        <v/>
      </c>
    </row>
    <row r="4483" ht="50.1" customHeight="1" s="3">
      <c r="A4483" s="23" t="n"/>
      <c r="B4483" s="24" t="inlineStr">
        <is>
          <t>16581</t>
        </is>
      </c>
      <c r="C4483" s="23" t="inlineStr">
        <is>
          <t>СЕНСАЦИЯ</t>
        </is>
      </c>
      <c r="D4483" s="23" t="inlineStr">
        <is>
          <t>Маклей К.</t>
        </is>
      </c>
      <c r="E4483" s="23" t="inlineStr">
        <is>
          <t>Книжная лавка</t>
        </is>
      </c>
      <c r="F4483" s="23" t="inlineStr">
        <is>
          <t>        </t>
        </is>
      </c>
      <c r="G4483" s="23" t="n">
        <v>763</v>
      </c>
      <c r="H4483" s="23" t="n">
        <v>10</v>
      </c>
      <c r="I4483" s="23" t="n">
        <v>12</v>
      </c>
      <c r="J4483" s="23" t="inlineStr">
        <is>
          <t>978-5-227-06552-0</t>
        </is>
      </c>
      <c r="K4483" s="23" t="inlineStr">
        <is>
          <t>84x108 1/32</t>
        </is>
      </c>
      <c r="L4483" s="23" t="inlineStr">
        <is>
          <t>тв</t>
        </is>
      </c>
      <c r="M4483" s="23" t="n">
        <v>320</v>
      </c>
      <c r="N4483" s="23" t="n">
        <v>2016</v>
      </c>
      <c r="O4483" s="23" t="n">
        <v>346</v>
      </c>
      <c r="P4483" s="23" t="n"/>
      <c r="Q4483" s="23" t="n"/>
      <c r="R4483" s="25" t="inlineStr">
        <is>
          <t>Если вы думаете, что книжный магазин можно сравнить с сонным царством, то глубоко заблуждаетесь. На самом деле жизнь в «Книжной лавке» бьет ключом. Управляющий магазином, импозантный итальянец Данте, скрывает от своей авторитарной мамочки страшную тайну. Продавец Себастьян в стремлении получить от жизни все заходит слишком далеко. Интеллектуал Олдос, чья эксцентричность не пользуется по­пулярностью у прекрасного пола, оказывается «темной лошадкой». За скромной внешностью ворчливого старичка Эбенезера прячется тонкая романтическая натура влюбленного рыцаря. Неуравновешенная психика кассирши Мины — еще полбеды, зато ее муж в буквальном смысле слова вооружен и очень опасен. Автор повествования, помощник управляющего, мечтает совсем о другой жизни, но боится что-то менять. Однако после судьбоносной встречи с необычной покупательницей становится понятно: перемен не избежать._x000D_
События развиваются с такой скоростью, что работники «Книжной лавки» едва за ними поспевают. Еще и магазин оказывается на грани закрытия. Кто победит — скромная «Книжная лавка» или огромная международная корпорация, поглощающая все на своем пути? И смогут ли герои воплотить свои мечты?..</t>
        </is>
      </c>
      <c r="S4483" s="26">
        <f>HYPERLINK("http://www.cnpol.ru/covers/16581.jpg","фото на сайте")</f>
        <v/>
      </c>
    </row>
    <row r="4484" ht="50.1" customHeight="1" s="3">
      <c r="A4484" s="23" t="n"/>
      <c r="B4484" s="24" t="inlineStr">
        <is>
          <t>15825</t>
        </is>
      </c>
      <c r="C4484" s="23" t="inlineStr">
        <is>
          <t>СЕНСАЦИЯ</t>
        </is>
      </c>
      <c r="D4484" s="23" t="inlineStr">
        <is>
          <t>Олссон Фредрик Т.</t>
        </is>
      </c>
      <c r="E4484" s="23" t="inlineStr">
        <is>
          <t>Конец цепи</t>
        </is>
      </c>
      <c r="F4484" s="23" t="inlineStr">
        <is>
          <t>        </t>
        </is>
      </c>
      <c r="G4484" s="23" t="n">
        <v>743</v>
      </c>
      <c r="H4484" s="23" t="n">
        <v>10</v>
      </c>
      <c r="I4484" s="23" t="n">
        <v>10</v>
      </c>
      <c r="J4484" s="23" t="inlineStr">
        <is>
          <t>978-5-227-05807-2</t>
        </is>
      </c>
      <c r="K4484" s="23" t="inlineStr">
        <is>
          <t>84x108 1/32</t>
        </is>
      </c>
      <c r="L4484" s="23" t="inlineStr">
        <is>
          <t>тв</t>
        </is>
      </c>
      <c r="M4484" s="23" t="n">
        <v>480</v>
      </c>
      <c r="N4484" s="23" t="n">
        <v>2015</v>
      </c>
      <c r="O4484" s="23" t="n">
        <v>450</v>
      </c>
      <c r="P4484" s="23" t="n"/>
      <c r="Q4484" s="23" t="n"/>
      <c r="R4484" s="25" t="inlineStr">
        <is>
          <t>Вильям Сагдберг, в прошлом авторитетный венный шифровальщик, переживает глубокий душевный кризис. Его карьера разрушена, брак распался, и он уже не в силах противостоять темной депресии. Но, оказывается, таланты Вильямса не забыты. Специалиста по сложным кодам похщают агенты могущественной сверсекретной организации. На него возлагается сложная миссия: расшифровать страшные пророчества, скрытые в человеческом ДНК. Бывшая жена Сандберга. оеспокоенная его странным исчезновением, отправляется на писки. Опытная журналистка, она скоре узнает о существовании затерянного в альпах замка, где пасполагаются некийзасекреченный чентр. Тем временем лишенный свободы Сандберг теряется в догадках. Действительно ли его миссия спасительна, или цели его тюремщиков грозят планетарной катастрофой? Тем временем по миру начинает стремительно распространяться неведомая эпидемия, справиться с которой пытаются чудовищными методами. Вильям упорно стремится докопаться до правды, пока еще не слишком поздно.</t>
        </is>
      </c>
      <c r="S4484" s="26">
        <f>HYPERLINK("http://www.cnpol.ru/covers/15825.jpg","фото на сайте")</f>
        <v/>
      </c>
    </row>
    <row r="4485" ht="50.1" customHeight="1" s="3">
      <c r="A4485" s="23" t="n"/>
      <c r="B4485" s="24" t="inlineStr">
        <is>
          <t>19031</t>
        </is>
      </c>
      <c r="C4485" s="23" t="inlineStr">
        <is>
          <t>СЕНСАЦИЯ</t>
        </is>
      </c>
      <c r="D4485" s="23" t="inlineStr">
        <is>
          <t>Юрас М.</t>
        </is>
      </c>
      <c r="E4485" s="23" t="inlineStr">
        <is>
          <t>Короткие слова — великие лекарства</t>
        </is>
      </c>
      <c r="F4485" s="23" t="inlineStr">
        <is>
          <t>        </t>
        </is>
      </c>
      <c r="G4485" s="23" t="n">
        <v>763</v>
      </c>
      <c r="H4485" s="23" t="n">
        <v>10</v>
      </c>
      <c r="I4485" s="23" t="n">
        <v>16</v>
      </c>
      <c r="J4485" s="23" t="inlineStr">
        <is>
          <t>978-5-227-08933-5</t>
        </is>
      </c>
      <c r="K4485" s="23" t="inlineStr">
        <is>
          <t>84x108 1/32</t>
        </is>
      </c>
      <c r="L4485" s="23" t="inlineStr">
        <is>
          <t>тв</t>
        </is>
      </c>
      <c r="M4485" s="23" t="n">
        <v>256</v>
      </c>
      <c r="N4485" s="23" t="n">
        <v>2020</v>
      </c>
      <c r="O4485" s="23" t="n">
        <v>346</v>
      </c>
      <c r="P4485" s="23" t="n"/>
      <c r="Q4485" s="23" t="n"/>
      <c r="R4485" s="25" t="n"/>
      <c r="S4485" s="26">
        <f>HYPERLINK("http://www.cnpol.ru/covers/19031.jpg","фото на сайте")</f>
        <v/>
      </c>
    </row>
    <row r="4486" ht="50.1" customHeight="1" s="3">
      <c r="A4486" s="23" t="n"/>
      <c r="B4486" s="24" t="inlineStr">
        <is>
          <t>17444</t>
        </is>
      </c>
      <c r="C4486" s="23" t="inlineStr">
        <is>
          <t>СЕНСАЦИЯ</t>
        </is>
      </c>
      <c r="D4486" s="23" t="inlineStr">
        <is>
          <t>Берто Ж.­И.</t>
        </is>
      </c>
      <c r="E4486" s="23" t="inlineStr">
        <is>
          <t>Мадемуазель С</t>
        </is>
      </c>
      <c r="F4486" s="23" t="inlineStr">
        <is>
          <t>        </t>
        </is>
      </c>
      <c r="G4486" s="23" t="n">
        <v>653</v>
      </c>
      <c r="H4486" s="23" t="n">
        <v>10</v>
      </c>
      <c r="I4486" s="23" t="n">
        <v>16</v>
      </c>
      <c r="J4486" s="23" t="inlineStr">
        <is>
          <t>978-5-227-07445-4</t>
        </is>
      </c>
      <c r="K4486" s="23" t="inlineStr">
        <is>
          <t>82x100 1/32</t>
        </is>
      </c>
      <c r="L4486" s="23" t="inlineStr">
        <is>
          <t>тв</t>
        </is>
      </c>
      <c r="M4486" s="23" t="n">
        <v>256</v>
      </c>
      <c r="N4486" s="23" t="n">
        <v>2017</v>
      </c>
      <c r="O4486" s="23" t="n">
        <v>270</v>
      </c>
      <c r="P4486" s="23" t="n"/>
      <c r="Q4486" s="23" t="n"/>
      <c r="R4486" s="25" t="inlineStr">
        <is>
          <t>Любовная исповедь начала прошлого века, облеченная в письма молодой парижанки, воспринимается с тем жадным любопытством, какое обычно вызывает хороший чувственный роман. Эта интригующая книга погружает нас в мир раскрепощенной жен­щины, которая  в период между двумя войнами, в наполненные тревожным ожиданием годы, откровенно демонстрирует запрос на свободу проявления человеческих инстинктов. Дерзость признаний, по­со­временному беззастенчивый язык. Потрясающая и трагическая история любви.</t>
        </is>
      </c>
      <c r="S4486" s="26">
        <f>HYPERLINK("http://www.cnpol.ru/covers/17444.jpg","фото на сайте")</f>
        <v/>
      </c>
    </row>
    <row r="4487" ht="50.1" customHeight="1" s="3">
      <c r="A4487" s="23" t="n"/>
      <c r="B4487" s="24" t="inlineStr">
        <is>
          <t>15767</t>
        </is>
      </c>
      <c r="C4487" s="23" t="inlineStr">
        <is>
          <t>СЕНСАЦИЯ</t>
        </is>
      </c>
      <c r="D4487" s="23" t="inlineStr">
        <is>
          <t>Лахири Д.</t>
        </is>
      </c>
      <c r="E4487" s="23" t="inlineStr">
        <is>
          <t>Низина</t>
        </is>
      </c>
      <c r="F4487" s="23" t="inlineStr">
        <is>
          <t>        </t>
        </is>
      </c>
      <c r="G4487" s="23" t="n">
        <v>763</v>
      </c>
      <c r="H4487" s="23" t="n">
        <v>10</v>
      </c>
      <c r="I4487" s="23" t="n">
        <v>14</v>
      </c>
      <c r="J4487" s="23" t="inlineStr">
        <is>
          <t>978-5-227-05671-9</t>
        </is>
      </c>
      <c r="K4487" s="23" t="inlineStr">
        <is>
          <t>84x108 1/32</t>
        </is>
      </c>
      <c r="L4487" s="23" t="inlineStr">
        <is>
          <t>тв</t>
        </is>
      </c>
      <c r="M4487" s="23" t="n">
        <v>350</v>
      </c>
      <c r="N4487" s="23" t="n">
        <v>2015</v>
      </c>
      <c r="O4487" s="23" t="n">
        <v>354</v>
      </c>
      <c r="P4487" s="23" t="n"/>
      <c r="Q4487" s="23" t="n"/>
      <c r="R4487" s="25" t="n"/>
      <c r="S4487" s="26">
        <f>HYPERLINK("http://www.cnpol.ru/covers/15767.jpg","фото на сайте")</f>
        <v/>
      </c>
    </row>
    <row r="4488" ht="50.1" customHeight="1" s="3">
      <c r="A4488" s="23" t="n"/>
      <c r="B4488" s="24" t="inlineStr">
        <is>
          <t>17868</t>
        </is>
      </c>
      <c r="C4488" s="23" t="inlineStr">
        <is>
          <t>СЕНСАЦИЯ</t>
        </is>
      </c>
      <c r="D4488" s="23" t="inlineStr">
        <is>
          <t>Брэди А.Ф.</t>
        </is>
      </c>
      <c r="E4488" s="23" t="inlineStr">
        <is>
          <t>Обман</t>
        </is>
      </c>
      <c r="F4488" s="23" t="inlineStr">
        <is>
          <t>        </t>
        </is>
      </c>
      <c r="G4488" s="23" t="n">
        <v>763</v>
      </c>
      <c r="H4488" s="23" t="n">
        <v>10</v>
      </c>
      <c r="I4488" s="23" t="n">
        <v>12</v>
      </c>
      <c r="J4488" s="23" t="inlineStr">
        <is>
          <t>978-5-227-08008-0</t>
        </is>
      </c>
      <c r="K4488" s="23" t="inlineStr">
        <is>
          <t>84x108 1/32</t>
        </is>
      </c>
      <c r="L4488" s="23" t="inlineStr">
        <is>
          <t>тв</t>
        </is>
      </c>
      <c r="M4488" s="23" t="n">
        <v>352</v>
      </c>
      <c r="N4488" s="23" t="n">
        <v>2017</v>
      </c>
      <c r="O4488" s="23" t="n">
        <v>358</v>
      </c>
      <c r="P4488" s="23" t="n"/>
      <c r="Q4488" s="23" t="n"/>
      <c r="R4488" s="25" t="n"/>
      <c r="S4488" s="26">
        <f>HYPERLINK("http://www.cnpol.ru/covers/17868.jpg","фото на сайте")</f>
        <v/>
      </c>
    </row>
    <row r="4489" ht="50.1" customHeight="1" s="3">
      <c r="A4489" s="23" t="n"/>
      <c r="B4489" s="24" t="inlineStr">
        <is>
          <t>17629</t>
        </is>
      </c>
      <c r="C4489" s="23" t="inlineStr">
        <is>
          <t>СЕНСАЦИЯ</t>
        </is>
      </c>
      <c r="D4489" s="23" t="inlineStr">
        <is>
          <t>Лафани Ф., Рено Г.</t>
        </is>
      </c>
      <c r="E4489" s="23" t="inlineStr">
        <is>
          <t>Обратный отсчет</t>
        </is>
      </c>
      <c r="F4489" s="23" t="inlineStr">
        <is>
          <t>        </t>
        </is>
      </c>
      <c r="G4489" s="23" t="n">
        <v>763</v>
      </c>
      <c r="H4489" s="23" t="n">
        <v>10</v>
      </c>
      <c r="I4489" s="23" t="n">
        <v>18</v>
      </c>
      <c r="J4489" s="23" t="inlineStr">
        <is>
          <t>978-5-227-07631-1</t>
        </is>
      </c>
      <c r="K4489" s="23" t="inlineStr">
        <is>
          <t>84x108 1/32</t>
        </is>
      </c>
      <c r="L4489" s="23" t="inlineStr">
        <is>
          <t>тв</t>
        </is>
      </c>
      <c r="M4489" s="23" t="n">
        <v>288</v>
      </c>
      <c r="N4489" s="23" t="n">
        <v>2017</v>
      </c>
      <c r="O4489" s="23" t="n">
        <v>336</v>
      </c>
      <c r="P4489" s="23" t="n"/>
      <c r="Q4489" s="23" t="n"/>
      <c r="R4489" s="25" t="n"/>
      <c r="S4489" s="26">
        <f>HYPERLINK("http://www.cnpol.ru/covers/17629.jpg","фото на сайте")</f>
        <v/>
      </c>
    </row>
    <row r="4490" ht="50.1" customHeight="1" s="3">
      <c r="A4490" s="23" t="n"/>
      <c r="B4490" s="24" t="inlineStr">
        <is>
          <t>18265</t>
        </is>
      </c>
      <c r="C4490" s="23" t="inlineStr">
        <is>
          <t>СЕНСАЦИЯ</t>
        </is>
      </c>
      <c r="D4490" s="23" t="inlineStr">
        <is>
          <t>Пен П.</t>
        </is>
      </c>
      <c r="E4490" s="23" t="inlineStr">
        <is>
          <t>Огоньки светлячков</t>
        </is>
      </c>
      <c r="F4490" s="23" t="inlineStr">
        <is>
          <t>        </t>
        </is>
      </c>
      <c r="G4490" s="23" t="n">
        <v>763</v>
      </c>
      <c r="H4490" s="23" t="n">
        <v>10</v>
      </c>
      <c r="I4490" s="23" t="n">
        <v>20</v>
      </c>
      <c r="J4490" s="23" t="inlineStr">
        <is>
          <t>978-5-227-08337-1</t>
        </is>
      </c>
      <c r="K4490" s="23" t="inlineStr">
        <is>
          <t>84x108 1/32</t>
        </is>
      </c>
      <c r="L4490" s="23" t="inlineStr">
        <is>
          <t>тв</t>
        </is>
      </c>
      <c r="M4490" s="23" t="n">
        <v>288</v>
      </c>
      <c r="N4490" s="23" t="n">
        <v>2018</v>
      </c>
      <c r="O4490" s="23" t="n">
        <v>322</v>
      </c>
      <c r="P4490" s="23" t="n"/>
      <c r="Q4490" s="23" t="n"/>
      <c r="R4490" s="25" t="n"/>
      <c r="S4490" s="26">
        <f>HYPERLINK("http://www.cnpol.ru/covers/18265.jpg","фото на сайте")</f>
        <v/>
      </c>
    </row>
    <row r="4491" ht="50.1" customHeight="1" s="3">
      <c r="A4491" s="23" t="n"/>
      <c r="B4491" s="24" t="inlineStr">
        <is>
          <t>18367</t>
        </is>
      </c>
      <c r="C4491" s="23" t="inlineStr">
        <is>
          <t>СЕНСАЦИЯ</t>
        </is>
      </c>
      <c r="D4491" s="23" t="inlineStr">
        <is>
          <t>Болори Д.</t>
        </is>
      </c>
      <c r="E4491" s="23" t="inlineStr">
        <is>
          <t>Список желаний</t>
        </is>
      </c>
      <c r="F4491" s="23" t="inlineStr">
        <is>
          <t>        </t>
        </is>
      </c>
      <c r="G4491" s="23" t="n">
        <v>763</v>
      </c>
      <c r="H4491" s="23" t="n">
        <v>10</v>
      </c>
      <c r="I4491" s="23" t="n">
        <v>14</v>
      </c>
      <c r="J4491" s="23" t="inlineStr">
        <is>
          <t>978-5-227-08401-9</t>
        </is>
      </c>
      <c r="K4491" s="23" t="inlineStr">
        <is>
          <t>84x108 1/32</t>
        </is>
      </c>
      <c r="L4491" s="23" t="inlineStr">
        <is>
          <t>тв</t>
        </is>
      </c>
      <c r="M4491" s="23" t="n">
        <v>416</v>
      </c>
      <c r="N4491" s="23" t="n">
        <v>2018</v>
      </c>
      <c r="O4491" s="23" t="n">
        <v>418</v>
      </c>
      <c r="P4491" s="23" t="n"/>
      <c r="Q4491" s="23" t="n"/>
      <c r="R4491" s="25" t="n"/>
      <c r="S4491" s="26">
        <f>HYPERLINK("http://www.cnpol.ru/covers/18367.jpg","фото на сайте")</f>
        <v/>
      </c>
    </row>
    <row r="4492" ht="50.1" customHeight="1" s="3">
      <c r="A4492" s="23" t="n"/>
      <c r="B4492" s="24" t="inlineStr">
        <is>
          <t>15692</t>
        </is>
      </c>
      <c r="C4492" s="23" t="inlineStr">
        <is>
          <t>СЕНСАЦИЯ</t>
        </is>
      </c>
      <c r="D4492" s="23" t="inlineStr">
        <is>
          <t>Томпсон Д.</t>
        </is>
      </c>
      <c r="E4492" s="23" t="inlineStr">
        <is>
          <t>Супермодель и фанерный ящик. Шокирующие истоии и причудливая экономка современного искуства</t>
        </is>
      </c>
      <c r="F4492" s="23" t="inlineStr">
        <is>
          <t>        </t>
        </is>
      </c>
      <c r="G4492" s="23" t="n">
        <v>822</v>
      </c>
      <c r="H4492" s="23" t="n">
        <v>10</v>
      </c>
      <c r="I4492" s="23" t="n">
        <v>12</v>
      </c>
      <c r="J4492" s="23" t="inlineStr">
        <is>
          <t>978-5-227-056573</t>
        </is>
      </c>
      <c r="K4492" s="23" t="inlineStr">
        <is>
          <t>60x90 1/16</t>
        </is>
      </c>
      <c r="L4492" s="23" t="inlineStr">
        <is>
          <t>тв</t>
        </is>
      </c>
      <c r="M4492" s="23" t="n">
        <v>350</v>
      </c>
      <c r="N4492" s="23" t="n">
        <v>2014</v>
      </c>
      <c r="O4492" s="23" t="n">
        <v>486</v>
      </c>
      <c r="P4492" s="23" t="n"/>
      <c r="Q4492" s="23" t="n"/>
      <c r="R4492" s="25" t="n"/>
      <c r="S4492" s="26">
        <f>HYPERLINK("http://www.cnpol.ru/covers/15692.jpg","фото на сайте")</f>
        <v/>
      </c>
    </row>
    <row r="4493" ht="50.1" customHeight="1" s="3">
      <c r="A4493" s="23" t="n"/>
      <c r="B4493" s="24" t="inlineStr">
        <is>
          <t>15691</t>
        </is>
      </c>
      <c r="C4493" s="23" t="inlineStr">
        <is>
          <t>СЕНСАЦИЯ</t>
        </is>
      </c>
      <c r="D4493" s="23" t="inlineStr">
        <is>
          <t>Дэвис К</t>
        </is>
      </c>
      <c r="E4493" s="23" t="inlineStr">
        <is>
          <t>Только одна ночь</t>
        </is>
      </c>
      <c r="F4493" s="23" t="inlineStr">
        <is>
          <t>        </t>
        </is>
      </c>
      <c r="G4493" s="23" t="n">
        <v>724</v>
      </c>
      <c r="H4493" s="23" t="n">
        <v>10</v>
      </c>
      <c r="I4493" s="23" t="n">
        <v>12</v>
      </c>
      <c r="J4493" s="23" t="inlineStr">
        <is>
          <t>978-5-227-05626-9</t>
        </is>
      </c>
      <c r="K4493" s="23" t="inlineStr">
        <is>
          <t>84x108 1/32</t>
        </is>
      </c>
      <c r="L4493" s="23" t="inlineStr">
        <is>
          <t>тв</t>
        </is>
      </c>
      <c r="M4493" s="23" t="n">
        <v>383</v>
      </c>
      <c r="N4493" s="23" t="n">
        <v>2014</v>
      </c>
      <c r="O4493" s="23" t="n">
        <v>382</v>
      </c>
      <c r="P4493" s="23" t="n"/>
      <c r="Q4493" s="23" t="n"/>
      <c r="R4493" s="25" t="n"/>
      <c r="S4493" s="26">
        <f>HYPERLINK("http://www.cnpol.ru/covers/15691.jpg","фото на сайте")</f>
        <v/>
      </c>
    </row>
    <row r="4494" ht="50.1" customHeight="1" s="3">
      <c r="A4494" s="23" t="n"/>
      <c r="B4494" s="24" t="inlineStr">
        <is>
          <t>17814</t>
        </is>
      </c>
      <c r="C4494" s="23" t="inlineStr">
        <is>
          <t>СЕНСАЦИЯ</t>
        </is>
      </c>
      <c r="D4494" s="23" t="inlineStr">
        <is>
          <t>Рёстлунд Б</t>
        </is>
      </c>
      <c r="E4494" s="23" t="inlineStr">
        <is>
          <t>У подножия Монмартра</t>
        </is>
      </c>
      <c r="F4494" s="23" t="inlineStr">
        <is>
          <t>        </t>
        </is>
      </c>
      <c r="G4494" s="23" t="n">
        <v>763</v>
      </c>
      <c r="H4494" s="23" t="n">
        <v>10</v>
      </c>
      <c r="I4494" s="23" t="n">
        <v>16</v>
      </c>
      <c r="J4494" s="23" t="inlineStr">
        <is>
          <t>978-5-227-07794-3</t>
        </is>
      </c>
      <c r="K4494" s="23" t="inlineStr">
        <is>
          <t>84x108 1/32</t>
        </is>
      </c>
      <c r="L4494" s="23" t="inlineStr">
        <is>
          <t>тв</t>
        </is>
      </c>
      <c r="M4494" s="23" t="n">
        <v>384</v>
      </c>
      <c r="N4494" s="23" t="n">
        <v>2017</v>
      </c>
      <c r="O4494" s="23" t="n">
        <v>370</v>
      </c>
      <c r="P4494" s="23" t="n"/>
      <c r="Q4494" s="23" t="n"/>
      <c r="R4494" s="25" t="n"/>
      <c r="S4494" s="26">
        <f>HYPERLINK("http://www.cnpol.ru/covers/17814.jpg","фото на сайте")</f>
        <v/>
      </c>
    </row>
    <row r="4495" ht="50.1" customHeight="1" s="3">
      <c r="A4495" s="23" t="n"/>
      <c r="B4495" s="24" t="inlineStr">
        <is>
          <t>19178</t>
        </is>
      </c>
      <c r="C4495" s="23" t="inlineStr">
        <is>
          <t>СЕНСАЦИЯ</t>
        </is>
      </c>
      <c r="D4495" s="23" t="inlineStr">
        <is>
          <t>Кермель Э.д</t>
        </is>
      </c>
      <c r="E4495" s="23" t="inlineStr">
        <is>
          <t>Хозяйка книжной лавки на площади Трав</t>
        </is>
      </c>
      <c r="F4495" s="23" t="inlineStr">
        <is>
          <t>        </t>
        </is>
      </c>
      <c r="G4495" s="23" t="n">
        <v>712</v>
      </c>
      <c r="H4495" s="23" t="n">
        <v>10</v>
      </c>
      <c r="I4495" s="23" t="n">
        <v>16</v>
      </c>
      <c r="J4495" s="23" t="inlineStr">
        <is>
          <t>978-5-227-09026-3</t>
        </is>
      </c>
      <c r="K4495" s="23" t="inlineStr">
        <is>
          <t>84x108 1/32</t>
        </is>
      </c>
      <c r="L4495" s="23" t="inlineStr">
        <is>
          <t>тв</t>
        </is>
      </c>
      <c r="M4495" s="23" t="n">
        <v>256</v>
      </c>
      <c r="N4495" s="23" t="n">
        <v>2020</v>
      </c>
      <c r="O4495" s="23" t="n">
        <v>348</v>
      </c>
      <c r="P4495" s="23" t="n"/>
      <c r="Q4495" s="23" t="n"/>
      <c r="R4495" s="25" t="n"/>
      <c r="S4495" s="26">
        <f>HYPERLINK("http://www.cnpol.ru/covers/19178.jpg","фото на сайте")</f>
        <v/>
      </c>
    </row>
    <row r="4496" ht="50.1" customHeight="1" s="3">
      <c r="A4496" s="23" t="n"/>
      <c r="B4496" s="24" t="inlineStr">
        <is>
          <t>15161</t>
        </is>
      </c>
      <c r="C4496" s="23" t="inlineStr">
        <is>
          <t>СЕНСАЦИЯ</t>
        </is>
      </c>
      <c r="D4496" s="23" t="inlineStr">
        <is>
          <t>Клостерман Ч</t>
        </is>
      </c>
      <c r="E4496" s="23" t="inlineStr">
        <is>
          <t>Человек видимый</t>
        </is>
      </c>
      <c r="F4496" s="23" t="inlineStr">
        <is>
          <t>        </t>
        </is>
      </c>
      <c r="G4496" s="23" t="n">
        <v>653</v>
      </c>
      <c r="H4496" s="23" t="n">
        <v>10</v>
      </c>
      <c r="I4496" s="23" t="n">
        <v>16</v>
      </c>
      <c r="J4496" s="23" t="inlineStr">
        <is>
          <t>978-5-227-05008-3</t>
        </is>
      </c>
      <c r="K4496" s="23" t="inlineStr">
        <is>
          <t>82x100 1/32</t>
        </is>
      </c>
      <c r="L4496" s="23" t="inlineStr">
        <is>
          <t>тв</t>
        </is>
      </c>
      <c r="M4496" s="23" t="n">
        <v>285</v>
      </c>
      <c r="N4496" s="23" t="n">
        <v>2014</v>
      </c>
      <c r="O4496" s="23" t="n">
        <v>324</v>
      </c>
      <c r="P4496" s="23" t="n"/>
      <c r="Q4496" s="23" t="n"/>
      <c r="R4496" s="25" t="n"/>
      <c r="S4496" s="26">
        <f>HYPERLINK("http://www.cnpol.ru/covers/15161.jpg","фото на сайте")</f>
        <v/>
      </c>
    </row>
    <row r="4497" ht="50.1" customHeight="1" s="3">
      <c r="A4497" s="23" t="n"/>
      <c r="B4497" s="24" t="inlineStr">
        <is>
          <t>12289</t>
        </is>
      </c>
      <c r="C4497" s="23" t="inlineStr">
        <is>
          <t>СЕРВИС</t>
        </is>
      </c>
      <c r="D4497" s="23" t="inlineStr">
        <is>
          <t>Митше Э.</t>
        </is>
      </c>
      <c r="E4497" s="23" t="inlineStr">
        <is>
          <t>Кухня.Менеджмент и организация</t>
        </is>
      </c>
      <c r="F4497" s="23" t="inlineStr">
        <is>
          <t>        </t>
        </is>
      </c>
      <c r="G4497" s="27" t="n">
        <v>3585</v>
      </c>
      <c r="H4497" s="23" t="n">
        <v>10</v>
      </c>
      <c r="I4497" s="23" t="n">
        <v>8</v>
      </c>
      <c r="J4497" s="23" t="inlineStr">
        <is>
          <t>978-5-227-02301-8</t>
        </is>
      </c>
      <c r="K4497" s="23" t="inlineStr">
        <is>
          <t>84x108 1/16</t>
        </is>
      </c>
      <c r="L4497" s="23" t="inlineStr">
        <is>
          <t>тв</t>
        </is>
      </c>
      <c r="M4497" s="23" t="n">
        <v>252</v>
      </c>
      <c r="N4497" s="23" t="n">
        <v>2010</v>
      </c>
      <c r="O4497" s="23" t="n">
        <v>842</v>
      </c>
      <c r="P4497" s="23" t="n"/>
      <c r="Q4497" s="23" t="n"/>
      <c r="R4497" s="25" t="inlineStr">
        <is>
          <t>Именитые авторы излагают в этой книге свой многолетний опыт работы в различных предприятиях питания и преподавания в профессиональных и туристических колледжах, чтобы передать начинающим поварам опыт организации ресторанного бизнеса, позволя¬ющий работать профессионально, экономя время и деньги. Здесь в простой и доступной форме можно найти все необходимые практически ориентированные знания — начиная от первых шагов по карьерной лестнице до должностных обязанностей шеф-повара, от гигиены до безопасности, от новейших ресторанных технологий и оборудования, эффективного управления ресторанной кухней и экономичных закупок до расчетов и далее до культуры питания — словом, на этих страницах представлена вся подоплека «суровых трудовых будней» ресторатора.</t>
        </is>
      </c>
      <c r="S4497" s="26">
        <f>HYPERLINK("http://www.cnpol.ru/covers/12289.jpg","фото на сайте")</f>
        <v/>
      </c>
    </row>
    <row r="4498" ht="50.1" customHeight="1" s="3">
      <c r="A4498" s="23" t="n"/>
      <c r="B4498" s="24" t="inlineStr">
        <is>
          <t>11045</t>
        </is>
      </c>
      <c r="C4498" s="23" t="inlineStr">
        <is>
          <t>СЕРВИС</t>
        </is>
      </c>
      <c r="D4498" s="23" t="inlineStr">
        <is>
          <t>Зигель</t>
        </is>
      </c>
      <c r="E4498" s="23" t="inlineStr">
        <is>
          <t>Сервис напитков. Основы международной практики для профессионалов</t>
        </is>
      </c>
      <c r="F4498" s="23" t="inlineStr">
        <is>
          <t>        </t>
        </is>
      </c>
      <c r="G4498" s="27" t="n">
        <v>3585</v>
      </c>
      <c r="H4498" s="23" t="n">
        <v>10</v>
      </c>
      <c r="I4498" s="23" t="n">
        <v>5</v>
      </c>
      <c r="J4498" s="23" t="inlineStr">
        <is>
          <t>978-5-9524-4107-1</t>
        </is>
      </c>
      <c r="K4498" s="23" t="inlineStr">
        <is>
          <t>84x108 1/16</t>
        </is>
      </c>
      <c r="L4498" s="23" t="inlineStr">
        <is>
          <t>тв</t>
        </is>
      </c>
      <c r="M4498" s="23" t="n">
        <v>254</v>
      </c>
      <c r="N4498" s="23" t="n">
        <v>2009</v>
      </c>
      <c r="O4498" s="23" t="n">
        <v>682</v>
      </c>
      <c r="P4498" s="23" t="n"/>
      <c r="Q4498" s="23" t="n"/>
      <c r="R4498" s="25" t="n"/>
      <c r="S4498" s="26">
        <f>HYPERLINK("http://www.cnpol.ru/covers/11045.jpg","фото на сайте")</f>
        <v/>
      </c>
    </row>
    <row r="4499" ht="50.1" customHeight="1" s="3">
      <c r="A4499" s="23" t="n"/>
      <c r="B4499" s="24" t="inlineStr">
        <is>
          <t>15206</t>
        </is>
      </c>
      <c r="C4499" s="23" t="inlineStr">
        <is>
          <t>СЕРЕНАДА</t>
        </is>
      </c>
      <c r="D4499" s="23" t="inlineStr">
        <is>
          <t>Физерстоун Ш.</t>
        </is>
      </c>
      <c r="E4499" s="23" t="inlineStr">
        <is>
          <t>Гордость и страсть</t>
        </is>
      </c>
      <c r="F4499" s="23" t="inlineStr">
        <is>
          <t>        </t>
        </is>
      </c>
      <c r="G4499" s="23" t="n">
        <v>389</v>
      </c>
      <c r="H4499" s="23" t="n">
        <v>10</v>
      </c>
      <c r="I4499" s="23" t="n">
        <v>14</v>
      </c>
      <c r="J4499" s="23" t="inlineStr">
        <is>
          <t>978-5-227-05247-6</t>
        </is>
      </c>
      <c r="K4499" s="23" t="inlineStr">
        <is>
          <t>84x108 1/32</t>
        </is>
      </c>
      <c r="L4499" s="23" t="inlineStr">
        <is>
          <t>тв</t>
        </is>
      </c>
      <c r="M4499" s="23" t="n">
        <v>315</v>
      </c>
      <c r="N4499" s="23" t="n">
        <v>2014</v>
      </c>
      <c r="O4499" s="23" t="n">
        <v>270</v>
      </c>
      <c r="P4499" s="23" t="n"/>
      <c r="Q4499" s="23" t="n"/>
      <c r="R4499" s="25" t="inlineStr">
        <is>
          <t>Красавица Люси Эштон предназначена в жены герцогу Сассексу, которого она считает бесстрастным и педантичным, высокородным богачом. А девушка хранит память о юном помощнике лавочника, который однажды согрел ее одинокое детское сердце своей добротой и великодушием. Видно, в память о нем Люси влюбилась в простого художника. И даже узнав, что ее возлюбленный негодяй и убийца, Люси не захотела забыть его. Герцог Сассекс поклялся разыскать, разоблачить и наказать Томаса за преступление. Ради того, чтобы помешать любимой невесте попасть во власть негодяя, герцог готов на все…</t>
        </is>
      </c>
      <c r="S4499" s="26">
        <f>HYPERLINK("http://www.cnpol.ru/covers/15206.jpg","фото на сайте")</f>
        <v/>
      </c>
    </row>
    <row r="4500" ht="50.1" customHeight="1" s="3">
      <c r="A4500" s="23" t="n"/>
      <c r="B4500" s="24" t="inlineStr">
        <is>
          <t>15353</t>
        </is>
      </c>
      <c r="C4500" s="23" t="inlineStr">
        <is>
          <t>СЕРЕНАДА</t>
        </is>
      </c>
      <c r="D4500" s="23" t="inlineStr">
        <is>
          <t>Кэмп К.</t>
        </is>
      </c>
      <c r="E4500" s="23" t="inlineStr">
        <is>
          <t>Опасный мужчина</t>
        </is>
      </c>
      <c r="F4500" s="23" t="inlineStr">
        <is>
          <t>        </t>
        </is>
      </c>
      <c r="G4500" s="23" t="n">
        <v>389</v>
      </c>
      <c r="H4500" s="23" t="n">
        <v>10</v>
      </c>
      <c r="I4500" s="23" t="n">
        <v>14</v>
      </c>
      <c r="J4500" s="23" t="inlineStr">
        <is>
          <t>978-5-227-05307-7</t>
        </is>
      </c>
      <c r="K4500" s="23" t="inlineStr">
        <is>
          <t>84x108 1/32</t>
        </is>
      </c>
      <c r="L4500" s="23" t="inlineStr">
        <is>
          <t>тв</t>
        </is>
      </c>
      <c r="M4500" s="23" t="n">
        <v>315</v>
      </c>
      <c r="N4500" s="23" t="n">
        <v>2014</v>
      </c>
      <c r="O4500" s="23" t="n">
        <v>272</v>
      </c>
      <c r="P4500" s="23" t="n"/>
      <c r="Q4500" s="23" t="n"/>
      <c r="R4500" s="25" t="n"/>
      <c r="S4500" s="26">
        <f>HYPERLINK("http://www.cnpol.ru/covers/15353.jpg","фото на сайте")</f>
        <v/>
      </c>
    </row>
    <row r="4501" ht="50.1" customHeight="1" s="3">
      <c r="A4501" s="23" t="n"/>
      <c r="B4501" s="24" t="inlineStr">
        <is>
          <t>11018</t>
        </is>
      </c>
      <c r="C4501" s="23" t="inlineStr">
        <is>
          <t>СИ</t>
        </is>
      </c>
      <c r="D4501" s="23" t="inlineStr">
        <is>
          <t>Алешина Н.</t>
        </is>
      </c>
      <c r="E4501" s="23" t="inlineStr">
        <is>
          <t>Уникальные рецепты народных целителей</t>
        </is>
      </c>
      <c r="F4501" s="23" t="inlineStr">
        <is>
          <t>        </t>
        </is>
      </c>
      <c r="G4501" s="23" t="n">
        <v>123</v>
      </c>
      <c r="H4501" s="23" t="n">
        <v>10</v>
      </c>
      <c r="I4501" s="23" t="n">
        <v>40</v>
      </c>
      <c r="J4501" s="23" t="inlineStr">
        <is>
          <t>978-5-9524-4150-7</t>
        </is>
      </c>
      <c r="K4501" s="23" t="inlineStr">
        <is>
          <t>84x108 1/32 (обл)</t>
        </is>
      </c>
      <c r="L4501" s="23" t="inlineStr">
        <is>
          <t>мяг</t>
        </is>
      </c>
      <c r="M4501" s="23" t="n">
        <v>160</v>
      </c>
      <c r="N4501" s="23" t="n">
        <v>2009</v>
      </c>
      <c r="O4501" s="23" t="n">
        <v>98</v>
      </c>
      <c r="P4501" s="23" t="n"/>
      <c r="Q4501" s="23" t="n"/>
      <c r="R4501" s="25" t="n"/>
      <c r="S4501" s="26">
        <f>HYPERLINK("http://www.cnpol.ru/covers/11018.jpg","фото на сайте")</f>
        <v/>
      </c>
    </row>
    <row r="4502" ht="50.1" customHeight="1" s="3">
      <c r="A4502" s="23" t="n"/>
      <c r="B4502" s="24" t="inlineStr">
        <is>
          <t>7400</t>
        </is>
      </c>
      <c r="C4502" s="23" t="inlineStr">
        <is>
          <t>СКАЗКА</t>
        </is>
      </c>
      <c r="D4502" s="23" t="inlineStr">
        <is>
          <t>Дружинина</t>
        </is>
      </c>
      <c r="E4502" s="23" t="inlineStr">
        <is>
          <t>Азбука</t>
        </is>
      </c>
      <c r="F4502" s="23" t="inlineStr">
        <is>
          <t>        </t>
        </is>
      </c>
      <c r="G4502" s="23" t="n">
        <v>150</v>
      </c>
      <c r="H4502" s="23" t="n">
        <v>10</v>
      </c>
      <c r="I4502" s="23" t="n">
        <v>50</v>
      </c>
      <c r="J4502" s="23" t="inlineStr">
        <is>
          <t>5-9524-2236-5</t>
        </is>
      </c>
      <c r="K4502" s="23" t="inlineStr">
        <is>
          <t>60x90 1/8</t>
        </is>
      </c>
      <c r="L4502" s="23" t="inlineStr">
        <is>
          <t>мяг</t>
        </is>
      </c>
      <c r="M4502" s="23" t="n">
        <v>18</v>
      </c>
      <c r="N4502" s="23" t="n">
        <v>2007</v>
      </c>
      <c r="O4502" s="23" t="n">
        <v>86</v>
      </c>
      <c r="P4502" s="23" t="n"/>
      <c r="Q4502" s="23" t="n"/>
      <c r="R4502" s="25" t="inlineStr">
        <is>
          <t>Детская сказка.</t>
        </is>
      </c>
      <c r="S4502" s="26">
        <f>HYPERLINK("http://www.cnpol.ru/covers/7400.jpg","фото на сайте")</f>
        <v/>
      </c>
    </row>
    <row r="4503" ht="50.1" customHeight="1" s="3">
      <c r="A4503" s="23" t="n"/>
      <c r="B4503" s="24" t="inlineStr">
        <is>
          <t>7654</t>
        </is>
      </c>
      <c r="C4503" s="23" t="inlineStr">
        <is>
          <t>СКАЗКА</t>
        </is>
      </c>
      <c r="D4503" s="23" t="inlineStr">
        <is>
          <t>Токмакова</t>
        </is>
      </c>
      <c r="E4503" s="23" t="inlineStr">
        <is>
          <t>Баиньки</t>
        </is>
      </c>
      <c r="F4503" s="23" t="inlineStr">
        <is>
          <t>        </t>
        </is>
      </c>
      <c r="G4503" s="23" t="n">
        <v>150</v>
      </c>
      <c r="H4503" s="23" t="n">
        <v>10</v>
      </c>
      <c r="I4503" s="23" t="n">
        <v>50</v>
      </c>
      <c r="J4503" s="23" t="inlineStr">
        <is>
          <t>5-9524-2404-X</t>
        </is>
      </c>
      <c r="K4503" s="23" t="inlineStr">
        <is>
          <t>60x90 1/8</t>
        </is>
      </c>
      <c r="L4503" s="23" t="inlineStr">
        <is>
          <t>мяг</t>
        </is>
      </c>
      <c r="M4503" s="23" t="n">
        <v>18</v>
      </c>
      <c r="N4503" s="23" t="n">
        <v>2008</v>
      </c>
      <c r="O4503" s="23" t="n">
        <v>76</v>
      </c>
      <c r="P4503" s="23" t="n"/>
      <c r="Q4503" s="23" t="n"/>
      <c r="R4503" s="25" t="inlineStr">
        <is>
          <t>Сказка для детей.</t>
        </is>
      </c>
      <c r="S4503" s="26">
        <f>HYPERLINK("http://www.cnpol.ru/covers/7654.jpg","фото на сайте")</f>
        <v/>
      </c>
    </row>
    <row r="4504" ht="50.1" customHeight="1" s="3">
      <c r="A4504" s="23" t="n"/>
      <c r="B4504" s="24" t="inlineStr">
        <is>
          <t>7165</t>
        </is>
      </c>
      <c r="C4504" s="23" t="inlineStr">
        <is>
          <t>СКАЗКА</t>
        </is>
      </c>
      <c r="D4504" s="23" t="inlineStr">
        <is>
          <t>Братья Гримм</t>
        </is>
      </c>
      <c r="E4504" s="23" t="inlineStr">
        <is>
          <t>Бременские музыканты</t>
        </is>
      </c>
      <c r="F4504" s="23" t="inlineStr">
        <is>
          <t>        </t>
        </is>
      </c>
      <c r="G4504" s="23" t="n">
        <v>150</v>
      </c>
      <c r="H4504" s="23" t="n">
        <v>10</v>
      </c>
      <c r="I4504" s="23" t="n">
        <v>50</v>
      </c>
      <c r="J4504" s="23" t="inlineStr">
        <is>
          <t>5-9524-2223-3</t>
        </is>
      </c>
      <c r="K4504" s="23" t="inlineStr">
        <is>
          <t>60x90 1/8</t>
        </is>
      </c>
      <c r="L4504" s="23" t="inlineStr">
        <is>
          <t>мяг</t>
        </is>
      </c>
      <c r="M4504" s="23" t="n">
        <v>18</v>
      </c>
      <c r="N4504" s="23" t="n">
        <v>2007</v>
      </c>
      <c r="O4504" s="23" t="n">
        <v>84</v>
      </c>
      <c r="P4504" s="23" t="n"/>
      <c r="Q4504" s="23" t="n"/>
      <c r="R4504" s="25" t="inlineStr">
        <is>
          <t>Детская сказка</t>
        </is>
      </c>
      <c r="S4504" s="26">
        <f>HYPERLINK("http://www.cnpol.ru/covers/7165.jpg","фото на сайте")</f>
        <v/>
      </c>
    </row>
    <row r="4505" ht="50.1" customHeight="1" s="3">
      <c r="A4505" s="23" t="n"/>
      <c r="B4505" s="24" t="inlineStr">
        <is>
          <t>6415</t>
        </is>
      </c>
      <c r="C4505" s="23" t="inlineStr">
        <is>
          <t>СКАЗКА</t>
        </is>
      </c>
      <c r="D4505" s="23" t="inlineStr">
        <is>
          <t>Грэм К.</t>
        </is>
      </c>
      <c r="E4505" s="23" t="inlineStr">
        <is>
          <t>В гостях у Барсука</t>
        </is>
      </c>
      <c r="F4505" s="23" t="inlineStr">
        <is>
          <t>        </t>
        </is>
      </c>
      <c r="G4505" s="23" t="n">
        <v>150</v>
      </c>
      <c r="H4505" s="23" t="n">
        <v>10</v>
      </c>
      <c r="I4505" s="23" t="n">
        <v>50</v>
      </c>
      <c r="J4505" s="23" t="inlineStr">
        <is>
          <t>5-9524-2079-6</t>
        </is>
      </c>
      <c r="K4505" s="23" t="inlineStr">
        <is>
          <t>60x90 1/8</t>
        </is>
      </c>
      <c r="L4505" s="23" t="inlineStr">
        <is>
          <t>мяг</t>
        </is>
      </c>
      <c r="M4505" s="23" t="n">
        <v>18</v>
      </c>
      <c r="N4505" s="23" t="n">
        <v>2007</v>
      </c>
      <c r="O4505" s="23" t="n">
        <v>88</v>
      </c>
      <c r="P4505" s="23" t="n"/>
      <c r="Q4505" s="23" t="n"/>
      <c r="R4505" s="25" t="inlineStr">
        <is>
          <t>Детская сказка</t>
        </is>
      </c>
      <c r="S4505" s="26">
        <f>HYPERLINK("http://www.cnpol.ru/covers/6415.jpg","фото на сайте")</f>
        <v/>
      </c>
    </row>
    <row r="4506" ht="50.1" customHeight="1" s="3">
      <c r="A4506" s="23" t="n"/>
      <c r="B4506" s="24" t="inlineStr">
        <is>
          <t>6055</t>
        </is>
      </c>
      <c r="C4506" s="23" t="inlineStr">
        <is>
          <t>СКАЗКА</t>
        </is>
      </c>
      <c r="D4506" s="23" t="inlineStr">
        <is>
          <t>Козлов</t>
        </is>
      </c>
      <c r="E4506" s="23" t="inlineStr">
        <is>
          <t>Весенняя сказка</t>
        </is>
      </c>
      <c r="F4506" s="23" t="inlineStr">
        <is>
          <t>        </t>
        </is>
      </c>
      <c r="G4506" s="23" t="n">
        <v>150</v>
      </c>
      <c r="H4506" s="23" t="n">
        <v>10</v>
      </c>
      <c r="I4506" s="23" t="n">
        <v>50</v>
      </c>
      <c r="J4506" s="23" t="inlineStr">
        <is>
          <t>5-9524-1870-8</t>
        </is>
      </c>
      <c r="K4506" s="23" t="inlineStr">
        <is>
          <t>60x90 1/8</t>
        </is>
      </c>
      <c r="L4506" s="23" t="inlineStr">
        <is>
          <t>мяг</t>
        </is>
      </c>
      <c r="M4506" s="23" t="n">
        <v>18</v>
      </c>
      <c r="N4506" s="23" t="n">
        <v>2005</v>
      </c>
      <c r="O4506" s="23" t="n">
        <v>88</v>
      </c>
      <c r="P4506" s="23" t="n"/>
      <c r="Q4506" s="23" t="n"/>
      <c r="R4506" s="25" t="inlineStr">
        <is>
          <t>Детская сказка.</t>
        </is>
      </c>
      <c r="S4506" s="26">
        <f>HYPERLINK("http://www.cnpol.ru/covers/6055.jpg","фото на сайте")</f>
        <v/>
      </c>
    </row>
    <row r="4507" ht="50.1" customHeight="1" s="3">
      <c r="A4507" s="23" t="n"/>
      <c r="B4507" s="24" t="inlineStr">
        <is>
          <t>6994</t>
        </is>
      </c>
      <c r="C4507" s="23" t="inlineStr">
        <is>
          <t>СКАЗКА</t>
        </is>
      </c>
      <c r="D4507" s="23" t="inlineStr">
        <is>
          <t>Народная сказка</t>
        </is>
      </c>
      <c r="E4507" s="23" t="inlineStr">
        <is>
          <t>Волк и Коза</t>
        </is>
      </c>
      <c r="F4507" s="23" t="inlineStr">
        <is>
          <t>        </t>
        </is>
      </c>
      <c r="G4507" s="23" t="n">
        <v>168</v>
      </c>
      <c r="H4507" s="23" t="n">
        <v>10</v>
      </c>
      <c r="I4507" s="23" t="n">
        <v>56</v>
      </c>
      <c r="J4507" s="23" t="inlineStr">
        <is>
          <t>5-9524-1598-9</t>
        </is>
      </c>
      <c r="K4507" s="23" t="inlineStr">
        <is>
          <t>60x70 1/16</t>
        </is>
      </c>
      <c r="L4507" s="23" t="inlineStr">
        <is>
          <t>картон</t>
        </is>
      </c>
      <c r="M4507" s="23" t="n">
        <v>14</v>
      </c>
      <c r="N4507" s="23" t="n">
        <v>2007</v>
      </c>
      <c r="O4507" s="23" t="n">
        <v>120</v>
      </c>
      <c r="P4507" s="23" t="n"/>
      <c r="Q4507" s="23" t="n"/>
      <c r="R4507" s="25" t="n"/>
      <c r="S4507" s="26">
        <f>HYPERLINK("http://www.cnpol.ru/covers/6994.jpg","фото на сайте")</f>
        <v/>
      </c>
    </row>
    <row r="4508" ht="50.1" customHeight="1" s="3">
      <c r="A4508" s="23" t="n"/>
      <c r="B4508" s="24" t="inlineStr">
        <is>
          <t>5833</t>
        </is>
      </c>
      <c r="C4508" s="23" t="inlineStr">
        <is>
          <t>СКАЗКА</t>
        </is>
      </c>
      <c r="D4508" s="23" t="inlineStr">
        <is>
          <t>Дружинина</t>
        </is>
      </c>
      <c r="E4508" s="23" t="inlineStr">
        <is>
          <t>Выбирай любимый цвет</t>
        </is>
      </c>
      <c r="F4508" s="23" t="inlineStr">
        <is>
          <t>        </t>
        </is>
      </c>
      <c r="G4508" s="23" t="n">
        <v>129</v>
      </c>
      <c r="H4508" s="23" t="n">
        <v>10</v>
      </c>
      <c r="I4508" s="23" t="n">
        <v>150</v>
      </c>
      <c r="J4508" s="23" t="inlineStr">
        <is>
          <t>5-9524-1426-5</t>
        </is>
      </c>
      <c r="K4508" s="23" t="inlineStr">
        <is>
          <t>10,5х10,5</t>
        </is>
      </c>
      <c r="L4508" s="23" t="inlineStr">
        <is>
          <t>картон</t>
        </is>
      </c>
      <c r="M4508" s="23" t="n">
        <v>10</v>
      </c>
      <c r="N4508" s="23" t="n">
        <v>2005</v>
      </c>
      <c r="O4508" s="23" t="n">
        <v>36</v>
      </c>
      <c r="P4508" s="23" t="n"/>
      <c r="Q4508" s="23" t="n"/>
      <c r="R4508" s="25" t="inlineStr">
        <is>
          <t>Детская сказка.</t>
        </is>
      </c>
      <c r="S4508" s="26">
        <f>HYPERLINK("http://www.cnpol.ru/covers/5833.jpg","фото на сайте")</f>
        <v/>
      </c>
    </row>
    <row r="4509" ht="50.1" customHeight="1" s="3">
      <c r="A4509" s="23" t="n"/>
      <c r="B4509" s="24" t="inlineStr">
        <is>
          <t>5727</t>
        </is>
      </c>
      <c r="C4509" s="23" t="inlineStr">
        <is>
          <t>СКАЗКА</t>
        </is>
      </c>
      <c r="D4509" s="23" t="inlineStr">
        <is>
          <t>Берлова</t>
        </is>
      </c>
      <c r="E4509" s="23" t="inlineStr">
        <is>
          <t>Ежик еженька ежок</t>
        </is>
      </c>
      <c r="F4509" s="23" t="inlineStr">
        <is>
          <t>        </t>
        </is>
      </c>
      <c r="G4509" s="23" t="n">
        <v>150</v>
      </c>
      <c r="H4509" s="23" t="n">
        <v>10</v>
      </c>
      <c r="I4509" s="23" t="n">
        <v>50</v>
      </c>
      <c r="J4509" s="23" t="inlineStr">
        <is>
          <t>5-9524-1604-7</t>
        </is>
      </c>
      <c r="K4509" s="23" t="inlineStr">
        <is>
          <t>60x90 1/8</t>
        </is>
      </c>
      <c r="L4509" s="23" t="inlineStr">
        <is>
          <t>мяг</t>
        </is>
      </c>
      <c r="M4509" s="23" t="n">
        <v>18</v>
      </c>
      <c r="N4509" s="23" t="n">
        <v>2005</v>
      </c>
      <c r="O4509" s="23" t="n">
        <v>88</v>
      </c>
      <c r="P4509" s="23" t="n"/>
      <c r="Q4509" s="23" t="n"/>
      <c r="R4509" s="25" t="inlineStr">
        <is>
          <t>Детская сказка.</t>
        </is>
      </c>
      <c r="S4509" s="26">
        <f>HYPERLINK("http://www.cnpol.ru/covers/5727.jpg","фото на сайте")</f>
        <v/>
      </c>
    </row>
    <row r="4510" ht="50.1" customHeight="1" s="3">
      <c r="A4510" s="23" t="n"/>
      <c r="B4510" s="24" t="inlineStr">
        <is>
          <t>5866</t>
        </is>
      </c>
      <c r="C4510" s="23" t="inlineStr">
        <is>
          <t>СКАЗКА</t>
        </is>
      </c>
      <c r="D4510" s="23" t="inlineStr">
        <is>
          <t>Дружинина</t>
        </is>
      </c>
      <c r="E4510" s="23" t="inlineStr">
        <is>
          <t>Ежик надевай сапожки</t>
        </is>
      </c>
      <c r="F4510" s="23" t="inlineStr">
        <is>
          <t>        </t>
        </is>
      </c>
      <c r="G4510" s="23" t="n">
        <v>129</v>
      </c>
      <c r="H4510" s="23" t="n">
        <v>10</v>
      </c>
      <c r="I4510" s="23" t="n">
        <v>150</v>
      </c>
      <c r="J4510" s="23" t="inlineStr">
        <is>
          <t>5-9524-1421-4</t>
        </is>
      </c>
      <c r="K4510" s="23" t="inlineStr">
        <is>
          <t>10,5х10,5</t>
        </is>
      </c>
      <c r="L4510" s="23" t="inlineStr">
        <is>
          <t>картон</t>
        </is>
      </c>
      <c r="M4510" s="23" t="n">
        <v>10</v>
      </c>
      <c r="N4510" s="23" t="n">
        <v>2005</v>
      </c>
      <c r="O4510" s="23" t="n">
        <v>34</v>
      </c>
      <c r="P4510" s="23" t="n"/>
      <c r="Q4510" s="23" t="n"/>
      <c r="R4510" s="25" t="inlineStr">
        <is>
          <t>Детская сказка.</t>
        </is>
      </c>
      <c r="S4510" s="26">
        <f>HYPERLINK("http://www.cnpol.ru/covers/5866.jpg","фото на сайте")</f>
        <v/>
      </c>
    </row>
    <row r="4511" ht="50.1" customHeight="1" s="3">
      <c r="A4511" s="23" t="n"/>
      <c r="B4511" s="24" t="inlineStr">
        <is>
          <t>5646</t>
        </is>
      </c>
      <c r="C4511" s="23" t="inlineStr">
        <is>
          <t>СКАЗКА</t>
        </is>
      </c>
      <c r="D4511" s="23" t="inlineStr">
        <is>
          <t>Синявский</t>
        </is>
      </c>
      <c r="E4511" s="23" t="inlineStr">
        <is>
          <t>Зеленая аптека</t>
        </is>
      </c>
      <c r="F4511" s="23" t="inlineStr">
        <is>
          <t>        </t>
        </is>
      </c>
      <c r="G4511" s="23" t="n">
        <v>150</v>
      </c>
      <c r="H4511" s="23" t="n">
        <v>10</v>
      </c>
      <c r="I4511" s="23" t="n">
        <v>50</v>
      </c>
      <c r="J4511" s="23" t="inlineStr">
        <is>
          <t>5-9524-1535-0</t>
        </is>
      </c>
      <c r="K4511" s="23" t="inlineStr">
        <is>
          <t>60x90 1/8</t>
        </is>
      </c>
      <c r="L4511" s="23" t="inlineStr">
        <is>
          <t>мяг</t>
        </is>
      </c>
      <c r="M4511" s="23" t="n">
        <v>18</v>
      </c>
      <c r="N4511" s="23" t="n">
        <v>2005</v>
      </c>
      <c r="O4511" s="23" t="n">
        <v>84</v>
      </c>
      <c r="P4511" s="23" t="n"/>
      <c r="Q4511" s="23" t="n"/>
      <c r="R4511" s="25" t="inlineStr">
        <is>
          <t>Детская сказка.</t>
        </is>
      </c>
      <c r="S4511" s="26">
        <f>HYPERLINK("http://www.cnpol.ru/covers/5646.jpg","фото на сайте")</f>
        <v/>
      </c>
    </row>
    <row r="4512" ht="50.1" customHeight="1" s="3">
      <c r="A4512" s="23" t="n"/>
      <c r="B4512" s="24" t="inlineStr">
        <is>
          <t>6418</t>
        </is>
      </c>
      <c r="C4512" s="23" t="inlineStr">
        <is>
          <t>СКАЗКА</t>
        </is>
      </c>
      <c r="D4512" s="23" t="inlineStr">
        <is>
          <t>Народная сказка</t>
        </is>
      </c>
      <c r="E4512" s="23" t="inlineStr">
        <is>
          <t>Иван Царевич и Серый Волк</t>
        </is>
      </c>
      <c r="F4512" s="23" t="inlineStr">
        <is>
          <t>        </t>
        </is>
      </c>
      <c r="G4512" s="23" t="n">
        <v>150</v>
      </c>
      <c r="H4512" s="23" t="n">
        <v>10</v>
      </c>
      <c r="I4512" s="23" t="n">
        <v>50</v>
      </c>
      <c r="J4512" s="23" t="inlineStr">
        <is>
          <t>5-9524-2080-X</t>
        </is>
      </c>
      <c r="K4512" s="23" t="inlineStr">
        <is>
          <t>60x90 1/8</t>
        </is>
      </c>
      <c r="L4512" s="23" t="inlineStr">
        <is>
          <t>мяг</t>
        </is>
      </c>
      <c r="M4512" s="23" t="n">
        <v>18</v>
      </c>
      <c r="N4512" s="23" t="n">
        <v>2007</v>
      </c>
      <c r="O4512" s="23" t="n">
        <v>88</v>
      </c>
      <c r="P4512" s="23" t="n"/>
      <c r="Q4512" s="23" t="n"/>
      <c r="R4512" s="25" t="inlineStr">
        <is>
          <t>Детская сказка</t>
        </is>
      </c>
      <c r="S4512" s="26">
        <f>HYPERLINK("http://www.cnpol.ru/covers/6418.jpg","фото на сайте")</f>
        <v/>
      </c>
    </row>
    <row r="4513" ht="50.1" customHeight="1" s="3">
      <c r="A4513" s="23" t="n"/>
      <c r="B4513" s="24" t="inlineStr">
        <is>
          <t>5904</t>
        </is>
      </c>
      <c r="C4513" s="23" t="inlineStr">
        <is>
          <t>СКАЗКА</t>
        </is>
      </c>
      <c r="D4513" s="23" t="inlineStr">
        <is>
          <t>Дружинина</t>
        </is>
      </c>
      <c r="E4513" s="23" t="inlineStr">
        <is>
          <t>Как то хвастался петух</t>
        </is>
      </c>
      <c r="F4513" s="23" t="inlineStr">
        <is>
          <t>        </t>
        </is>
      </c>
      <c r="G4513" s="23" t="n">
        <v>129</v>
      </c>
      <c r="H4513" s="23" t="n">
        <v>10</v>
      </c>
      <c r="I4513" s="23" t="n">
        <v>150</v>
      </c>
      <c r="J4513" s="23" t="inlineStr">
        <is>
          <t>5-9524-1423-0</t>
        </is>
      </c>
      <c r="K4513" s="23" t="inlineStr">
        <is>
          <t>10,5х10,5</t>
        </is>
      </c>
      <c r="L4513" s="23" t="inlineStr">
        <is>
          <t>картон</t>
        </is>
      </c>
      <c r="M4513" s="23" t="n">
        <v>10</v>
      </c>
      <c r="N4513" s="23" t="n">
        <v>2005</v>
      </c>
      <c r="O4513" s="23" t="n">
        <v>34</v>
      </c>
      <c r="P4513" s="23" t="n"/>
      <c r="Q4513" s="23" t="n"/>
      <c r="R4513" s="25" t="inlineStr">
        <is>
          <t>Детская сказка.</t>
        </is>
      </c>
      <c r="S4513" s="26">
        <f>HYPERLINK("http://www.cnpol.ru/covers/5904.jpg","фото на сайте")</f>
        <v/>
      </c>
    </row>
    <row r="4514" ht="50.1" customHeight="1" s="3">
      <c r="A4514" s="23" t="n"/>
      <c r="B4514" s="24" t="inlineStr">
        <is>
          <t>5726</t>
        </is>
      </c>
      <c r="C4514" s="23" t="inlineStr">
        <is>
          <t>СКАЗКА</t>
        </is>
      </c>
      <c r="D4514" s="23" t="inlineStr">
        <is>
          <t>Народная сказка</t>
        </is>
      </c>
      <c r="E4514" s="23" t="inlineStr">
        <is>
          <t>Котя котенька коток</t>
        </is>
      </c>
      <c r="F4514" s="23" t="inlineStr">
        <is>
          <t>        </t>
        </is>
      </c>
      <c r="G4514" s="23" t="n">
        <v>150</v>
      </c>
      <c r="H4514" s="23" t="n">
        <v>10</v>
      </c>
      <c r="I4514" s="23" t="n">
        <v>50</v>
      </c>
      <c r="J4514" s="23" t="inlineStr">
        <is>
          <t>5-9524-1600-4</t>
        </is>
      </c>
      <c r="K4514" s="23" t="inlineStr">
        <is>
          <t>60x90 1/8</t>
        </is>
      </c>
      <c r="L4514" s="23" t="inlineStr">
        <is>
          <t>мяг</t>
        </is>
      </c>
      <c r="M4514" s="23" t="n">
        <v>18</v>
      </c>
      <c r="N4514" s="23" t="n">
        <v>2005</v>
      </c>
      <c r="O4514" s="23" t="n">
        <v>84</v>
      </c>
      <c r="P4514" s="23" t="n"/>
      <c r="Q4514" s="23" t="n"/>
      <c r="R4514" s="25" t="inlineStr">
        <is>
          <t>детская сказка.</t>
        </is>
      </c>
      <c r="S4514" s="26">
        <f>HYPERLINK("http://www.cnpol.ru/covers/5726.jpg","фото на сайте")</f>
        <v/>
      </c>
    </row>
    <row r="4515" ht="50.1" customHeight="1" s="3">
      <c r="A4515" s="23" t="n"/>
      <c r="B4515" s="24" t="inlineStr">
        <is>
          <t>7518</t>
        </is>
      </c>
      <c r="C4515" s="23" t="inlineStr">
        <is>
          <t>СКАЗКА</t>
        </is>
      </c>
      <c r="D4515" s="23" t="inlineStr">
        <is>
          <t>Дружинина</t>
        </is>
      </c>
      <c r="E4515" s="23" t="inlineStr">
        <is>
          <t>Курочка рябушечка</t>
        </is>
      </c>
      <c r="F4515" s="23" t="inlineStr">
        <is>
          <t>        </t>
        </is>
      </c>
      <c r="G4515" s="23" t="n">
        <v>129</v>
      </c>
      <c r="H4515" s="23" t="n">
        <v>10</v>
      </c>
      <c r="I4515" s="23" t="n">
        <v>120</v>
      </c>
      <c r="J4515" s="23" t="inlineStr">
        <is>
          <t>5-9524-1596-2</t>
        </is>
      </c>
      <c r="K4515" s="23" t="inlineStr">
        <is>
          <t>10,5х10,5</t>
        </is>
      </c>
      <c r="L4515" s="23" t="inlineStr">
        <is>
          <t>картон</t>
        </is>
      </c>
      <c r="M4515" s="23" t="n">
        <v>10</v>
      </c>
      <c r="N4515" s="23" t="n">
        <v>2008</v>
      </c>
      <c r="O4515" s="23" t="n">
        <v>38</v>
      </c>
      <c r="P4515" s="23" t="n"/>
      <c r="Q4515" s="23" t="n"/>
      <c r="R4515" s="25" t="inlineStr">
        <is>
          <t>Сказка для детей.</t>
        </is>
      </c>
      <c r="S4515" s="26">
        <f>HYPERLINK("http://www.cnpol.ru/covers/7518.jpg","фото на сайте")</f>
        <v/>
      </c>
    </row>
    <row r="4516" ht="50.1" customHeight="1" s="3">
      <c r="A4516" s="23" t="n"/>
      <c r="B4516" s="24" t="inlineStr">
        <is>
          <t>5867</t>
        </is>
      </c>
      <c r="C4516" s="23" t="inlineStr">
        <is>
          <t>СКАЗКА</t>
        </is>
      </c>
      <c r="D4516" s="23" t="inlineStr">
        <is>
          <t>Дружинина</t>
        </is>
      </c>
      <c r="E4516" s="23" t="inlineStr">
        <is>
          <t>Лает весело щенок</t>
        </is>
      </c>
      <c r="F4516" s="23" t="inlineStr">
        <is>
          <t>        </t>
        </is>
      </c>
      <c r="G4516" s="23" t="n">
        <v>129</v>
      </c>
      <c r="H4516" s="23" t="n">
        <v>10</v>
      </c>
      <c r="I4516" s="23" t="n">
        <v>150</v>
      </c>
      <c r="J4516" s="23" t="inlineStr">
        <is>
          <t>5-9524-1424-9</t>
        </is>
      </c>
      <c r="K4516" s="23" t="inlineStr">
        <is>
          <t>10,5х10,5</t>
        </is>
      </c>
      <c r="L4516" s="23" t="inlineStr">
        <is>
          <t>картон</t>
        </is>
      </c>
      <c r="M4516" s="23" t="n">
        <v>10</v>
      </c>
      <c r="N4516" s="23" t="n">
        <v>2005</v>
      </c>
      <c r="O4516" s="23" t="n">
        <v>36</v>
      </c>
      <c r="P4516" s="23" t="n"/>
      <c r="Q4516" s="23" t="n"/>
      <c r="R4516" s="25" t="inlineStr">
        <is>
          <t>Детская сказка.</t>
        </is>
      </c>
      <c r="S4516" s="26">
        <f>HYPERLINK("http://www.cnpol.ru/covers/5867.jpg","фото на сайте")</f>
        <v/>
      </c>
    </row>
    <row r="4517" ht="50.1" customHeight="1" s="3">
      <c r="A4517" s="23" t="n"/>
      <c r="B4517" s="24" t="inlineStr">
        <is>
          <t>6996</t>
        </is>
      </c>
      <c r="C4517" s="23" t="inlineStr">
        <is>
          <t>СКАЗКА</t>
        </is>
      </c>
      <c r="D4517" s="23" t="inlineStr">
        <is>
          <t>Народная сказка</t>
        </is>
      </c>
      <c r="E4517" s="23" t="inlineStr">
        <is>
          <t>Лиса и Куропатка</t>
        </is>
      </c>
      <c r="F4517" s="23" t="inlineStr">
        <is>
          <t>        </t>
        </is>
      </c>
      <c r="G4517" s="23" t="n">
        <v>168</v>
      </c>
      <c r="H4517" s="23" t="n">
        <v>10</v>
      </c>
      <c r="I4517" s="23" t="n">
        <v>56</v>
      </c>
      <c r="J4517" s="23" t="inlineStr">
        <is>
          <t>5-9524-1720-5</t>
        </is>
      </c>
      <c r="K4517" s="23" t="inlineStr">
        <is>
          <t>60x70 1/16</t>
        </is>
      </c>
      <c r="L4517" s="23" t="inlineStr">
        <is>
          <t>картон</t>
        </is>
      </c>
      <c r="M4517" s="23" t="n">
        <v>14</v>
      </c>
      <c r="N4517" s="23" t="n">
        <v>2007</v>
      </c>
      <c r="O4517" s="23" t="n">
        <v>120</v>
      </c>
      <c r="P4517" s="23" t="n"/>
      <c r="Q4517" s="23" t="n"/>
      <c r="R4517" s="25" t="inlineStr">
        <is>
          <t>Детская сказка</t>
        </is>
      </c>
      <c r="S4517" s="26">
        <f>HYPERLINK("http://www.cnpol.ru/covers/6996.jpg","фото на сайте")</f>
        <v/>
      </c>
    </row>
    <row r="4518" ht="50.1" customHeight="1" s="3">
      <c r="A4518" s="23" t="n"/>
      <c r="B4518" s="24" t="inlineStr">
        <is>
          <t>7867</t>
        </is>
      </c>
      <c r="C4518" s="23" t="inlineStr">
        <is>
          <t>СКАЗКА</t>
        </is>
      </c>
      <c r="D4518" s="23" t="inlineStr">
        <is>
          <t>Даль</t>
        </is>
      </c>
      <c r="E4518" s="23" t="inlineStr">
        <is>
          <t>Лисичка со скалочкой</t>
        </is>
      </c>
      <c r="F4518" s="23" t="inlineStr">
        <is>
          <t>        </t>
        </is>
      </c>
      <c r="G4518" s="23" t="n">
        <v>150</v>
      </c>
      <c r="H4518" s="23" t="n">
        <v>10</v>
      </c>
      <c r="I4518" s="23" t="n">
        <v>50</v>
      </c>
      <c r="J4518" s="23" t="inlineStr">
        <is>
          <t>978-5-9524-2689-4</t>
        </is>
      </c>
      <c r="K4518" s="23" t="inlineStr">
        <is>
          <t>60x90 1/8</t>
        </is>
      </c>
      <c r="L4518" s="23" t="inlineStr">
        <is>
          <t>мяг</t>
        </is>
      </c>
      <c r="M4518" s="23" t="n">
        <v>16</v>
      </c>
      <c r="N4518" s="23" t="n">
        <v>2008</v>
      </c>
      <c r="O4518" s="23" t="n">
        <v>86</v>
      </c>
      <c r="P4518" s="23" t="n"/>
      <c r="Q4518" s="23" t="n"/>
      <c r="R4518" s="25" t="inlineStr">
        <is>
          <t>Сказка для детей.</t>
        </is>
      </c>
      <c r="S4518" s="26">
        <f>HYPERLINK("http://www.cnpol.ru/covers/7867.jpg","фото на сайте")</f>
        <v/>
      </c>
    </row>
    <row r="4519" ht="50.1" customHeight="1" s="3">
      <c r="A4519" s="23" t="n"/>
      <c r="B4519" s="24" t="inlineStr">
        <is>
          <t>7655</t>
        </is>
      </c>
      <c r="C4519" s="23" t="inlineStr">
        <is>
          <t>СКАЗКА</t>
        </is>
      </c>
      <c r="D4519" s="23" t="inlineStr">
        <is>
          <t>Грэм К.</t>
        </is>
      </c>
      <c r="E4519" s="23" t="inlineStr">
        <is>
          <t>Мистер крот и лесное божество</t>
        </is>
      </c>
      <c r="F4519" s="23" t="inlineStr">
        <is>
          <t>        </t>
        </is>
      </c>
      <c r="G4519" s="23" t="n">
        <v>150</v>
      </c>
      <c r="H4519" s="23" t="n">
        <v>10</v>
      </c>
      <c r="I4519" s="23" t="n">
        <v>50</v>
      </c>
      <c r="J4519" s="23" t="inlineStr">
        <is>
          <t>5-9524-2217-9</t>
        </is>
      </c>
      <c r="K4519" s="23" t="inlineStr">
        <is>
          <t>60x90 1/8</t>
        </is>
      </c>
      <c r="L4519" s="23" t="inlineStr">
        <is>
          <t>мяг</t>
        </is>
      </c>
      <c r="M4519" s="23" t="n">
        <v>18</v>
      </c>
      <c r="N4519" s="23" t="n">
        <v>2008</v>
      </c>
      <c r="O4519" s="23" t="n">
        <v>76</v>
      </c>
      <c r="P4519" s="23" t="n"/>
      <c r="Q4519" s="23" t="n"/>
      <c r="R4519" s="25" t="n"/>
      <c r="S4519" s="26">
        <f>HYPERLINK("http://www.cnpol.ru/covers/7655.jpg","фото на сайте")</f>
        <v/>
      </c>
    </row>
    <row r="4520" ht="50.1" customHeight="1" s="3">
      <c r="A4520" s="23" t="n"/>
      <c r="B4520" s="24" t="inlineStr">
        <is>
          <t>6218</t>
        </is>
      </c>
      <c r="C4520" s="23" t="inlineStr">
        <is>
          <t>СКАЗКА</t>
        </is>
      </c>
      <c r="D4520" s="23" t="inlineStr">
        <is>
          <t>Грэм К.</t>
        </is>
      </c>
      <c r="E4520" s="23" t="inlineStr">
        <is>
          <t>Мистер Крот и остальные</t>
        </is>
      </c>
      <c r="F4520" s="23" t="inlineStr">
        <is>
          <t>        </t>
        </is>
      </c>
      <c r="G4520" s="23" t="n">
        <v>150</v>
      </c>
      <c r="H4520" s="23" t="n">
        <v>10</v>
      </c>
      <c r="I4520" s="23" t="n">
        <v>50</v>
      </c>
      <c r="J4520" s="23" t="inlineStr">
        <is>
          <t>5-9524-1829-5</t>
        </is>
      </c>
      <c r="K4520" s="23" t="inlineStr">
        <is>
          <t>60x90 1/8</t>
        </is>
      </c>
      <c r="L4520" s="23" t="inlineStr">
        <is>
          <t>мяг</t>
        </is>
      </c>
      <c r="M4520" s="23" t="n">
        <v>18</v>
      </c>
      <c r="N4520" s="23" t="n">
        <v>2005</v>
      </c>
      <c r="O4520" s="23" t="n">
        <v>88</v>
      </c>
      <c r="P4520" s="23" t="n"/>
      <c r="Q4520" s="23" t="n"/>
      <c r="R4520" s="25" t="n"/>
      <c r="S4520" s="26">
        <f>HYPERLINK("http://www.cnpol.ru/covers/6218.jpg","фото на сайте")</f>
        <v/>
      </c>
    </row>
    <row r="4521" ht="50.1" customHeight="1" s="3">
      <c r="A4521" s="23" t="n"/>
      <c r="B4521" s="24" t="inlineStr">
        <is>
          <t>5644</t>
        </is>
      </c>
      <c r="C4521" s="23" t="inlineStr">
        <is>
          <t>СКАЗКА</t>
        </is>
      </c>
      <c r="D4521" s="23" t="inlineStr">
        <is>
          <t>Ремизов</t>
        </is>
      </c>
      <c r="E4521" s="23" t="inlineStr">
        <is>
          <t>Морщинка</t>
        </is>
      </c>
      <c r="F4521" s="23" t="inlineStr">
        <is>
          <t>        </t>
        </is>
      </c>
      <c r="G4521" s="23" t="n">
        <v>150</v>
      </c>
      <c r="H4521" s="23" t="n">
        <v>10</v>
      </c>
      <c r="I4521" s="23" t="n">
        <v>50</v>
      </c>
      <c r="J4521" s="23" t="inlineStr">
        <is>
          <t>5-9524-1533-4</t>
        </is>
      </c>
      <c r="K4521" s="23" t="inlineStr">
        <is>
          <t>60x90 1/8</t>
        </is>
      </c>
      <c r="L4521" s="23" t="inlineStr">
        <is>
          <t>мяг</t>
        </is>
      </c>
      <c r="M4521" s="23" t="n">
        <v>18</v>
      </c>
      <c r="N4521" s="23" t="n">
        <v>2005</v>
      </c>
      <c r="O4521" s="23" t="n">
        <v>84</v>
      </c>
      <c r="P4521" s="23" t="n"/>
      <c r="Q4521" s="23" t="n"/>
      <c r="R4521" s="25" t="n"/>
      <c r="S4521" s="26">
        <f>HYPERLINK("http://www.cnpol.ru/covers/5644.jpg","фото на сайте")</f>
        <v/>
      </c>
    </row>
    <row r="4522" ht="50.1" customHeight="1" s="3">
      <c r="A4522" s="23" t="n"/>
      <c r="B4522" s="24" t="inlineStr">
        <is>
          <t>6219</t>
        </is>
      </c>
      <c r="C4522" s="23" t="inlineStr">
        <is>
          <t>СКАЗКА</t>
        </is>
      </c>
      <c r="D4522" s="23" t="inlineStr">
        <is>
          <t>Синявский</t>
        </is>
      </c>
      <c r="E4522" s="23" t="inlineStr">
        <is>
          <t>Наша Хрюняша</t>
        </is>
      </c>
      <c r="F4522" s="23" t="inlineStr">
        <is>
          <t>        </t>
        </is>
      </c>
      <c r="G4522" s="23" t="n">
        <v>150</v>
      </c>
      <c r="H4522" s="23" t="n">
        <v>10</v>
      </c>
      <c r="I4522" s="23" t="n">
        <v>50</v>
      </c>
      <c r="J4522" s="23" t="inlineStr">
        <is>
          <t>5-9524-1832-5</t>
        </is>
      </c>
      <c r="K4522" s="23" t="inlineStr">
        <is>
          <t>60x90 1/8</t>
        </is>
      </c>
      <c r="L4522" s="23" t="inlineStr">
        <is>
          <t>мяг</t>
        </is>
      </c>
      <c r="M4522" s="23" t="n">
        <v>18</v>
      </c>
      <c r="N4522" s="23" t="n">
        <v>2005</v>
      </c>
      <c r="O4522" s="23" t="n">
        <v>88</v>
      </c>
      <c r="P4522" s="23" t="n"/>
      <c r="Q4522" s="23" t="n"/>
      <c r="R4522" s="25" t="n"/>
      <c r="S4522" s="26">
        <f>HYPERLINK("http://www.cnpol.ru/covers/6219.jpg","фото на сайте")</f>
        <v/>
      </c>
    </row>
    <row r="4523" ht="50.1" customHeight="1" s="3">
      <c r="A4523" s="23" t="n"/>
      <c r="B4523" s="24" t="inlineStr">
        <is>
          <t>6054</t>
        </is>
      </c>
      <c r="C4523" s="23" t="inlineStr">
        <is>
          <t>СКАЗКА</t>
        </is>
      </c>
      <c r="D4523" s="23" t="inlineStr">
        <is>
          <t>Козлов</t>
        </is>
      </c>
      <c r="E4523" s="23" t="inlineStr">
        <is>
          <t>Однажды в солнечный день</t>
        </is>
      </c>
      <c r="F4523" s="23" t="inlineStr">
        <is>
          <t>        </t>
        </is>
      </c>
      <c r="G4523" s="23" t="n">
        <v>150</v>
      </c>
      <c r="H4523" s="23" t="n">
        <v>10</v>
      </c>
      <c r="I4523" s="23" t="n">
        <v>50</v>
      </c>
      <c r="J4523" s="23" t="inlineStr">
        <is>
          <t>5-9524-1831-7</t>
        </is>
      </c>
      <c r="K4523" s="23" t="inlineStr">
        <is>
          <t>60x90 1/8</t>
        </is>
      </c>
      <c r="L4523" s="23" t="inlineStr">
        <is>
          <t>мяг</t>
        </is>
      </c>
      <c r="M4523" s="23" t="n">
        <v>18</v>
      </c>
      <c r="N4523" s="23" t="n">
        <v>2005</v>
      </c>
      <c r="O4523" s="23" t="n">
        <v>84</v>
      </c>
      <c r="P4523" s="23" t="n"/>
      <c r="Q4523" s="23" t="n"/>
      <c r="R4523" s="25" t="n"/>
      <c r="S4523" s="26">
        <f>HYPERLINK("http://www.cnpol.ru/covers/6054.jpg","фото на сайте")</f>
        <v/>
      </c>
    </row>
    <row r="4524" ht="50.1" customHeight="1" s="3">
      <c r="A4524" s="23" t="n"/>
      <c r="B4524" s="24" t="inlineStr">
        <is>
          <t>5885</t>
        </is>
      </c>
      <c r="C4524" s="23" t="inlineStr">
        <is>
          <t>СКАЗКА</t>
        </is>
      </c>
      <c r="D4524" s="23" t="inlineStr">
        <is>
          <t>Народная сказка</t>
        </is>
      </c>
      <c r="E4524" s="23" t="inlineStr">
        <is>
          <t>Петушок золотой гребешок</t>
        </is>
      </c>
      <c r="F4524" s="23" t="inlineStr">
        <is>
          <t>        </t>
        </is>
      </c>
      <c r="G4524" s="23" t="n">
        <v>150</v>
      </c>
      <c r="H4524" s="23" t="n">
        <v>10</v>
      </c>
      <c r="I4524" s="23" t="n">
        <v>40</v>
      </c>
      <c r="J4524" s="23" t="inlineStr">
        <is>
          <t>5-9524-1728-0</t>
        </is>
      </c>
      <c r="K4524" s="23" t="inlineStr">
        <is>
          <t>60x90 1/8</t>
        </is>
      </c>
      <c r="L4524" s="23" t="inlineStr">
        <is>
          <t>мяг</t>
        </is>
      </c>
      <c r="M4524" s="23" t="n">
        <v>18</v>
      </c>
      <c r="N4524" s="23" t="n">
        <v>2005</v>
      </c>
      <c r="O4524" s="23" t="n">
        <v>90</v>
      </c>
      <c r="P4524" s="23" t="n"/>
      <c r="Q4524" s="23" t="n"/>
      <c r="R4524" s="25" t="n"/>
      <c r="S4524" s="26">
        <f>HYPERLINK("http://www.cnpol.ru/covers/5885.jpg","фото на сайте")</f>
        <v/>
      </c>
    </row>
    <row r="4525" ht="50.1" customHeight="1" s="3">
      <c r="A4525" s="23" t="n"/>
      <c r="B4525" s="24" t="inlineStr">
        <is>
          <t>7525</t>
        </is>
      </c>
      <c r="C4525" s="23" t="inlineStr">
        <is>
          <t>СКАЗКА</t>
        </is>
      </c>
      <c r="D4525" s="23" t="inlineStr">
        <is>
          <t>Дружинина</t>
        </is>
      </c>
      <c r="E4525" s="23" t="inlineStr">
        <is>
          <t>Почему один Егорка</t>
        </is>
      </c>
      <c r="F4525" s="23" t="inlineStr">
        <is>
          <t>        </t>
        </is>
      </c>
      <c r="G4525" s="23" t="n">
        <v>129</v>
      </c>
      <c r="H4525" s="23" t="n">
        <v>10</v>
      </c>
      <c r="I4525" s="23" t="n">
        <v>120</v>
      </c>
      <c r="J4525" s="23" t="inlineStr">
        <is>
          <t>5-9524-1828-7</t>
        </is>
      </c>
      <c r="K4525" s="23" t="inlineStr">
        <is>
          <t>10,5х10,5</t>
        </is>
      </c>
      <c r="L4525" s="23" t="inlineStr">
        <is>
          <t>картон</t>
        </is>
      </c>
      <c r="M4525" s="23" t="n">
        <v>10</v>
      </c>
      <c r="N4525" s="23" t="n">
        <v>2008</v>
      </c>
      <c r="O4525" s="23" t="n">
        <v>38</v>
      </c>
      <c r="P4525" s="23" t="n"/>
      <c r="Q4525" s="23" t="n"/>
      <c r="R4525" s="25" t="n"/>
      <c r="S4525" s="26">
        <f>HYPERLINK("http://www.cnpol.ru/covers/7525.jpg","фото на сайте")</f>
        <v/>
      </c>
    </row>
    <row r="4526" ht="50.1" customHeight="1" s="3">
      <c r="A4526" s="23" t="n"/>
      <c r="B4526" s="24" t="inlineStr">
        <is>
          <t>7399</t>
        </is>
      </c>
      <c r="C4526" s="23" t="inlineStr">
        <is>
          <t>СКАЗКА</t>
        </is>
      </c>
      <c r="D4526" s="23" t="inlineStr">
        <is>
          <t>Мошковская</t>
        </is>
      </c>
      <c r="E4526" s="23" t="inlineStr">
        <is>
          <t>Почему у льва большая грива</t>
        </is>
      </c>
      <c r="F4526" s="23" t="inlineStr">
        <is>
          <t>        </t>
        </is>
      </c>
      <c r="G4526" s="23" t="n">
        <v>150</v>
      </c>
      <c r="H4526" s="23" t="n">
        <v>10</v>
      </c>
      <c r="I4526" s="23" t="n">
        <v>50</v>
      </c>
      <c r="J4526" s="23" t="inlineStr">
        <is>
          <t>5-9524-2314-0</t>
        </is>
      </c>
      <c r="K4526" s="23" t="inlineStr">
        <is>
          <t>60x90 1/8</t>
        </is>
      </c>
      <c r="L4526" s="23" t="inlineStr">
        <is>
          <t>мяг</t>
        </is>
      </c>
      <c r="M4526" s="23" t="n">
        <v>18</v>
      </c>
      <c r="N4526" s="23" t="n">
        <v>2007</v>
      </c>
      <c r="O4526" s="23" t="n">
        <v>86</v>
      </c>
      <c r="P4526" s="23" t="n"/>
      <c r="Q4526" s="23" t="n"/>
      <c r="R4526" s="25" t="n"/>
      <c r="S4526" s="26">
        <f>HYPERLINK("http://www.cnpol.ru/covers/7399.jpg","фото на сайте")</f>
        <v/>
      </c>
    </row>
    <row r="4527" ht="50.1" customHeight="1" s="3">
      <c r="A4527" s="23" t="n"/>
      <c r="B4527" s="24" t="inlineStr">
        <is>
          <t>5834</t>
        </is>
      </c>
      <c r="C4527" s="23" t="inlineStr">
        <is>
          <t>СКАЗКА</t>
        </is>
      </c>
      <c r="D4527" s="23" t="inlineStr">
        <is>
          <t>Дружинина</t>
        </is>
      </c>
      <c r="E4527" s="23" t="inlineStr">
        <is>
          <t>Прилетели к нам синицы</t>
        </is>
      </c>
      <c r="F4527" s="23" t="inlineStr">
        <is>
          <t>        </t>
        </is>
      </c>
      <c r="G4527" s="23" t="n">
        <v>129</v>
      </c>
      <c r="H4527" s="23" t="n">
        <v>10</v>
      </c>
      <c r="I4527" s="23" t="n">
        <v>150</v>
      </c>
      <c r="J4527" s="23" t="inlineStr">
        <is>
          <t>5-9524-1425-7</t>
        </is>
      </c>
      <c r="K4527" s="23" t="inlineStr">
        <is>
          <t>10,5х10,5</t>
        </is>
      </c>
      <c r="L4527" s="23" t="inlineStr">
        <is>
          <t>картон</t>
        </is>
      </c>
      <c r="M4527" s="23" t="n">
        <v>10</v>
      </c>
      <c r="N4527" s="23" t="n">
        <v>2005</v>
      </c>
      <c r="O4527" s="23" t="n">
        <v>36</v>
      </c>
      <c r="P4527" s="23" t="n"/>
      <c r="Q4527" s="23" t="n"/>
      <c r="R4527" s="25" t="n"/>
      <c r="S4527" s="26">
        <f>HYPERLINK("http://www.cnpol.ru/covers/5834.jpg","фото на сайте")</f>
        <v/>
      </c>
    </row>
    <row r="4528" ht="50.1" customHeight="1" s="3">
      <c r="A4528" s="23" t="n"/>
      <c r="B4528" s="24" t="inlineStr">
        <is>
          <t>7870</t>
        </is>
      </c>
      <c r="C4528" s="23" t="inlineStr">
        <is>
          <t>СКАЗКА</t>
        </is>
      </c>
      <c r="D4528" s="23" t="inlineStr">
        <is>
          <t>Поттер</t>
        </is>
      </c>
      <c r="E4528" s="23" t="inlineStr">
        <is>
          <t>Про Питера Кролика</t>
        </is>
      </c>
      <c r="F4528" s="23" t="inlineStr">
        <is>
          <t>        </t>
        </is>
      </c>
      <c r="G4528" s="23" t="n">
        <v>150</v>
      </c>
      <c r="H4528" s="23" t="n">
        <v>10</v>
      </c>
      <c r="I4528" s="23" t="n">
        <v>50</v>
      </c>
      <c r="J4528" s="23" t="inlineStr">
        <is>
          <t>978-5-9524-2652-8</t>
        </is>
      </c>
      <c r="K4528" s="23" t="inlineStr">
        <is>
          <t>60x90 1/8</t>
        </is>
      </c>
      <c r="L4528" s="23" t="inlineStr">
        <is>
          <t>мяг</t>
        </is>
      </c>
      <c r="M4528" s="23" t="n">
        <v>16</v>
      </c>
      <c r="N4528" s="23" t="n">
        <v>2008</v>
      </c>
      <c r="O4528" s="23" t="n">
        <v>86</v>
      </c>
      <c r="P4528" s="23" t="n"/>
      <c r="Q4528" s="23" t="n"/>
      <c r="R4528" s="25" t="n"/>
      <c r="S4528" s="26">
        <f>HYPERLINK("http://www.cnpol.ru/covers/7870.jpg","фото на сайте")</f>
        <v/>
      </c>
    </row>
    <row r="4529" ht="50.1" customHeight="1" s="3">
      <c r="A4529" s="23" t="n"/>
      <c r="B4529" s="24" t="inlineStr">
        <is>
          <t>5645</t>
        </is>
      </c>
      <c r="C4529" s="23" t="inlineStr">
        <is>
          <t>СКАЗКА</t>
        </is>
      </c>
      <c r="D4529" s="23" t="inlineStr">
        <is>
          <t>Благинина</t>
        </is>
      </c>
      <c r="E4529" s="23" t="inlineStr">
        <is>
          <t>Рукавичка</t>
        </is>
      </c>
      <c r="F4529" s="23" t="inlineStr">
        <is>
          <t>        </t>
        </is>
      </c>
      <c r="G4529" s="23" t="n">
        <v>150</v>
      </c>
      <c r="H4529" s="23" t="n">
        <v>10</v>
      </c>
      <c r="I4529" s="23" t="n">
        <v>50</v>
      </c>
      <c r="J4529" s="23" t="inlineStr">
        <is>
          <t>5-9524-1532-6</t>
        </is>
      </c>
      <c r="K4529" s="23" t="inlineStr">
        <is>
          <t>60x90 1/8</t>
        </is>
      </c>
      <c r="L4529" s="23" t="inlineStr">
        <is>
          <t>мяг</t>
        </is>
      </c>
      <c r="M4529" s="23" t="n">
        <v>18</v>
      </c>
      <c r="N4529" s="23" t="n">
        <v>2005</v>
      </c>
      <c r="O4529" s="23" t="n">
        <v>80</v>
      </c>
      <c r="P4529" s="23" t="n"/>
      <c r="Q4529" s="23" t="n"/>
      <c r="R4529" s="25" t="n"/>
      <c r="S4529" s="26">
        <f>HYPERLINK("http://www.cnpol.ru/covers/5645.jpg","фото на сайте")</f>
        <v/>
      </c>
    </row>
    <row r="4530" ht="50.1" customHeight="1" s="3">
      <c r="A4530" s="23" t="inlineStr">
        <is>
          <t>Н</t>
        </is>
      </c>
      <c r="B4530" s="24" t="inlineStr">
        <is>
          <t>21957</t>
        </is>
      </c>
      <c r="C4530" s="23" t="inlineStr">
        <is>
          <t>СКАЗКА</t>
        </is>
      </c>
      <c r="D4530" s="23" t="inlineStr">
        <is>
          <t>Карташев П.</t>
        </is>
      </c>
      <c r="E4530" s="23" t="inlineStr">
        <is>
          <t>Сан Саныч и чудесная планета сказки</t>
        </is>
      </c>
      <c r="F4530" s="23" t="inlineStr">
        <is>
          <t>        </t>
        </is>
      </c>
      <c r="G4530" s="23" t="n">
        <v>611</v>
      </c>
      <c r="H4530" s="23" t="n">
        <v>10</v>
      </c>
      <c r="I4530" s="23" t="n">
        <v>10</v>
      </c>
      <c r="J4530" s="23" t="inlineStr">
        <is>
          <t>978-5-227-11180-7</t>
        </is>
      </c>
      <c r="K4530" s="23" t="inlineStr">
        <is>
          <t>60x84 1/16</t>
        </is>
      </c>
      <c r="L4530" s="23" t="inlineStr">
        <is>
          <t>тв</t>
        </is>
      </c>
      <c r="M4530" s="23" t="n">
        <v>156</v>
      </c>
      <c r="N4530" s="23" t="n">
        <v>2026</v>
      </c>
      <c r="O4530" s="23" t="n">
        <v>280</v>
      </c>
      <c r="P4530" s="23" t="n"/>
      <c r="Q4530" s="23" t="n"/>
      <c r="R4530" s="25" t="inlineStr">
        <is>
          <t>В эту книгу входят четыре волшебные истории о приключениях и опасных путешествиях. В каждой описан путь мальчиков, девочек и их необычных друзей — аистов, филинов, кукол, одеял и камней — через страшные испытания к победе над тёмными и коварными существами. В этих фантастических историях много такого, что мы видим и слышим ежедневно и что говорит нам: добрую жизнь надо защищать, она ждёт от нас помощи и мужества. Защищать нужно дружбу, родную землю, наше будущее. Книга и напоминает об этом, и показывает на примерах, как выстоять в борьбе и победить._x000D_
_x000D_
Протоиерей Павел Карташев служит священником в старинном Преображенском храме, который построили наши предки по велению царя Бориса Годунова в селе Большие Вязёмы, у дороги из Москвы в Звенигород. Там же, в Вязёмах, находится ныне музей Александра Сергеевича Пушкина, поэта, подарившего русским людям вечно молодые прекрасные сказки. Величественный храм, лёгкая звонница, пруд, усадьба Голицыных, пушкинское детство — всё это вдохновляет, и, может быть, поэтому отец Павел и сам пишет сказки, а также рассказы и разные истории о прошлом земных народов.</t>
        </is>
      </c>
      <c r="S4530" s="26">
        <f>HYPERLINK("http://www.cnpol.ru/covers/21957.jpg","фото на сайте")</f>
        <v/>
      </c>
    </row>
    <row r="4531" ht="50.1" customHeight="1" s="3">
      <c r="A4531" s="23" t="n"/>
      <c r="B4531" s="24" t="inlineStr">
        <is>
          <t>5643</t>
        </is>
      </c>
      <c r="C4531" s="23" t="inlineStr">
        <is>
          <t>СКАЗКА</t>
        </is>
      </c>
      <c r="D4531" s="23" t="inlineStr">
        <is>
          <t>Народная сказка</t>
        </is>
      </c>
      <c r="E4531" s="23" t="inlineStr">
        <is>
          <t>Скатерть баранчик и сума</t>
        </is>
      </c>
      <c r="F4531" s="23" t="inlineStr">
        <is>
          <t>        </t>
        </is>
      </c>
      <c r="G4531" s="23" t="n">
        <v>150</v>
      </c>
      <c r="H4531" s="23" t="n">
        <v>10</v>
      </c>
      <c r="I4531" s="23" t="n">
        <v>50</v>
      </c>
      <c r="J4531" s="23" t="inlineStr">
        <is>
          <t>5-9524-1534-2</t>
        </is>
      </c>
      <c r="K4531" s="23" t="inlineStr">
        <is>
          <t>60x90 1/8</t>
        </is>
      </c>
      <c r="L4531" s="23" t="inlineStr">
        <is>
          <t>мяг</t>
        </is>
      </c>
      <c r="M4531" s="23" t="n">
        <v>18</v>
      </c>
      <c r="N4531" s="23" t="n">
        <v>2005</v>
      </c>
      <c r="O4531" s="23" t="n">
        <v>84</v>
      </c>
      <c r="P4531" s="23" t="n"/>
      <c r="Q4531" s="23" t="n"/>
      <c r="R4531" s="25" t="n"/>
      <c r="S4531" s="26">
        <f>HYPERLINK("http://www.cnpol.ru/covers/5643.jpg","фото на сайте")</f>
        <v/>
      </c>
    </row>
    <row r="4532" ht="50.1" customHeight="1" s="3">
      <c r="A4532" s="23" t="n"/>
      <c r="B4532" s="24" t="inlineStr">
        <is>
          <t>7517</t>
        </is>
      </c>
      <c r="C4532" s="23" t="inlineStr">
        <is>
          <t>СКАЗКА</t>
        </is>
      </c>
      <c r="D4532" s="23" t="inlineStr">
        <is>
          <t>Дружинина</t>
        </is>
      </c>
      <c r="E4532" s="23" t="inlineStr">
        <is>
          <t>Сорока</t>
        </is>
      </c>
      <c r="F4532" s="23" t="inlineStr">
        <is>
          <t>        </t>
        </is>
      </c>
      <c r="G4532" s="23" t="n">
        <v>129</v>
      </c>
      <c r="H4532" s="23" t="n">
        <v>10</v>
      </c>
      <c r="I4532" s="23" t="n">
        <v>120</v>
      </c>
      <c r="J4532" s="23" t="inlineStr">
        <is>
          <t>5-9524-1595-4</t>
        </is>
      </c>
      <c r="K4532" s="23" t="inlineStr">
        <is>
          <t>10,5х10,5</t>
        </is>
      </c>
      <c r="L4532" s="23" t="inlineStr">
        <is>
          <t>картон</t>
        </is>
      </c>
      <c r="M4532" s="23" t="n">
        <v>10</v>
      </c>
      <c r="N4532" s="23" t="n">
        <v>2008</v>
      </c>
      <c r="O4532" s="23" t="n">
        <v>38</v>
      </c>
      <c r="P4532" s="23" t="n"/>
      <c r="Q4532" s="23" t="n"/>
      <c r="R4532" s="25" t="n"/>
      <c r="S4532" s="26">
        <f>HYPERLINK("http://www.cnpol.ru/covers/7517.jpg","фото на сайте")</f>
        <v/>
      </c>
    </row>
    <row r="4533" ht="50.1" customHeight="1" s="3">
      <c r="A4533" s="23" t="n"/>
      <c r="B4533" s="24" t="inlineStr">
        <is>
          <t>6005</t>
        </is>
      </c>
      <c r="C4533" s="23" t="inlineStr">
        <is>
          <t>СКАЗКА</t>
        </is>
      </c>
      <c r="D4533" s="23" t="inlineStr">
        <is>
          <t>Братья Гримм</t>
        </is>
      </c>
      <c r="E4533" s="23" t="inlineStr">
        <is>
          <t>Стоптанные туфельки</t>
        </is>
      </c>
      <c r="F4533" s="23" t="inlineStr">
        <is>
          <t>        </t>
        </is>
      </c>
      <c r="G4533" s="23" t="n">
        <v>150</v>
      </c>
      <c r="H4533" s="23" t="n">
        <v>10</v>
      </c>
      <c r="I4533" s="23" t="n">
        <v>40</v>
      </c>
      <c r="J4533" s="23" t="inlineStr">
        <is>
          <t>5-9524-1754-X</t>
        </is>
      </c>
      <c r="K4533" s="23" t="inlineStr">
        <is>
          <t>60x90 1/8</t>
        </is>
      </c>
      <c r="L4533" s="23" t="inlineStr">
        <is>
          <t>мяг</t>
        </is>
      </c>
      <c r="M4533" s="23" t="n">
        <v>18</v>
      </c>
      <c r="N4533" s="23" t="n">
        <v>2005</v>
      </c>
      <c r="O4533" s="23" t="n">
        <v>88</v>
      </c>
      <c r="P4533" s="23" t="n"/>
      <c r="Q4533" s="23" t="n"/>
      <c r="R4533" s="25" t="n"/>
      <c r="S4533" s="26">
        <f>HYPERLINK("http://www.cnpol.ru/covers/6005.jpg","фото на сайте")</f>
        <v/>
      </c>
    </row>
    <row r="4534" ht="50.1" customHeight="1" s="3">
      <c r="A4534" s="23" t="n"/>
      <c r="B4534" s="24" t="inlineStr">
        <is>
          <t>6997</t>
        </is>
      </c>
      <c r="C4534" s="23" t="inlineStr">
        <is>
          <t>СКАЗКА</t>
        </is>
      </c>
      <c r="D4534" s="23" t="inlineStr">
        <is>
          <t>Народная сказка</t>
        </is>
      </c>
      <c r="E4534" s="23" t="inlineStr">
        <is>
          <t>Теремок</t>
        </is>
      </c>
      <c r="F4534" s="23" t="inlineStr">
        <is>
          <t>        </t>
        </is>
      </c>
      <c r="G4534" s="23" t="n">
        <v>168</v>
      </c>
      <c r="H4534" s="23" t="n">
        <v>10</v>
      </c>
      <c r="I4534" s="23" t="n">
        <v>56</v>
      </c>
      <c r="J4534" s="23" t="inlineStr">
        <is>
          <t>5-9524-1599-7</t>
        </is>
      </c>
      <c r="K4534" s="23" t="inlineStr">
        <is>
          <t>60x70 1/16</t>
        </is>
      </c>
      <c r="L4534" s="23" t="inlineStr">
        <is>
          <t>картон</t>
        </is>
      </c>
      <c r="M4534" s="23" t="n">
        <v>14</v>
      </c>
      <c r="N4534" s="23" t="n">
        <v>2007</v>
      </c>
      <c r="O4534" s="23" t="n">
        <v>120</v>
      </c>
      <c r="P4534" s="23" t="n"/>
      <c r="Q4534" s="23" t="n"/>
      <c r="R4534" s="25" t="n"/>
      <c r="S4534" s="26">
        <f>HYPERLINK("http://www.cnpol.ru/covers/6997.jpg","фото на сайте")</f>
        <v/>
      </c>
    </row>
    <row r="4535" ht="50.1" customHeight="1" s="3">
      <c r="A4535" s="23" t="n"/>
      <c r="B4535" s="24" t="inlineStr">
        <is>
          <t>5960</t>
        </is>
      </c>
      <c r="C4535" s="23" t="inlineStr">
        <is>
          <t>СКАЗКА</t>
        </is>
      </c>
      <c r="D4535" s="23" t="inlineStr">
        <is>
          <t>Народная сказка</t>
        </is>
      </c>
      <c r="E4535" s="23" t="inlineStr">
        <is>
          <t>Ходит конь по бережку</t>
        </is>
      </c>
      <c r="F4535" s="23" t="inlineStr">
        <is>
          <t>        </t>
        </is>
      </c>
      <c r="G4535" s="23" t="n">
        <v>150</v>
      </c>
      <c r="H4535" s="23" t="n">
        <v>10</v>
      </c>
      <c r="I4535" s="23" t="n">
        <v>40</v>
      </c>
      <c r="J4535" s="23" t="inlineStr">
        <is>
          <t>5-9524-1715-9</t>
        </is>
      </c>
      <c r="K4535" s="23" t="inlineStr">
        <is>
          <t>60x90 1/8</t>
        </is>
      </c>
      <c r="L4535" s="23" t="inlineStr">
        <is>
          <t>мяг</t>
        </is>
      </c>
      <c r="M4535" s="23" t="n">
        <v>18</v>
      </c>
      <c r="N4535" s="23" t="n">
        <v>2005</v>
      </c>
      <c r="O4535" s="23" t="n">
        <v>88</v>
      </c>
      <c r="P4535" s="23" t="n"/>
      <c r="Q4535" s="23" t="n"/>
      <c r="R4535" s="25" t="n"/>
      <c r="S4535" s="26">
        <f>HYPERLINK("http://www.cnpol.ru/covers/5960.jpg","фото на сайте")</f>
        <v/>
      </c>
    </row>
    <row r="4536" ht="50.1" customHeight="1" s="3">
      <c r="A4536" s="23" t="n"/>
      <c r="B4536" s="24" t="inlineStr">
        <is>
          <t>5842</t>
        </is>
      </c>
      <c r="C4536" s="23" t="inlineStr">
        <is>
          <t>СКАЗКА</t>
        </is>
      </c>
      <c r="D4536" s="23" t="inlineStr">
        <is>
          <t>Мошковская</t>
        </is>
      </c>
      <c r="E4536" s="23" t="inlineStr">
        <is>
          <t>Цыпленок шел в куд-кудаки</t>
        </is>
      </c>
      <c r="F4536" s="23" t="inlineStr">
        <is>
          <t>        </t>
        </is>
      </c>
      <c r="G4536" s="23" t="n">
        <v>150</v>
      </c>
      <c r="H4536" s="23" t="n">
        <v>10</v>
      </c>
      <c r="I4536" s="23" t="n">
        <v>50</v>
      </c>
      <c r="J4536" s="23" t="inlineStr">
        <is>
          <t>5-9524-1661-6</t>
        </is>
      </c>
      <c r="K4536" s="23" t="inlineStr">
        <is>
          <t>60x90 1/8</t>
        </is>
      </c>
      <c r="L4536" s="23" t="inlineStr">
        <is>
          <t>мяг</t>
        </is>
      </c>
      <c r="M4536" s="23" t="n">
        <v>18</v>
      </c>
      <c r="N4536" s="23" t="n">
        <v>2005</v>
      </c>
      <c r="O4536" s="23" t="n">
        <v>88</v>
      </c>
      <c r="P4536" s="23" t="n"/>
      <c r="Q4536" s="23" t="n"/>
      <c r="R4536" s="25" t="n"/>
      <c r="S4536" s="26">
        <f>HYPERLINK("http://www.cnpol.ru/covers/5842.jpg","фото на сайте")</f>
        <v/>
      </c>
    </row>
    <row r="4537" ht="50.1" customHeight="1" s="3">
      <c r="A4537" s="23" t="n"/>
      <c r="B4537" s="24" t="inlineStr">
        <is>
          <t>6056</t>
        </is>
      </c>
      <c r="C4537" s="23" t="inlineStr">
        <is>
          <t>СКАЗКА</t>
        </is>
      </c>
      <c r="D4537" s="23" t="inlineStr">
        <is>
          <t>Братья Гримм</t>
        </is>
      </c>
      <c r="E4537" s="23" t="inlineStr">
        <is>
          <t>Шесть лебедей</t>
        </is>
      </c>
      <c r="F4537" s="23" t="inlineStr">
        <is>
          <t>        </t>
        </is>
      </c>
      <c r="G4537" s="23" t="n">
        <v>150</v>
      </c>
      <c r="H4537" s="23" t="n">
        <v>10</v>
      </c>
      <c r="I4537" s="23" t="n">
        <v>50</v>
      </c>
      <c r="J4537" s="23" t="inlineStr">
        <is>
          <t>5-9524-1853-8</t>
        </is>
      </c>
      <c r="K4537" s="23" t="inlineStr">
        <is>
          <t>60x90 1/8</t>
        </is>
      </c>
      <c r="L4537" s="23" t="inlineStr">
        <is>
          <t>мяг</t>
        </is>
      </c>
      <c r="M4537" s="23" t="n">
        <v>18</v>
      </c>
      <c r="N4537" s="23" t="n">
        <v>2005</v>
      </c>
      <c r="O4537" s="23" t="n">
        <v>88</v>
      </c>
      <c r="P4537" s="23" t="n"/>
      <c r="Q4537" s="23" t="n"/>
      <c r="R4537" s="25" t="n"/>
      <c r="S4537" s="26">
        <f>HYPERLINK("http://www.cnpol.ru/covers/6056.jpg","фото на сайте")</f>
        <v/>
      </c>
    </row>
    <row r="4538" ht="50.1" customHeight="1" s="3">
      <c r="A4538" s="23" t="n"/>
      <c r="B4538" s="24" t="inlineStr">
        <is>
          <t>6006</t>
        </is>
      </c>
      <c r="C4538" s="23" t="inlineStr">
        <is>
          <t>СКАЗКА</t>
        </is>
      </c>
      <c r="D4538" s="23" t="inlineStr">
        <is>
          <t>Сеф</t>
        </is>
      </c>
      <c r="E4538" s="23" t="inlineStr">
        <is>
          <t>Я сделал крылья и летал</t>
        </is>
      </c>
      <c r="F4538" s="23" t="inlineStr">
        <is>
          <t>        </t>
        </is>
      </c>
      <c r="G4538" s="23" t="n">
        <v>150</v>
      </c>
      <c r="H4538" s="23" t="n">
        <v>10</v>
      </c>
      <c r="I4538" s="23" t="n">
        <v>40</v>
      </c>
      <c r="J4538" s="23" t="inlineStr">
        <is>
          <t>5-9524-1756-6</t>
        </is>
      </c>
      <c r="K4538" s="23" t="inlineStr">
        <is>
          <t>60x90 1/8</t>
        </is>
      </c>
      <c r="L4538" s="23" t="inlineStr">
        <is>
          <t>мяг</t>
        </is>
      </c>
      <c r="M4538" s="23" t="n">
        <v>18</v>
      </c>
      <c r="N4538" s="23" t="n">
        <v>2005</v>
      </c>
      <c r="O4538" s="23" t="n">
        <v>88</v>
      </c>
      <c r="P4538" s="23" t="n"/>
      <c r="Q4538" s="23" t="n"/>
      <c r="R4538" s="25" t="n"/>
      <c r="S4538" s="26">
        <f>HYPERLINK("http://www.cnpol.ru/covers/6006.jpg","фото на сайте")</f>
        <v/>
      </c>
    </row>
    <row r="4539" ht="50.1" customHeight="1" s="3">
      <c r="A4539" s="23" t="n"/>
      <c r="B4539" s="24" t="inlineStr">
        <is>
          <t>4165</t>
        </is>
      </c>
      <c r="C4539" s="23" t="inlineStr">
        <is>
          <t>СКП</t>
        </is>
      </c>
      <c r="D4539" s="23" t="inlineStr">
        <is>
          <t>Лазерсон Синельников</t>
        </is>
      </c>
      <c r="E4539" s="23" t="inlineStr">
        <is>
          <t>Блюда на мангале</t>
        </is>
      </c>
      <c r="F4539" s="23" t="inlineStr">
        <is>
          <t>        </t>
        </is>
      </c>
      <c r="G4539" s="23" t="n">
        <v>19</v>
      </c>
      <c r="H4539" s="23" t="n">
        <v>10</v>
      </c>
      <c r="I4539" s="23" t="n">
        <v>100</v>
      </c>
      <c r="J4539" s="23" t="inlineStr">
        <is>
          <t>5-9524-0567-3</t>
        </is>
      </c>
      <c r="K4539" s="23" t="inlineStr">
        <is>
          <t>70x100 1/32</t>
        </is>
      </c>
      <c r="L4539" s="23" t="inlineStr">
        <is>
          <t>мяг</t>
        </is>
      </c>
      <c r="M4539" s="23" t="inlineStr">
        <is>
          <t>    </t>
        </is>
      </c>
      <c r="N4539" s="23" t="inlineStr">
        <is>
          <t>    </t>
        </is>
      </c>
      <c r="O4539" s="23" t="inlineStr">
        <is>
          <t>     </t>
        </is>
      </c>
      <c r="P4539" s="23" t="n"/>
      <c r="Q4539" s="23" t="n"/>
      <c r="R4539" s="25" t="n"/>
      <c r="S4539" s="26">
        <f>HYPERLINK("http://www.cnpol.ru/covers/4165.jpg","фото на сайте")</f>
        <v/>
      </c>
    </row>
    <row r="4540" ht="50.1" customHeight="1" s="3">
      <c r="A4540" s="23" t="n"/>
      <c r="B4540" s="24" t="inlineStr">
        <is>
          <t>4737</t>
        </is>
      </c>
      <c r="C4540" s="23" t="inlineStr">
        <is>
          <t>СКП</t>
        </is>
      </c>
      <c r="D4540" s="23" t="inlineStr">
        <is>
          <t>Лазерсон Синельников</t>
        </is>
      </c>
      <c r="E4540" s="23" t="inlineStr">
        <is>
          <t>Все из бобов гороха и чечевицы</t>
        </is>
      </c>
      <c r="F4540" s="23" t="inlineStr">
        <is>
          <t>        </t>
        </is>
      </c>
      <c r="G4540" s="23" t="n">
        <v>88</v>
      </c>
      <c r="H4540" s="23" t="n">
        <v>10</v>
      </c>
      <c r="I4540" s="23" t="n">
        <v>100</v>
      </c>
      <c r="J4540" s="23" t="inlineStr">
        <is>
          <t>5-9524-0923-7</t>
        </is>
      </c>
      <c r="K4540" s="23" t="inlineStr">
        <is>
          <t>70x100 1/32</t>
        </is>
      </c>
      <c r="L4540" s="23" t="inlineStr">
        <is>
          <t>мяг</t>
        </is>
      </c>
      <c r="M4540" s="23" t="n">
        <v>63</v>
      </c>
      <c r="N4540" s="23" t="n">
        <v>2004</v>
      </c>
      <c r="O4540" s="23" t="n">
        <v>32</v>
      </c>
      <c r="P4540" s="23" t="n"/>
      <c r="Q4540" s="23" t="n"/>
      <c r="R4540" s="25" t="inlineStr">
        <is>
          <t>Президент "Санкт-Петербургского клуба шеф-поваров", организатор фестивалей русской кухни в Париже и Лондоне Илья Лазерсон и автор популярных книг по кулинарии Сергей Синельников дарят вам свою необычную "вкусную" книгу, в которой вы найдете множество полезных советов по приготовлению бобов, гороха и чечевицы. Бобы издавна служили пищей людей, занимающихся тяжелым физическим трудом. Сейчас, к сожалению, многие стараются избегать включения этих широко знакомых "стручковых" в свой рацион из-за длительности приготовления. И напрасно, ведь их употребление, особенно в зеленом виде, способствует выделению желчи, выведению холестерина из организма, снижает уровень сахара в крови. Авторы книги раскрывают секреты кулинарной обработки этого продукта и предлагают множество рецептов приготовления блюд из бобов, гороха и чечевицы - супов, похлебок, омлетов, каш, биточков. Простые советы и рекомендации, оригинальные рецепты и технологии окажут вам скорую и эффективную кулинарную помощь.</t>
        </is>
      </c>
      <c r="S4540" s="26">
        <f>HYPERLINK("http://www.cnpol.ru/covers/4737.jpg","фото на сайте")</f>
        <v/>
      </c>
    </row>
    <row r="4541" ht="50.1" customHeight="1" s="3">
      <c r="A4541" s="23" t="n"/>
      <c r="B4541" s="24" t="inlineStr">
        <is>
          <t>4889</t>
        </is>
      </c>
      <c r="C4541" s="23" t="inlineStr">
        <is>
          <t>СКП</t>
        </is>
      </c>
      <c r="D4541" s="23" t="inlineStr">
        <is>
          <t>Лазерсон Синельников</t>
        </is>
      </c>
      <c r="E4541" s="23" t="inlineStr">
        <is>
          <t>Все из огурцов</t>
        </is>
      </c>
      <c r="F4541" s="23" t="inlineStr">
        <is>
          <t>        </t>
        </is>
      </c>
      <c r="G4541" s="23" t="n">
        <v>88</v>
      </c>
      <c r="H4541" s="23" t="n">
        <v>10</v>
      </c>
      <c r="I4541" s="23" t="n">
        <v>80</v>
      </c>
      <c r="J4541" s="23" t="inlineStr">
        <is>
          <t>5-9524-1070-7</t>
        </is>
      </c>
      <c r="K4541" s="23" t="inlineStr">
        <is>
          <t>70x100 1/32</t>
        </is>
      </c>
      <c r="L4541" s="23" t="inlineStr">
        <is>
          <t>мяг</t>
        </is>
      </c>
      <c r="M4541" s="23" t="n">
        <v>63</v>
      </c>
      <c r="N4541" s="23" t="n">
        <v>2004</v>
      </c>
      <c r="O4541" s="23" t="n">
        <v>32</v>
      </c>
      <c r="P4541" s="23" t="n"/>
      <c r="Q4541" s="23" t="n"/>
      <c r="R4541" s="25" t="inlineStr">
        <is>
          <t>Авторы познакомят читателей с множеством рецептов любимых народом огуречных разносолов, удивят даже опытных кулинаров секретами приготовления салатов и бутербродов, огурцов фаршированных, тушеных, запеченных в сметане, огуречных супов и даже муссов.</t>
        </is>
      </c>
      <c r="S4541" s="26">
        <f>HYPERLINK("http://www.cnpol.ru/covers/4889.jpg","фото на сайте")</f>
        <v/>
      </c>
    </row>
    <row r="4542" ht="50.1" customHeight="1" s="3">
      <c r="A4542" s="23" t="n"/>
      <c r="B4542" s="24" t="inlineStr">
        <is>
          <t>4620</t>
        </is>
      </c>
      <c r="C4542" s="23" t="inlineStr">
        <is>
          <t>СКП</t>
        </is>
      </c>
      <c r="D4542" s="23" t="inlineStr">
        <is>
          <t>Лазерсон Синельников</t>
        </is>
      </c>
      <c r="E4542" s="23" t="inlineStr">
        <is>
          <t>Все из почек</t>
        </is>
      </c>
      <c r="F4542" s="23" t="inlineStr">
        <is>
          <t>        </t>
        </is>
      </c>
      <c r="G4542" s="23" t="n">
        <v>88</v>
      </c>
      <c r="H4542" s="23" t="n">
        <v>10</v>
      </c>
      <c r="I4542" s="23" t="n">
        <v>80</v>
      </c>
      <c r="J4542" s="23" t="inlineStr">
        <is>
          <t>5-9524-0860-5</t>
        </is>
      </c>
      <c r="K4542" s="23" t="inlineStr">
        <is>
          <t>70x100 1/32</t>
        </is>
      </c>
      <c r="L4542" s="23" t="inlineStr">
        <is>
          <t>мяг</t>
        </is>
      </c>
      <c r="M4542" s="23" t="n">
        <v>60</v>
      </c>
      <c r="N4542" s="23" t="n">
        <v>2004</v>
      </c>
      <c r="O4542" s="23" t="n">
        <v>32</v>
      </c>
      <c r="P4542" s="23" t="n"/>
      <c r="Q4542" s="23" t="n"/>
      <c r="R4542" s="25" t="inlineStr">
        <is>
          <t>Самая необычная «вкусная книга», где даны ответы на самые разные вопросы по приготовлению свиных, говяжих, телячьих и бараньих почек. Авторы книги — президент «Санкт-Петербургского клуба шеф-поваров», организатор фестивалей современной русской кухни в Париже и Лондоне Илья Лазерсон и автор популярных книг по кулинарии Михаил Синельников. В книге вы найдете множество рецептов приготовления почек. Авторы поделятся национальными секретами французских кулинаров, умеющих выявить изысканный вкус этого продукта. Вы узнаете как правильно выбирать и вымачивать почки. Как приготовить первые блюда: рассольники, супы и даже уху с почками. Вы научитесь делать почки по-русски, по-бургундски, по-венски и по-китайски. Вы сможете овладеть умением делать эти блюда быстро и вкусно.Простые советы и рекомендации, оригинальные рецепты и технологии окажут вам скорую и эффективную кулинарную помощь.</t>
        </is>
      </c>
      <c r="S4542" s="26">
        <f>HYPERLINK("http://www.cnpol.ru/covers/4620.jpg","фото на сайте")</f>
        <v/>
      </c>
    </row>
    <row r="4543" ht="50.1" customHeight="1" s="3">
      <c r="A4543" s="23" t="n"/>
      <c r="B4543" s="24" t="inlineStr">
        <is>
          <t>4722</t>
        </is>
      </c>
      <c r="C4543" s="23" t="inlineStr">
        <is>
          <t>СКП</t>
        </is>
      </c>
      <c r="D4543" s="23" t="inlineStr">
        <is>
          <t>Лазерсон Синельников</t>
        </is>
      </c>
      <c r="E4543" s="23" t="inlineStr">
        <is>
          <t>Все из трески</t>
        </is>
      </c>
      <c r="F4543" s="23" t="inlineStr">
        <is>
          <t>        </t>
        </is>
      </c>
      <c r="G4543" s="23" t="n">
        <v>88</v>
      </c>
      <c r="H4543" s="23" t="n">
        <v>10</v>
      </c>
      <c r="I4543" s="23" t="n">
        <v>100</v>
      </c>
      <c r="J4543" s="23" t="inlineStr">
        <is>
          <t>5-9524-0504-5</t>
        </is>
      </c>
      <c r="K4543" s="23" t="inlineStr">
        <is>
          <t>70x100 1/32</t>
        </is>
      </c>
      <c r="L4543" s="23" t="inlineStr">
        <is>
          <t>мяг</t>
        </is>
      </c>
      <c r="M4543" s="23" t="n">
        <v>63</v>
      </c>
      <c r="N4543" s="23" t="n">
        <v>2004</v>
      </c>
      <c r="O4543" s="23" t="n">
        <v>32</v>
      </c>
      <c r="P4543" s="23" t="n"/>
      <c r="Q4543" s="23" t="n"/>
      <c r="R4543" s="25" t="inlineStr">
        <is>
          <t>Самая необычная «Вкусная книга», где даны ответы на самые разные вопросы по приготовлению блюд из рыб семейства тресковых — значение которого в кулинарной истории народов трудно переоценить.Авторы книги — президент «Санкт-Петербургского клуба шеф-поваров», организатор фестивалей современной русской кухни в Париже и Лондоне Илья Лазерсон и автор популярных книг по кулинарии Сергей Синельников. В книге содержится множество рецептов приготовления разнообразных блюд из рыб семейства тресковых: собствено трески, пикши, мерлузы (хека), минтая, путассу, мерланга, сайды, наваги и налима. Вы узнаете все о полезных свойствах, способах и секретах приготовления тресковых, а также о значении этого рыбного семейства в кулинарной истории разных народов. Благодаря богатому содержанию витаминов, хорошему вкусу, легкой усвояемости эта ценная промысловая рыба займет почетное место в вашем каждодневном меню и на праздничном столе.Простые советы и рекомендации, оригинальные рецепты и технологии несомненно окажут скорую и эффективную кулинарную помощь как любителям, так и профессионалам.</t>
        </is>
      </c>
      <c r="S4543" s="26">
        <f>HYPERLINK("http://www.cnpol.ru/covers/4722.jpg","фото на сайте")</f>
        <v/>
      </c>
    </row>
    <row r="4544" ht="50.1" customHeight="1" s="3">
      <c r="A4544" s="23" t="n"/>
      <c r="B4544" s="24" t="inlineStr">
        <is>
          <t>4735</t>
        </is>
      </c>
      <c r="C4544" s="23" t="inlineStr">
        <is>
          <t>СКП</t>
        </is>
      </c>
      <c r="D4544" s="23" t="inlineStr">
        <is>
          <t>Лазерсон Синельников</t>
        </is>
      </c>
      <c r="E4544" s="23" t="inlineStr">
        <is>
          <t>Все из фасоли</t>
        </is>
      </c>
      <c r="F4544" s="23" t="inlineStr">
        <is>
          <t>        </t>
        </is>
      </c>
      <c r="G4544" s="23" t="n">
        <v>88</v>
      </c>
      <c r="H4544" s="23" t="n">
        <v>10</v>
      </c>
      <c r="I4544" s="23" t="n">
        <v>100</v>
      </c>
      <c r="J4544" s="23" t="inlineStr">
        <is>
          <t>5-9524-0942-3</t>
        </is>
      </c>
      <c r="K4544" s="23" t="inlineStr">
        <is>
          <t>70x90 1/32</t>
        </is>
      </c>
      <c r="L4544" s="23" t="inlineStr">
        <is>
          <t>мяг</t>
        </is>
      </c>
      <c r="M4544" s="23" t="n">
        <v>63</v>
      </c>
      <c r="N4544" s="23" t="n">
        <v>2004</v>
      </c>
      <c r="O4544" s="23" t="n">
        <v>32</v>
      </c>
      <c r="P4544" s="23" t="n"/>
      <c r="Q4544" s="23" t="n"/>
      <c r="R4544" s="25" t="n"/>
      <c r="S4544" s="26">
        <f>HYPERLINK("http://www.cnpol.ru/covers/4735.jpg","фото на сайте")</f>
        <v/>
      </c>
    </row>
    <row r="4545" ht="50.1" customHeight="1" s="3">
      <c r="A4545" s="23" t="n"/>
      <c r="B4545" s="24" t="inlineStr">
        <is>
          <t>5815</t>
        </is>
      </c>
      <c r="C4545" s="23" t="inlineStr">
        <is>
          <t>СКП</t>
        </is>
      </c>
      <c r="D4545" s="23" t="inlineStr">
        <is>
          <t>Лазерсон И.И</t>
        </is>
      </c>
      <c r="E4545" s="23" t="inlineStr">
        <is>
          <t>Закуски к пиву</t>
        </is>
      </c>
      <c r="F4545" s="23" t="inlineStr">
        <is>
          <t>        </t>
        </is>
      </c>
      <c r="G4545" s="23" t="n">
        <v>88</v>
      </c>
      <c r="H4545" s="23" t="n">
        <v>10</v>
      </c>
      <c r="I4545" s="23" t="n">
        <v>100</v>
      </c>
      <c r="J4545" s="23" t="inlineStr">
        <is>
          <t>5-9524-1745-0</t>
        </is>
      </c>
      <c r="K4545" s="23" t="inlineStr">
        <is>
          <t>70x100 1/32</t>
        </is>
      </c>
      <c r="L4545" s="23" t="inlineStr">
        <is>
          <t>мяг</t>
        </is>
      </c>
      <c r="M4545" s="23" t="n">
        <v>47</v>
      </c>
      <c r="N4545" s="23" t="n">
        <v>2005</v>
      </c>
      <c r="O4545" s="23" t="n">
        <v>30</v>
      </c>
      <c r="P4545" s="23" t="n"/>
      <c r="Q4545" s="23" t="n"/>
      <c r="R4545" s="25" t="inlineStr">
        <is>
          <t>В этой книге вы найдете рецепты традиционных закусок к пиву — от бутербродов до горячих мясных и рыбных блюд, которые призваны оттенять или дополнять вкусовые свойства пива. Простые советы и рекомендации окажут скорую и эффективную кулинарную помощь как любителям, так и профессионалам.</t>
        </is>
      </c>
      <c r="S4545" s="26">
        <f>HYPERLINK("http://www.cnpol.ru/covers/5815.jpg","фото на сайте")</f>
        <v/>
      </c>
    </row>
    <row r="4546" ht="50.1" customHeight="1" s="3">
      <c r="A4546" s="23" t="n"/>
      <c r="B4546" s="24" t="inlineStr">
        <is>
          <t>4814</t>
        </is>
      </c>
      <c r="C4546" s="23" t="inlineStr">
        <is>
          <t>СКП</t>
        </is>
      </c>
      <c r="D4546" s="23" t="inlineStr">
        <is>
          <t>Лазерсон Синельников</t>
        </is>
      </c>
      <c r="E4546" s="23" t="inlineStr">
        <is>
          <t>Оливки и маслины</t>
        </is>
      </c>
      <c r="F4546" s="23" t="inlineStr">
        <is>
          <t>        </t>
        </is>
      </c>
      <c r="G4546" s="23" t="n">
        <v>88</v>
      </c>
      <c r="H4546" s="23" t="n">
        <v>10</v>
      </c>
      <c r="I4546" s="23" t="n">
        <v>100</v>
      </c>
      <c r="J4546" s="23" t="inlineStr">
        <is>
          <t>5-9524-0996-2</t>
        </is>
      </c>
      <c r="K4546" s="23" t="inlineStr">
        <is>
          <t>70x100 1/32</t>
        </is>
      </c>
      <c r="L4546" s="23" t="inlineStr">
        <is>
          <t>мяг</t>
        </is>
      </c>
      <c r="M4546" s="23" t="n">
        <v>63</v>
      </c>
      <c r="N4546" s="23" t="n">
        <v>2004</v>
      </c>
      <c r="O4546" s="23" t="n">
        <v>32</v>
      </c>
      <c r="P4546" s="23" t="n"/>
      <c r="Q4546" s="23" t="n"/>
      <c r="R4546" s="25" t="n"/>
      <c r="S4546" s="26">
        <f>HYPERLINK("http://www.cnpol.ru/covers/4814.jpg","фото на сайте")</f>
        <v/>
      </c>
    </row>
    <row r="4547" ht="50.1" customHeight="1" s="3">
      <c r="A4547" s="23" t="n"/>
      <c r="B4547" s="24" t="inlineStr">
        <is>
          <t>10946</t>
        </is>
      </c>
      <c r="C4547" s="23" t="inlineStr">
        <is>
          <t>СЛОВАРЬ</t>
        </is>
      </c>
      <c r="D4547" s="23" t="inlineStr">
        <is>
          <t>Медведева</t>
        </is>
      </c>
      <c r="E4547" s="23" t="inlineStr">
        <is>
          <t>Словарь трудностей современного русского языка</t>
        </is>
      </c>
      <c r="F4547" s="23" t="inlineStr">
        <is>
          <t>        </t>
        </is>
      </c>
      <c r="G4547" s="23" t="n">
        <v>593</v>
      </c>
      <c r="H4547" s="23" t="n">
        <v>10</v>
      </c>
      <c r="I4547" s="23" t="n">
        <v>8</v>
      </c>
      <c r="J4547" s="23" t="inlineStr">
        <is>
          <t>978-5-9524-4040-1</t>
        </is>
      </c>
      <c r="K4547" s="23" t="inlineStr">
        <is>
          <t>84x108 1/32</t>
        </is>
      </c>
      <c r="L4547" s="23" t="inlineStr">
        <is>
          <t>тв</t>
        </is>
      </c>
      <c r="M4547" s="23" t="n">
        <v>687</v>
      </c>
      <c r="N4547" s="23" t="n">
        <v>2008</v>
      </c>
      <c r="O4547" s="23" t="n">
        <v>472</v>
      </c>
      <c r="P4547" s="23" t="n"/>
      <c r="Q4547" s="23" t="n"/>
      <c r="R4547" s="25" t="n"/>
      <c r="S4547" s="26">
        <f>HYPERLINK("http://www.cnpol.ru/covers/10946.jpg","фото на сайте")</f>
        <v/>
      </c>
    </row>
    <row r="4548" ht="50.1" customHeight="1" s="3">
      <c r="A4548" s="23" t="n"/>
      <c r="B4548" s="24" t="inlineStr">
        <is>
          <t>12205</t>
        </is>
      </c>
      <c r="C4548" s="23" t="inlineStr">
        <is>
          <t>СЛОВАРЬ</t>
        </is>
      </c>
      <c r="D4548" s="23" t="inlineStr">
        <is>
          <t>Мудрова И.А.</t>
        </is>
      </c>
      <c r="E4548" s="23" t="inlineStr">
        <is>
          <t>Строчная или прописная?Словарь современного русского языка</t>
        </is>
      </c>
      <c r="F4548" s="23" t="inlineStr">
        <is>
          <t>        </t>
        </is>
      </c>
      <c r="G4548" s="23" t="n">
        <v>428</v>
      </c>
      <c r="H4548" s="23" t="n">
        <v>10</v>
      </c>
      <c r="I4548" s="23" t="n">
        <v>14</v>
      </c>
      <c r="J4548" s="23" t="inlineStr">
        <is>
          <t>978-5-227-02315-5</t>
        </is>
      </c>
      <c r="K4548" s="23" t="inlineStr">
        <is>
          <t>84x108 1/32</t>
        </is>
      </c>
      <c r="L4548" s="23" t="inlineStr">
        <is>
          <t>тв</t>
        </is>
      </c>
      <c r="M4548" s="23" t="n">
        <v>319</v>
      </c>
      <c r="N4548" s="23" t="n">
        <v>2010</v>
      </c>
      <c r="O4548" s="23" t="n">
        <v>280</v>
      </c>
      <c r="P4548" s="23" t="n"/>
      <c r="Q4548" s="23" t="n"/>
      <c r="R4548" s="25" t="n"/>
      <c r="S4548" s="26">
        <f>HYPERLINK("http://www.cnpol.ru/covers/12205.jpg","фото на сайте")</f>
        <v/>
      </c>
    </row>
    <row r="4549" ht="50.1" customHeight="1" s="3">
      <c r="A4549" s="23" t="n"/>
      <c r="B4549" s="24" t="inlineStr">
        <is>
          <t>11103</t>
        </is>
      </c>
      <c r="C4549" s="23" t="inlineStr">
        <is>
          <t>СОД</t>
        </is>
      </c>
      <c r="D4549" s="23" t="inlineStr">
        <is>
          <t>Ковалев В.К.</t>
        </is>
      </c>
      <c r="E4549" s="23" t="inlineStr">
        <is>
          <t>1000 советов опытного доктора. Как помочь себе и близким в экстремальных ситуациях</t>
        </is>
      </c>
      <c r="F4549" s="23" t="inlineStr">
        <is>
          <t>        </t>
        </is>
      </c>
      <c r="G4549" s="23" t="n">
        <v>177</v>
      </c>
      <c r="H4549" s="23" t="n">
        <v>10</v>
      </c>
      <c r="I4549" s="23" t="n">
        <v>20</v>
      </c>
      <c r="J4549" s="23" t="inlineStr">
        <is>
          <t>978-5-9524-4207-8</t>
        </is>
      </c>
      <c r="K4549" s="23" t="inlineStr">
        <is>
          <t>84x108 1/32 (обл)</t>
        </is>
      </c>
      <c r="L4549" s="23" t="inlineStr">
        <is>
          <t>мяг</t>
        </is>
      </c>
      <c r="M4549" s="23" t="n">
        <v>256</v>
      </c>
      <c r="N4549" s="23" t="n">
        <v>2009</v>
      </c>
      <c r="O4549" s="23" t="n">
        <v>104</v>
      </c>
      <c r="P4549" s="23" t="n"/>
      <c r="Q4549" s="23" t="n"/>
      <c r="R4549" s="25" t="inlineStr">
        <is>
          <t>Каждый может неожиданно попасть в ситуацию, когда необходимо быстро оказать первую медицинскую помощь себе или своим близким, ведь иногда даже секунды промедления могут стоить жизни. Как своевременно предпринять меры, расскажет наша книга._x000D_
Виктор Константинович Ковалев-опытный врач-хирург с 35-летним стажем, кандидат медицинских наук, автор более 50 научных работ по хирургии, а также бестселлера "Геморрой и все-все-все"-научит вас грамотно действовать в эксремальных и обычных житейских ситуациях._x000D_
Вы узнаете, как оказать первую помощь при ранениях, обморожениях, переломах, ушибах, растяжениях и других травмах; вылечить гнойные раны, предоствратить нарывы и воспаления; в короткие сроки вернуться к нормальной жизни после операции; овладеть искусством самодиагностики,чтобы вовремя распознавать тревожные сигналы собственного тела, и даже о том, как выманить из уха божью коровку!_x000D_
Автор откровенно поделится с вами секретами писаных и неписаных правил внутрибольничного быта: подскажет, что надо брать с собой в стационар, как вести себя во время лечения и после него; даст 1000 полезных медицинских советов._x000D_
Книга адресована широкому кругу читателей. Она снабжена предметным указателем, чтобы быстро найти нужную информацию; написана легким, доступным языком, с добрым житейским юмором и большой любовью.</t>
        </is>
      </c>
      <c r="S4549" s="26">
        <f>HYPERLINK("http://www.cnpol.ru/covers/11103.jpg","фото на сайте")</f>
        <v/>
      </c>
    </row>
    <row r="4550" ht="50.1" customHeight="1" s="3">
      <c r="A4550" s="23" t="n"/>
      <c r="B4550" s="24" t="inlineStr">
        <is>
          <t>13783</t>
        </is>
      </c>
      <c r="C4550" s="23" t="inlineStr">
        <is>
          <t>СОД</t>
        </is>
      </c>
      <c r="D4550" s="23" t="inlineStr">
        <is>
          <t>Пигулевская И.С.</t>
        </is>
      </c>
      <c r="E4550" s="23" t="inlineStr">
        <is>
          <t>Боль, все, что вы не знали</t>
        </is>
      </c>
      <c r="F4550" s="23" t="inlineStr">
        <is>
          <t>        </t>
        </is>
      </c>
      <c r="G4550" s="23" t="n">
        <v>177</v>
      </c>
      <c r="H4550" s="23" t="n">
        <v>10</v>
      </c>
      <c r="I4550" s="23" t="n">
        <v>40</v>
      </c>
      <c r="J4550" s="23" t="inlineStr">
        <is>
          <t>978-5-227-03884-5</t>
        </is>
      </c>
      <c r="K4550" s="23" t="inlineStr">
        <is>
          <t>84x100 1/32</t>
        </is>
      </c>
      <c r="L4550" s="23" t="inlineStr">
        <is>
          <t>мяг</t>
        </is>
      </c>
      <c r="M4550" s="23" t="n">
        <v>126</v>
      </c>
      <c r="N4550" s="23" t="n">
        <v>2012</v>
      </c>
      <c r="O4550" s="23" t="n">
        <v>88</v>
      </c>
      <c r="P4550" s="23" t="n"/>
      <c r="Q4550" s="23" t="n"/>
      <c r="R4550" s="25" t="n"/>
      <c r="S4550" s="26">
        <f>HYPERLINK("http://www.cnpol.ru/covers/13783.jpg","фото на сайте")</f>
        <v/>
      </c>
    </row>
    <row r="4551" ht="50.1" customHeight="1" s="3">
      <c r="A4551" s="23" t="n"/>
      <c r="B4551" s="24" t="inlineStr">
        <is>
          <t>15266</t>
        </is>
      </c>
      <c r="C4551" s="23" t="inlineStr">
        <is>
          <t>СОД</t>
        </is>
      </c>
      <c r="D4551" s="23" t="inlineStr">
        <is>
          <t>Пигулевская И.С.</t>
        </is>
      </c>
      <c r="E4551" s="23" t="inlineStr">
        <is>
          <t>Восстанавливаем здоровье суставов. Простые и эффективные способы лечения</t>
        </is>
      </c>
      <c r="F4551" s="23" t="inlineStr">
        <is>
          <t>        </t>
        </is>
      </c>
      <c r="G4551" s="23" t="n">
        <v>177</v>
      </c>
      <c r="H4551" s="23" t="n">
        <v>10</v>
      </c>
      <c r="I4551" s="23" t="n">
        <v>50</v>
      </c>
      <c r="J4551" s="23" t="inlineStr">
        <is>
          <t>978-5-227-05333-6</t>
        </is>
      </c>
      <c r="K4551" s="23" t="inlineStr">
        <is>
          <t>84x108 1/32 (обл)</t>
        </is>
      </c>
      <c r="L4551" s="23" t="inlineStr">
        <is>
          <t>мяг</t>
        </is>
      </c>
      <c r="M4551" s="23" t="n">
        <v>126</v>
      </c>
      <c r="N4551" s="23" t="n">
        <v>2014</v>
      </c>
      <c r="O4551" s="23" t="n">
        <v>84</v>
      </c>
      <c r="P4551" s="23" t="n"/>
      <c r="Q4551" s="23" t="n"/>
      <c r="R4551" s="25" t="inlineStr">
        <is>
          <t>Что делать, если стоит диагноз-артрит, артроз и каждое движение причиняет мучительную боль? Не отчаивайтесь, в нашей книге вы найдете простые и эффективные способы лечения этих заболеваний. С помощью специальных упражнений и эффективного самомассажа вы сможете повысить подвижность и силу суставов.Используйте лучшие народные средства, рецепты которых проверены на практике, и запустится процесс регенерации тканей. Плюс ваше решительное желание избавиться от недуга- и болезнь отступит!</t>
        </is>
      </c>
      <c r="S4551" s="26">
        <f>HYPERLINK("http://www.cnpol.ru/covers/15266.jpg","фото на сайте")</f>
        <v/>
      </c>
    </row>
    <row r="4552" ht="50.1" customHeight="1" s="3">
      <c r="A4552" s="23" t="n"/>
      <c r="B4552" s="24" t="inlineStr">
        <is>
          <t>12863</t>
        </is>
      </c>
      <c r="C4552" s="23" t="inlineStr">
        <is>
          <t>СОД</t>
        </is>
      </c>
      <c r="D4552" s="23" t="inlineStr">
        <is>
          <t>Пигулевская И.С.</t>
        </is>
      </c>
      <c r="E4552" s="23" t="inlineStr">
        <is>
          <t>Все, что нужно знать о своих анализах. Самостоятельная диагностика и контроль за состоянием здоровья</t>
        </is>
      </c>
      <c r="F4552" s="23" t="inlineStr">
        <is>
          <t>        </t>
        </is>
      </c>
      <c r="G4552" s="23" t="n">
        <v>177</v>
      </c>
      <c r="H4552" s="23" t="n">
        <v>10</v>
      </c>
      <c r="I4552" s="23" t="n">
        <v>48</v>
      </c>
      <c r="J4552" s="23" t="inlineStr">
        <is>
          <t>978-5-227-02483-1</t>
        </is>
      </c>
      <c r="K4552" s="23" t="inlineStr">
        <is>
          <t>84x108 1/32 (обл)</t>
        </is>
      </c>
      <c r="L4552" s="23" t="inlineStr">
        <is>
          <t>мяг</t>
        </is>
      </c>
      <c r="M4552" s="23" t="n">
        <v>127</v>
      </c>
      <c r="N4552" s="23" t="n">
        <v>2011</v>
      </c>
      <c r="O4552" s="23" t="n">
        <v>88</v>
      </c>
      <c r="P4552" s="23" t="n"/>
      <c r="Q4552" s="23" t="n"/>
      <c r="R4552" s="25" t="inlineStr">
        <is>
          <t>Автор расскажет вам всё, что нужно знать о своих анализах, раскроет врачебные тайны и профессиональные секреты, поможет научиться непростому языку медицинских данных. Вы сами сумеете прочитать результаты анализов, оценить ситуацию и решить, как следует поступить в каждом конкретном случае. Вы не доверяете своему врачу? Он отвечает не на все ваши вопросы? Вооружившись знаниями, полученными в этой книге, вы самостоятельно сможете следить за ходом лечения и определять состояние вашего драгоценного здоровья или здоровья ваших близких.</t>
        </is>
      </c>
      <c r="S4552" s="26">
        <f>HYPERLINK("http://www.cnpol.ru/covers/12863.jpg","фото на сайте")</f>
        <v/>
      </c>
    </row>
    <row r="4553" ht="50.1" customHeight="1" s="3">
      <c r="A4553" s="23" t="n"/>
      <c r="B4553" s="24" t="inlineStr">
        <is>
          <t>14879</t>
        </is>
      </c>
      <c r="C4553" s="23" t="inlineStr">
        <is>
          <t>СОД</t>
        </is>
      </c>
      <c r="D4553" s="23" t="inlineStr">
        <is>
          <t>Пигулевская И.С.</t>
        </is>
      </c>
      <c r="E4553" s="23" t="inlineStr">
        <is>
          <t>Все, что нужно знать о своих анализах. Самостоятельная диагностика и контроль за состоянием здоровья</t>
        </is>
      </c>
      <c r="F4553" s="23" t="inlineStr">
        <is>
          <t>        </t>
        </is>
      </c>
      <c r="G4553" s="23" t="n">
        <v>177</v>
      </c>
      <c r="H4553" s="23" t="n">
        <v>10</v>
      </c>
      <c r="I4553" s="23" t="n">
        <v>52</v>
      </c>
      <c r="J4553" s="23" t="inlineStr">
        <is>
          <t>978-5-227-04837-0</t>
        </is>
      </c>
      <c r="K4553" s="23" t="inlineStr">
        <is>
          <t>84x108 1/32 (обл)</t>
        </is>
      </c>
      <c r="L4553" s="23" t="inlineStr">
        <is>
          <t>мяг</t>
        </is>
      </c>
      <c r="M4553" s="23" t="n">
        <v>127</v>
      </c>
      <c r="N4553" s="23" t="n">
        <v>2014</v>
      </c>
      <c r="O4553" s="23" t="n">
        <v>82</v>
      </c>
      <c r="P4553" s="23" t="n"/>
      <c r="Q4553" s="23" t="n"/>
      <c r="R4553" s="25" t="inlineStr">
        <is>
          <t>Автор расскажет вам всё, что нужно знать о своих анализах, раскроет врачебные тайны и профессиональные секреты, поможет научиться непростому языку медицинских данных. Вы сами сумеете прочитать результаты анализов, оценить ситуацию и решить, как следует поступить в каждом конкретном случае. Вы не доверяете своему врачу? Он отвечает не на все ваши вопросы? Вооружившись знаниями, полученными в этой книге, вы самостоятельно сможете следить за ходом лечения и определять состояние вашего драгоценного здоровья или здоровья ваших близких.</t>
        </is>
      </c>
      <c r="S4553" s="26">
        <f>HYPERLINK("http://www.cnpol.ru/covers/14879.jpg","фото на сайте")</f>
        <v/>
      </c>
    </row>
    <row r="4554" ht="50.1" customHeight="1" s="3">
      <c r="A4554" s="23" t="n"/>
      <c r="B4554" s="24" t="inlineStr">
        <is>
          <t>12397</t>
        </is>
      </c>
      <c r="C4554" s="23" t="inlineStr">
        <is>
          <t>СОД</t>
        </is>
      </c>
      <c r="D4554" s="23" t="inlineStr">
        <is>
          <t>Малахова Г.И.</t>
        </is>
      </c>
      <c r="E4554" s="23" t="inlineStr">
        <is>
          <t>Все, что нужно знать о холестерине и атеросклерозе</t>
        </is>
      </c>
      <c r="F4554" s="23" t="inlineStr">
        <is>
          <t>        </t>
        </is>
      </c>
      <c r="G4554" s="23" t="n">
        <v>158</v>
      </c>
      <c r="H4554" s="23" t="n">
        <v>10</v>
      </c>
      <c r="I4554" s="23" t="n">
        <v>48</v>
      </c>
      <c r="J4554" s="23" t="inlineStr">
        <is>
          <t>978-5-227-02577-7</t>
        </is>
      </c>
      <c r="K4554" s="23" t="inlineStr">
        <is>
          <t>84x108 1/32 (обл)</t>
        </is>
      </c>
      <c r="L4554" s="23" t="inlineStr">
        <is>
          <t>мяг</t>
        </is>
      </c>
      <c r="M4554" s="23" t="n">
        <v>159</v>
      </c>
      <c r="N4554" s="23" t="n">
        <v>2010</v>
      </c>
      <c r="O4554" s="23" t="inlineStr">
        <is>
          <t>     </t>
        </is>
      </c>
      <c r="P4554" s="23" t="n"/>
      <c r="Q4554" s="23" t="n"/>
      <c r="R4554" s="25" t="inlineStr">
        <is>
          <t>Галина Малахова просто и доступно рассказывает всю правду о холестерине: что значит "плохой" и "хороший" холестерин; какие нормы содержания холестерина в крови и какие существуют анализы для определения его уровня; когда нужно регулировать холестерин, почему он повышается и как снизить его показатели диетой; как самостоятельно провести чистку организма, оздоровиться физическими упражнениями и соками. Здесь же вы найдете варианты лечения чесноком, продуктами пчеловодства и лучшие народные рецепты при атеросклерозе, все для вашего хорошего самочувствия.</t>
        </is>
      </c>
      <c r="S4554" s="26">
        <f>HYPERLINK("http://www.cnpol.ru/covers/12397.jpg","фото на сайте")</f>
        <v/>
      </c>
    </row>
    <row r="4555" ht="50.1" customHeight="1" s="3">
      <c r="A4555" s="23" t="n"/>
      <c r="B4555" s="24" t="inlineStr">
        <is>
          <t>14785</t>
        </is>
      </c>
      <c r="C4555" s="23" t="inlineStr">
        <is>
          <t>СОД</t>
        </is>
      </c>
      <c r="D4555" s="23" t="inlineStr">
        <is>
          <t>Ковалев В.К.</t>
        </is>
      </c>
      <c r="E4555" s="23" t="inlineStr">
        <is>
          <t>Геморрой. Излечение без операции</t>
        </is>
      </c>
      <c r="F4555" s="23" t="inlineStr">
        <is>
          <t>        </t>
        </is>
      </c>
      <c r="G4555" s="23" t="n">
        <v>168</v>
      </c>
      <c r="H4555" s="23" t="n">
        <v>10</v>
      </c>
      <c r="I4555" s="23" t="n">
        <v>28</v>
      </c>
      <c r="J4555" s="23" t="inlineStr">
        <is>
          <t>978-5-227-04534-8</t>
        </is>
      </c>
      <c r="K4555" s="23" t="inlineStr">
        <is>
          <t>84x108 1/32 (обл)</t>
        </is>
      </c>
      <c r="L4555" s="23" t="inlineStr">
        <is>
          <t>мяг</t>
        </is>
      </c>
      <c r="M4555" s="23" t="n">
        <v>206</v>
      </c>
      <c r="N4555" s="23" t="n">
        <v>2014</v>
      </c>
      <c r="O4555" s="23" t="inlineStr">
        <is>
          <t>     </t>
        </is>
      </c>
      <c r="P4555" s="23" t="n"/>
      <c r="Q4555" s="23" t="n"/>
      <c r="R4555" s="25" t="inlineStr">
        <is>
          <t>Автор представляет вашему вниманию расширенную и дополненную версию своей книги «Геморрой и все-все-все». В ней доктор обстоятельно и доступно рассказывает о чрезвычайно распространенном недуге в деликатной области нашего тела. Вы узнаете о геморрое немало важного и любопытного: о сущности болезненного процесса; о симптомах и различных стадиях проявления; о современных методах лечения и способах самопомощи при обострениях. Подробные рекомендации специалиста подскажут, как уберечься от болезни или не усугубить ее, какие делать упражнения и как правильно питаться. Опираясь на свой многолетний врачебный опыт, автор уверенно заявляет: при грамотном лечении и следовании его советам в большинстве случаев геморрой можно вылечить без операции! Издание адресовано широкому кругу читателей, а в особенности тем, кто излишне застенчив и из чувства ложного стыда стесняется вовремя обратиться к врачу.</t>
        </is>
      </c>
      <c r="S4555" s="26">
        <f>HYPERLINK("http://www.cnpol.ru/covers/14785.jpg","фото на сайте")</f>
        <v/>
      </c>
    </row>
    <row r="4556" ht="50.1" customHeight="1" s="3">
      <c r="A4556" s="23" t="n"/>
      <c r="B4556" s="24" t="inlineStr">
        <is>
          <t>11861</t>
        </is>
      </c>
      <c r="C4556" s="23" t="inlineStr">
        <is>
          <t>СОД</t>
        </is>
      </c>
      <c r="D4556" s="23" t="inlineStr">
        <is>
          <t>Шолохов В.</t>
        </is>
      </c>
      <c r="E4556" s="23" t="inlineStr">
        <is>
          <t>Легко побеждаем болезни! 5 способов восстановления здоровья в любом возрасте</t>
        </is>
      </c>
      <c r="F4556" s="23" t="inlineStr">
        <is>
          <t>        </t>
        </is>
      </c>
      <c r="G4556" s="23" t="n">
        <v>115</v>
      </c>
      <c r="H4556" s="23" t="n">
        <v>10</v>
      </c>
      <c r="I4556" s="23" t="n">
        <v>30</v>
      </c>
      <c r="J4556" s="23" t="inlineStr">
        <is>
          <t>978-5-227-01996-7</t>
        </is>
      </c>
      <c r="K4556" s="23" t="inlineStr">
        <is>
          <t>84x108 1/32 (обл)</t>
        </is>
      </c>
      <c r="L4556" s="23" t="inlineStr">
        <is>
          <t>мяг</t>
        </is>
      </c>
      <c r="M4556" s="23" t="n">
        <v>191</v>
      </c>
      <c r="N4556" s="23" t="n">
        <v>2010</v>
      </c>
      <c r="O4556" s="23" t="n">
        <v>120</v>
      </c>
      <c r="P4556" s="23" t="n"/>
      <c r="Q4556" s="23" t="n"/>
      <c r="R4556" s="25" t="inlineStr">
        <is>
          <t>Описанная в этой книге система безмедикаметозного лечения основана на комплексном подходе к каждому человеку, на индивидуальных приемах, помогающих конкретным людям справиться со своими проблемами. И эти подходы зачастую столь просты, что ими легко сможет воспользоваться каждый из нас-даже без медицинских знаний. А если их воспримет и будет применять специалист, перед ним откроется масса новых возможностей для лечения!</t>
        </is>
      </c>
      <c r="S4556" s="26">
        <f>HYPERLINK("http://www.cnpol.ru/covers/11861.jpg","фото на сайте")</f>
        <v/>
      </c>
    </row>
    <row r="4557" ht="50.1" customHeight="1" s="3">
      <c r="A4557" s="23" t="n"/>
      <c r="B4557" s="24" t="inlineStr">
        <is>
          <t>11466</t>
        </is>
      </c>
      <c r="C4557" s="23" t="inlineStr">
        <is>
          <t>СОД</t>
        </is>
      </c>
      <c r="D4557" s="23" t="inlineStr">
        <is>
          <t>Прозоровский</t>
        </is>
      </c>
      <c r="E4557" s="23" t="inlineStr">
        <is>
          <t>Обязательная аптечка для каждого дома. Незаменимый помощник на все случаи жизни</t>
        </is>
      </c>
      <c r="F4557" s="23" t="inlineStr">
        <is>
          <t>        </t>
        </is>
      </c>
      <c r="G4557" s="23" t="n">
        <v>140</v>
      </c>
      <c r="H4557" s="23" t="n">
        <v>10</v>
      </c>
      <c r="I4557" s="23" t="n">
        <v>16</v>
      </c>
      <c r="J4557" s="23" t="inlineStr">
        <is>
          <t>978-5-9524-4520-8</t>
        </is>
      </c>
      <c r="K4557" s="23" t="inlineStr">
        <is>
          <t>84x108 1/32 (обл)</t>
        </is>
      </c>
      <c r="L4557" s="23" t="inlineStr">
        <is>
          <t>мяг</t>
        </is>
      </c>
      <c r="M4557" s="23" t="n">
        <v>238</v>
      </c>
      <c r="N4557" s="23" t="n">
        <v>2009</v>
      </c>
      <c r="O4557" s="23" t="n">
        <v>146</v>
      </c>
      <c r="P4557" s="23" t="n"/>
      <c r="Q4557" s="23" t="n"/>
      <c r="R4557" s="25" t="n"/>
      <c r="S4557" s="26">
        <f>HYPERLINK("http://www.cnpol.ru/covers/11466.jpg","фото на сайте")</f>
        <v/>
      </c>
    </row>
    <row r="4558" ht="50.1" customHeight="1" s="3">
      <c r="A4558" s="23" t="n"/>
      <c r="B4558" s="24" t="inlineStr">
        <is>
          <t>15480</t>
        </is>
      </c>
      <c r="C4558" s="23" t="inlineStr">
        <is>
          <t>СОД</t>
        </is>
      </c>
      <c r="D4558" s="23" t="inlineStr">
        <is>
          <t>Очерет А.</t>
        </is>
      </c>
      <c r="E4558" s="23" t="inlineStr">
        <is>
          <t>Остеохондроз и плоскостопие у мужчин. Супермен и соломинка. Профилактика, диагностика, лечение.</t>
        </is>
      </c>
      <c r="F4558" s="23" t="inlineStr">
        <is>
          <t>        </t>
        </is>
      </c>
      <c r="G4558" s="23" t="n">
        <v>177</v>
      </c>
      <c r="H4558" s="23" t="n">
        <v>10</v>
      </c>
      <c r="I4558" s="23" t="n">
        <v>32</v>
      </c>
      <c r="J4558" s="23" t="inlineStr">
        <is>
          <t>978-5-227-05370-1</t>
        </is>
      </c>
      <c r="K4558" s="23" t="inlineStr">
        <is>
          <t>84x108 1/32 (обл)</t>
        </is>
      </c>
      <c r="L4558" s="23" t="inlineStr">
        <is>
          <t>мяг</t>
        </is>
      </c>
      <c r="M4558" s="23" t="n">
        <v>159</v>
      </c>
      <c r="N4558" s="23" t="n">
        <v>2014</v>
      </c>
      <c r="O4558" s="23" t="n">
        <v>104</v>
      </c>
      <c r="P4558" s="23" t="n"/>
      <c r="Q4558" s="23" t="n"/>
      <c r="R4558" s="25" t="n"/>
      <c r="S4558" s="26">
        <f>HYPERLINK("http://www.cnpol.ru/covers/15480.jpg","фото на сайте")</f>
        <v/>
      </c>
    </row>
    <row r="4559" ht="50.1" customHeight="1" s="3">
      <c r="A4559" s="23" t="n"/>
      <c r="B4559" s="24" t="inlineStr">
        <is>
          <t>10728</t>
        </is>
      </c>
      <c r="C4559" s="23" t="inlineStr">
        <is>
          <t>СОД</t>
        </is>
      </c>
      <c r="D4559" s="23" t="inlineStr">
        <is>
          <t>Доктор Адаптор</t>
        </is>
      </c>
      <c r="E4559" s="23" t="inlineStr">
        <is>
          <t>Очищение организма за четырнадцать дней</t>
        </is>
      </c>
      <c r="F4559" s="23" t="inlineStr">
        <is>
          <t>        </t>
        </is>
      </c>
      <c r="G4559" s="23" t="n">
        <v>140</v>
      </c>
      <c r="H4559" s="23" t="n">
        <v>10</v>
      </c>
      <c r="I4559" s="23" t="n">
        <v>26</v>
      </c>
      <c r="J4559" s="23" t="inlineStr">
        <is>
          <t>978-5-9524-3764-7</t>
        </is>
      </c>
      <c r="K4559" s="23" t="inlineStr">
        <is>
          <t>84x108 1/32 (обл)</t>
        </is>
      </c>
      <c r="L4559" s="23" t="inlineStr">
        <is>
          <t>мяг</t>
        </is>
      </c>
      <c r="M4559" s="23" t="n">
        <v>250</v>
      </c>
      <c r="N4559" s="23" t="n">
        <v>2008</v>
      </c>
      <c r="O4559" s="23" t="n">
        <v>154</v>
      </c>
      <c r="P4559" s="23" t="n"/>
      <c r="Q4559" s="23" t="n"/>
      <c r="R4559" s="25" t="n"/>
      <c r="S4559" s="26">
        <f>HYPERLINK("http://www.cnpol.ru/covers/10728.jpg","фото на сайте")</f>
        <v/>
      </c>
    </row>
    <row r="4560" ht="50.1" customHeight="1" s="3">
      <c r="A4560" s="23" t="n"/>
      <c r="B4560" s="24" t="inlineStr">
        <is>
          <t>11017</t>
        </is>
      </c>
      <c r="C4560" s="23" t="inlineStr">
        <is>
          <t>СОД</t>
        </is>
      </c>
      <c r="D4560" s="23" t="inlineStr">
        <is>
          <t>Доктор Адаптор</t>
        </is>
      </c>
      <c r="E4560" s="23" t="inlineStr">
        <is>
          <t>Очищение организма за четырнадцать дней</t>
        </is>
      </c>
      <c r="F4560" s="23" t="inlineStr">
        <is>
          <t>        </t>
        </is>
      </c>
      <c r="G4560" s="23" t="n">
        <v>177</v>
      </c>
      <c r="H4560" s="23" t="n">
        <v>10</v>
      </c>
      <c r="I4560" s="23" t="n">
        <v>26</v>
      </c>
      <c r="J4560" s="23" t="inlineStr">
        <is>
          <t>978-5-9524-4199-6</t>
        </is>
      </c>
      <c r="K4560" s="23" t="inlineStr">
        <is>
          <t>84x108 1/32 (обл)</t>
        </is>
      </c>
      <c r="L4560" s="23" t="inlineStr">
        <is>
          <t>мяг</t>
        </is>
      </c>
      <c r="M4560" s="23" t="n">
        <v>250</v>
      </c>
      <c r="N4560" s="23" t="n">
        <v>2008</v>
      </c>
      <c r="O4560" s="23" t="n">
        <v>156</v>
      </c>
      <c r="P4560" s="23" t="n"/>
      <c r="Q4560" s="23" t="n"/>
      <c r="R4560" s="25" t="n"/>
      <c r="S4560" s="26">
        <f>HYPERLINK("http://www.cnpol.ru/covers/11017.jpg","фото на сайте")</f>
        <v/>
      </c>
    </row>
    <row r="4561" ht="50.1" customHeight="1" s="3">
      <c r="A4561" s="23" t="n"/>
      <c r="B4561" s="24" t="inlineStr">
        <is>
          <t>13939</t>
        </is>
      </c>
      <c r="C4561" s="23" t="inlineStr">
        <is>
          <t>СОД</t>
        </is>
      </c>
      <c r="D4561" s="23" t="inlineStr">
        <is>
          <t>Пигулевская И.С.</t>
        </is>
      </c>
      <c r="E4561" s="23" t="inlineStr">
        <is>
          <t>Побеждаем остеохондроз</t>
        </is>
      </c>
      <c r="F4561" s="23" t="inlineStr">
        <is>
          <t>        </t>
        </is>
      </c>
      <c r="G4561" s="23" t="n">
        <v>168</v>
      </c>
      <c r="H4561" s="23" t="n">
        <v>10</v>
      </c>
      <c r="I4561" s="23" t="n">
        <v>30</v>
      </c>
      <c r="J4561" s="23" t="inlineStr">
        <is>
          <t>978-5-227-03952-1</t>
        </is>
      </c>
      <c r="K4561" s="23" t="inlineStr">
        <is>
          <t>84x108 1/32 (обл)</t>
        </is>
      </c>
      <c r="L4561" s="23" t="inlineStr">
        <is>
          <t>мяг</t>
        </is>
      </c>
      <c r="M4561" s="23" t="n">
        <v>125</v>
      </c>
      <c r="N4561" s="23" t="n">
        <v>2012</v>
      </c>
      <c r="O4561" s="23" t="inlineStr">
        <is>
          <t>     </t>
        </is>
      </c>
      <c r="P4561" s="23" t="n"/>
      <c r="Q4561" s="23" t="n"/>
      <c r="R4561" s="25" t="n"/>
      <c r="S4561" s="26">
        <f>HYPERLINK("http://www.cnpol.ru/covers/13939.jpg","фото на сайте")</f>
        <v/>
      </c>
    </row>
    <row r="4562" ht="50.1" customHeight="1" s="3">
      <c r="A4562" s="23" t="n"/>
      <c r="B4562" s="24" t="inlineStr">
        <is>
          <t>14083</t>
        </is>
      </c>
      <c r="C4562" s="23" t="inlineStr">
        <is>
          <t>СОД</t>
        </is>
      </c>
      <c r="D4562" s="23" t="inlineStr">
        <is>
          <t>Пигулевская И.С.</t>
        </is>
      </c>
      <c r="E4562" s="23" t="inlineStr">
        <is>
          <t>Побеждаем остеохондроз</t>
        </is>
      </c>
      <c r="F4562" s="23" t="inlineStr">
        <is>
          <t>        </t>
        </is>
      </c>
      <c r="G4562" s="23" t="n">
        <v>177</v>
      </c>
      <c r="H4562" s="23" t="n">
        <v>10</v>
      </c>
      <c r="I4562" s="23" t="n">
        <v>30</v>
      </c>
      <c r="J4562" s="23" t="inlineStr">
        <is>
          <t>978-5-227-03952-1</t>
        </is>
      </c>
      <c r="K4562" s="23" t="inlineStr">
        <is>
          <t>84x108 1/32 (обл)</t>
        </is>
      </c>
      <c r="L4562" s="23" t="inlineStr">
        <is>
          <t>мяг</t>
        </is>
      </c>
      <c r="M4562" s="23" t="n">
        <v>125</v>
      </c>
      <c r="N4562" s="23" t="n">
        <v>2012</v>
      </c>
      <c r="O4562" s="23" t="n">
        <v>82</v>
      </c>
      <c r="P4562" s="23" t="n"/>
      <c r="Q4562" s="23" t="n"/>
      <c r="R4562" s="25" t="n"/>
      <c r="S4562" s="26">
        <f>HYPERLINK("http://www.cnpol.ru/covers/14083.jpg","фото на сайте")</f>
        <v/>
      </c>
    </row>
    <row r="4563" ht="50.1" customHeight="1" s="3">
      <c r="A4563" s="23" t="n"/>
      <c r="B4563" s="24" t="inlineStr">
        <is>
          <t>11607</t>
        </is>
      </c>
      <c r="C4563" s="23" t="inlineStr">
        <is>
          <t>СОД</t>
        </is>
      </c>
      <c r="D4563" s="23" t="inlineStr">
        <is>
          <t>Корсун В.Ф. и др.</t>
        </is>
      </c>
      <c r="E4563" s="23" t="inlineStr">
        <is>
          <t>Псориаз. Старинные и современные методы лечения</t>
        </is>
      </c>
      <c r="F4563" s="23" t="inlineStr">
        <is>
          <t>        </t>
        </is>
      </c>
      <c r="G4563" s="23" t="n">
        <v>140</v>
      </c>
      <c r="H4563" s="23" t="n">
        <v>10</v>
      </c>
      <c r="I4563" s="23" t="n">
        <v>20</v>
      </c>
      <c r="J4563" s="23" t="inlineStr">
        <is>
          <t>978-5-9524-4728-8</t>
        </is>
      </c>
      <c r="K4563" s="23" t="inlineStr">
        <is>
          <t>84x108 1/32 (обл)</t>
        </is>
      </c>
      <c r="L4563" s="23" t="inlineStr">
        <is>
          <t>мяг</t>
        </is>
      </c>
      <c r="M4563" s="23" t="n">
        <v>303</v>
      </c>
      <c r="N4563" s="23" t="n">
        <v>2009</v>
      </c>
      <c r="O4563" s="23" t="n">
        <v>176</v>
      </c>
      <c r="P4563" s="23" t="n"/>
      <c r="Q4563" s="23" t="n"/>
      <c r="R4563" s="25" t="n"/>
      <c r="S4563" s="26">
        <f>HYPERLINK("http://www.cnpol.ru/covers/11607.jpg","фото на сайте")</f>
        <v/>
      </c>
    </row>
    <row r="4564" ht="50.1" customHeight="1" s="3">
      <c r="A4564" s="23" t="inlineStr">
        <is>
          <t>Н</t>
        </is>
      </c>
      <c r="B4564" s="24" t="inlineStr">
        <is>
          <t>21621</t>
        </is>
      </c>
      <c r="C4564" s="23" t="inlineStr">
        <is>
          <t>СОННИКИ</t>
        </is>
      </c>
      <c r="D4564" s="23" t="inlineStr">
        <is>
          <t>Миллер Г.Х.</t>
        </is>
      </c>
      <c r="E4564" s="23" t="inlineStr">
        <is>
          <t>Золотой сонник Миллера. Сновидения от А до Я</t>
        </is>
      </c>
      <c r="F4564" s="23" t="inlineStr">
        <is>
          <t>        </t>
        </is>
      </c>
      <c r="G4564" s="27" t="n">
        <v>1265</v>
      </c>
      <c r="H4564" s="23" t="n">
        <v>10</v>
      </c>
      <c r="I4564" s="23" t="n">
        <v>10</v>
      </c>
      <c r="J4564" s="23" t="inlineStr">
        <is>
          <t>978-5-227-11007-7</t>
        </is>
      </c>
      <c r="K4564" s="23" t="inlineStr">
        <is>
          <t>84x108 1/32</t>
        </is>
      </c>
      <c r="L4564" s="23" t="inlineStr">
        <is>
          <t>тв</t>
        </is>
      </c>
      <c r="M4564" s="23" t="n">
        <v>445</v>
      </c>
      <c r="N4564" s="23" t="n">
        <v>2025</v>
      </c>
      <c r="O4564" s="23" t="n">
        <v>374</v>
      </c>
      <c r="P4564" s="23" t="n"/>
      <c r="Q4564" s="23" t="n"/>
      <c r="R4564" s="25" t="inlineStr">
        <is>
          <t>В основу создания этого уникального сонника легло древнее искусство толкования сновидений и современные методы взаимодействия с таинственным миром снов. В книге приведены алгоритмы их понимания, подсказки, предупреждения, прогнозы и возможности активно воздействовать на свою жизнь. Сонник Миллера будет полезен и интересен всем тем, кто хочет узнать что-то новое о своем внутреннем мире, предвидеть будущее и легко решать непростые житейские проблемы.</t>
        </is>
      </c>
      <c r="S4564" s="26">
        <f>HYPERLINK("http://www.cnpol.ru/covers/21621.jpg","фото на сайте")</f>
        <v/>
      </c>
    </row>
    <row r="4565" ht="50.1" customHeight="1" s="3">
      <c r="A4565" s="23" t="n"/>
      <c r="B4565" s="24" t="inlineStr">
        <is>
          <t>7938</t>
        </is>
      </c>
      <c r="C4565" s="23" t="inlineStr">
        <is>
          <t>СОФ</t>
        </is>
      </c>
      <c r="D4565" s="23" t="inlineStr">
        <is>
          <t>Ковалев В.К.</t>
        </is>
      </c>
      <c r="E4565" s="23" t="inlineStr">
        <is>
          <t>Геморрой и все все все</t>
        </is>
      </c>
      <c r="F4565" s="23" t="inlineStr">
        <is>
          <t>        </t>
        </is>
      </c>
      <c r="G4565" s="23" t="n">
        <v>177</v>
      </c>
      <c r="H4565" s="23" t="n">
        <v>10</v>
      </c>
      <c r="I4565" s="23" t="n">
        <v>24</v>
      </c>
      <c r="J4565" s="23" t="inlineStr">
        <is>
          <t>978-5-9524-2772-3</t>
        </is>
      </c>
      <c r="K4565" s="23" t="inlineStr">
        <is>
          <t>84x108 1/32 (обл)</t>
        </is>
      </c>
      <c r="L4565" s="23" t="inlineStr">
        <is>
          <t>мяг</t>
        </is>
      </c>
      <c r="M4565" s="23" t="n">
        <v>171</v>
      </c>
      <c r="N4565" s="23" t="n">
        <v>2008</v>
      </c>
      <c r="O4565" s="23" t="n">
        <v>112</v>
      </c>
      <c r="P4565" s="23" t="n"/>
      <c r="Q4565" s="23" t="n"/>
      <c r="R4565" s="25" t="inlineStr">
        <is>
          <t>В книге опытного практикующего врача­проктолога В.К. Ковалева обстоятельно и доступно рассказывается о чрезвычайно распространенном недомогании в деликатной области нашего тела.</t>
        </is>
      </c>
      <c r="S4565" s="26">
        <f>HYPERLINK("http://www.cnpol.ru/covers/7938.jpg","фото на сайте")</f>
        <v/>
      </c>
    </row>
    <row r="4566" ht="50.1" customHeight="1" s="3">
      <c r="A4566" s="23" t="n"/>
      <c r="B4566" s="24" t="inlineStr">
        <is>
          <t>6495</t>
        </is>
      </c>
      <c r="C4566" s="23" t="inlineStr">
        <is>
          <t>СОФ</t>
        </is>
      </c>
      <c r="D4566" s="23" t="inlineStr">
        <is>
          <t>Прозоровский</t>
        </is>
      </c>
      <c r="E4566" s="23" t="inlineStr">
        <is>
          <t>Почему лекарства лечат</t>
        </is>
      </c>
      <c r="F4566" s="23" t="inlineStr">
        <is>
          <t>        </t>
        </is>
      </c>
      <c r="G4566" s="23" t="n">
        <v>177</v>
      </c>
      <c r="H4566" s="23" t="n">
        <v>10</v>
      </c>
      <c r="I4566" s="23" t="n">
        <v>16</v>
      </c>
      <c r="J4566" s="23" t="inlineStr">
        <is>
          <t>5-9524-2216-0</t>
        </is>
      </c>
      <c r="K4566" s="23" t="inlineStr">
        <is>
          <t>84x108 1/32 (обл)</t>
        </is>
      </c>
      <c r="L4566" s="23" t="inlineStr">
        <is>
          <t>мяг</t>
        </is>
      </c>
      <c r="M4566" s="23" t="n">
        <v>195</v>
      </c>
      <c r="N4566" s="23" t="n">
        <v>2007</v>
      </c>
      <c r="O4566" s="23" t="n">
        <v>132</v>
      </c>
      <c r="P4566" s="23" t="n"/>
      <c r="Q4566" s="23" t="n"/>
      <c r="R4566" s="25" t="n"/>
      <c r="S4566" s="26">
        <f>HYPERLINK("http://www.cnpol.ru/covers/6495.jpg","фото на сайте")</f>
        <v/>
      </c>
    </row>
    <row r="4567" ht="50.1" customHeight="1" s="3">
      <c r="A4567" s="23" t="n"/>
      <c r="B4567" s="24" t="inlineStr">
        <is>
          <t>10018</t>
        </is>
      </c>
      <c r="C4567" s="23" t="inlineStr">
        <is>
          <t>СП</t>
        </is>
      </c>
      <c r="D4567" s="23" t="inlineStr">
        <is>
          <t>Ходосова</t>
        </is>
      </c>
      <c r="E4567" s="23" t="inlineStr">
        <is>
          <t>Секс - туризм</t>
        </is>
      </c>
      <c r="F4567" s="23" t="inlineStr">
        <is>
          <t>        </t>
        </is>
      </c>
      <c r="G4567" s="23" t="n">
        <v>358</v>
      </c>
      <c r="H4567" s="23" t="n">
        <v>22</v>
      </c>
      <c r="I4567" s="23" t="n">
        <v>24</v>
      </c>
      <c r="J4567" s="23" t="inlineStr">
        <is>
          <t>978-5-9524-3196-6</t>
        </is>
      </c>
      <c r="K4567" s="23" t="inlineStr">
        <is>
          <t>84x108 1/32</t>
        </is>
      </c>
      <c r="L4567" s="23" t="inlineStr">
        <is>
          <t>тв</t>
        </is>
      </c>
      <c r="M4567" s="23" t="n">
        <v>192</v>
      </c>
      <c r="N4567" s="23" t="n">
        <v>2008</v>
      </c>
      <c r="O4567" s="23" t="n">
        <v>224</v>
      </c>
      <c r="P4567" s="23" t="n"/>
      <c r="Q4567" s="23" t="n"/>
      <c r="R4567" s="25" t="n"/>
      <c r="S4567" s="26">
        <f>HYPERLINK("http://www.cnpol.ru/covers/10018.jpg","фото на сайте")</f>
        <v/>
      </c>
    </row>
    <row r="4568" ht="50.1" customHeight="1" s="3">
      <c r="A4568" s="23" t="n"/>
      <c r="B4568" s="24" t="inlineStr">
        <is>
          <t>8804</t>
        </is>
      </c>
      <c r="C4568" s="23" t="inlineStr">
        <is>
          <t>СП</t>
        </is>
      </c>
      <c r="D4568" s="23" t="inlineStr">
        <is>
          <t>Николаенко</t>
        </is>
      </c>
      <c r="E4568" s="23" t="inlineStr">
        <is>
          <t>Смертельная диета</t>
        </is>
      </c>
      <c r="F4568" s="23" t="inlineStr">
        <is>
          <t>        </t>
        </is>
      </c>
      <c r="G4568" s="23" t="n">
        <v>358</v>
      </c>
      <c r="H4568" s="23" t="n">
        <v>10</v>
      </c>
      <c r="I4568" s="23" t="n">
        <v>24</v>
      </c>
      <c r="J4568" s="23" t="inlineStr">
        <is>
          <t>978-5-9524-3073-0</t>
        </is>
      </c>
      <c r="K4568" s="23" t="inlineStr">
        <is>
          <t>84x108 1/32</t>
        </is>
      </c>
      <c r="L4568" s="23" t="inlineStr">
        <is>
          <t>тв</t>
        </is>
      </c>
      <c r="M4568" s="23" t="n">
        <v>223</v>
      </c>
      <c r="N4568" s="23" t="n">
        <v>2008</v>
      </c>
      <c r="O4568" s="23" t="n">
        <v>208</v>
      </c>
      <c r="P4568" s="23" t="n"/>
      <c r="Q4568" s="23" t="n"/>
      <c r="R4568" s="25" t="n"/>
      <c r="S4568" s="26">
        <f>HYPERLINK("http://www.cnpol.ru/covers/8804.jpg","фото на сайте")</f>
        <v/>
      </c>
    </row>
    <row r="4569" ht="50.1" customHeight="1" s="3">
      <c r="A4569" s="23" t="n"/>
      <c r="B4569" s="24" t="inlineStr">
        <is>
          <t>2010</t>
        </is>
      </c>
      <c r="C4569" s="23" t="inlineStr">
        <is>
          <t>СП+</t>
        </is>
      </c>
      <c r="D4569" s="23" t="inlineStr">
        <is>
          <t>Хасс</t>
        </is>
      </c>
      <c r="E4569" s="23" t="inlineStr">
        <is>
          <t>КГБ в ООН</t>
        </is>
      </c>
      <c r="F4569" s="23" t="inlineStr">
        <is>
          <t>        </t>
        </is>
      </c>
      <c r="G4569" s="23" t="n">
        <v>358</v>
      </c>
      <c r="H4569" s="23" t="n">
        <v>10</v>
      </c>
      <c r="I4569" s="23" t="n">
        <v>10</v>
      </c>
      <c r="J4569" s="23" t="inlineStr">
        <is>
          <t>5-227-00789-6</t>
        </is>
      </c>
      <c r="K4569" s="23" t="inlineStr">
        <is>
          <t>84x108 1/32</t>
        </is>
      </c>
      <c r="L4569" s="23" t="inlineStr">
        <is>
          <t>тв</t>
        </is>
      </c>
      <c r="M4569" s="23" t="n">
        <v>363</v>
      </c>
      <c r="N4569" s="23" t="n">
        <v>2000</v>
      </c>
      <c r="O4569" s="23" t="n">
        <v>324</v>
      </c>
      <c r="P4569" s="23" t="n"/>
      <c r="Q4569" s="23" t="n"/>
      <c r="R4569" s="25" t="inlineStr">
        <is>
          <t>Американские журналисты П.Дж. Хасс и ДЖ. Капоши рассказывают о деятельности советских разведслужб в Организации Объединенных Наций. Их представители пользуются дипломатической неприкосновенностью, и это способствует широкой шпионской деятельности. История советских агентов, служивших и ООН на протяжении нескольких десятилетий ее существования, политические акции советского правительства ни международной арене, разоблачение шпионов, работающих в комиссиях под личиной представителей своей страны, военные и дипломатические секреты, ставшие предметом шпионажа, расследование шпионских акций и даже преступлений и самой ООН - вот круг проблем, которые затрагивает книга.</t>
        </is>
      </c>
      <c r="S4569" s="26">
        <f>HYPERLINK("http://www.cnpol.ru/covers/2010.jpg","фото на сайте")</f>
        <v/>
      </c>
    </row>
    <row r="4570" ht="50.1" customHeight="1" s="3">
      <c r="A4570" s="23" t="n"/>
      <c r="B4570" s="24" t="inlineStr">
        <is>
          <t>2062</t>
        </is>
      </c>
      <c r="C4570" s="23" t="inlineStr">
        <is>
          <t>СП+</t>
        </is>
      </c>
      <c r="D4570" s="23" t="inlineStr">
        <is>
          <t>Вольтон Т</t>
        </is>
      </c>
      <c r="E4570" s="23" t="inlineStr">
        <is>
          <t>КГБ во Франции</t>
        </is>
      </c>
      <c r="F4570" s="23" t="inlineStr">
        <is>
          <t>        </t>
        </is>
      </c>
      <c r="G4570" s="23" t="n">
        <v>358</v>
      </c>
      <c r="H4570" s="23" t="n">
        <v>10</v>
      </c>
      <c r="I4570" s="23" t="n">
        <v>12</v>
      </c>
      <c r="J4570" s="23" t="inlineStr">
        <is>
          <t>5-227-00858-2</t>
        </is>
      </c>
      <c r="K4570" s="23" t="inlineStr">
        <is>
          <t>84x108 1/32</t>
        </is>
      </c>
      <c r="L4570" s="23" t="inlineStr">
        <is>
          <t>тв</t>
        </is>
      </c>
      <c r="M4570" s="23" t="n">
        <v>475</v>
      </c>
      <c r="N4570" s="23" t="n">
        <v>2000</v>
      </c>
      <c r="O4570" s="23" t="n">
        <v>382</v>
      </c>
      <c r="P4570" s="23" t="n"/>
      <c r="Q4570" s="23" t="n"/>
      <c r="R4570" s="25" t="inlineStr">
        <is>
          <t>Французский журналист расследует деятельность советской разведки и контрразведки, а также спецслужб восточноевропейских стран на территории Франции. В своей книге он показывает, как на протяжении десятилетий, несмотря на устойчивые советско-французские отношения, разведка стран соцлагеря проникала в государственные тайны Франции.</t>
        </is>
      </c>
      <c r="S4570" s="26">
        <f>HYPERLINK("http://www.cnpol.ru/covers/2062.jpg","фото на сайте")</f>
        <v/>
      </c>
    </row>
    <row r="4571" ht="50.1" customHeight="1" s="3">
      <c r="A4571" s="23" t="inlineStr">
        <is>
          <t>Н</t>
        </is>
      </c>
      <c r="B4571" s="24" t="inlineStr">
        <is>
          <t>21566</t>
        </is>
      </c>
      <c r="C4571" s="23" t="inlineStr">
        <is>
          <t>СПБ</t>
        </is>
      </c>
      <c r="D4571" s="23" t="inlineStr">
        <is>
          <t>Манойленко А.С.;Манойленко Ю.Е.</t>
        </is>
      </c>
      <c r="E4571" s="23" t="inlineStr">
        <is>
          <t>100 петербургских историй, извлеченных из архивов и пожелтевших газет</t>
        </is>
      </c>
      <c r="F4571" s="23" t="inlineStr">
        <is>
          <t>        </t>
        </is>
      </c>
      <c r="G4571" s="27" t="n">
        <v>1057</v>
      </c>
      <c r="H4571" s="23" t="n">
        <v>10</v>
      </c>
      <c r="I4571" s="23" t="n">
        <v>5</v>
      </c>
      <c r="J4571" s="23" t="inlineStr">
        <is>
          <t>978-5-227-11005-3</t>
        </is>
      </c>
      <c r="K4571" s="23" t="inlineStr">
        <is>
          <t>84x108 1/32</t>
        </is>
      </c>
      <c r="L4571" s="23" t="inlineStr">
        <is>
          <t>тв</t>
        </is>
      </c>
      <c r="M4571" s="23" t="n">
        <v>351</v>
      </c>
      <c r="N4571" s="23" t="n">
        <v>2025</v>
      </c>
      <c r="O4571" s="23" t="n">
        <v>455</v>
      </c>
      <c r="P4571" s="23" t="n"/>
      <c r="Q4571" s="23" t="n"/>
      <c r="R4571" s="25" t="inlineStr">
        <is>
          <t>Эта книга состоит из невыдуманных историй. На протяжении многих лет авторы занимались их поиском в архивах и библиотеках, чтобы рассказать о неизвестных, но очень интересных страницах прошлого Санкт-Петербурга._x000D_
Вы прочитаете о государях, министрах и придворных — и сможете узнать те «штрихи» и «черточки», которые не вошли в их парадные биографии. Но главные герои книги — это петербургские обыватели XIX — начала ХХ века. Студенты, домохозяйки, офицеры, дворники, сторожа, художники — все те, кто дышал влажным воздухом Северной столицы, любовался красотой улиц и площадей, улыбался редкому солнышку, печалился и радовался событиям повседневной жизни. Вместе они создали особую, неповторимую атмосферу Петербурга, которая вдохновляет нас по сегодняшний день.</t>
        </is>
      </c>
      <c r="S4571" s="26">
        <f>HYPERLINK("http://www.cnpol.ru/covers/21566.jpg","фото на сайте")</f>
        <v/>
      </c>
    </row>
    <row r="4572" ht="50.1" customHeight="1" s="3">
      <c r="A4572" s="23" t="n"/>
      <c r="B4572" s="24" t="inlineStr">
        <is>
          <t>15470</t>
        </is>
      </c>
      <c r="C4572" s="23" t="inlineStr">
        <is>
          <t>СПБ</t>
        </is>
      </c>
      <c r="D4572" s="23" t="inlineStr">
        <is>
          <t>Шерих Д.Ю.</t>
        </is>
      </c>
      <c r="E4572" s="23" t="inlineStr">
        <is>
          <t>Агонизирующая столица. Как Петербург противостоял семи страшнейшим эпидемиям холеры</t>
        </is>
      </c>
      <c r="F4572" s="23" t="inlineStr">
        <is>
          <t>        </t>
        </is>
      </c>
      <c r="G4572" s="23" t="n">
        <v>704</v>
      </c>
      <c r="H4572" s="23" t="n">
        <v>10</v>
      </c>
      <c r="I4572" s="23" t="n">
        <v>12</v>
      </c>
      <c r="J4572" s="23" t="inlineStr">
        <is>
          <t>978-5-227-05355-8</t>
        </is>
      </c>
      <c r="K4572" s="23" t="inlineStr">
        <is>
          <t>84x108 1/32</t>
        </is>
      </c>
      <c r="L4572" s="23" t="inlineStr">
        <is>
          <t>тв</t>
        </is>
      </c>
      <c r="M4572" s="23" t="n">
        <v>285</v>
      </c>
      <c r="N4572" s="23" t="n">
        <v>2014</v>
      </c>
      <c r="O4572" s="23" t="n">
        <v>350</v>
      </c>
      <c r="P4572" s="23" t="n"/>
      <c r="Q4572" s="23" t="n"/>
      <c r="R4572" s="25" t="inlineStr">
        <is>
          <t>Холера и сегодня — смертоносная болезнь, но в российских столицах, Петербурге и Москве, эта «азиатская гостья» не появлялась уже очень давно. А когда-то ее приход полностью менял ритм жизни горожан, их повседневный быт: они обряжались в набрюшники, старались не выходить на улицу натощак, обтирались оливковым маслом и принимали всякие другие меры, дабы не попасть в быстро растущие скорбные списки. Везло не всем: семь петербургских холерных эпидемий унесли жизнь семидесяти тысяч горожан; в числе жертв недуга оказались великие Карл Иванович Росси и Петр Ильич Чайковский._x000D_
Обо всем этом и идет речь в новой книге известного журналиста и историка, лауреата Анциферовской премии Дмитрия Шериха. Перед читателем пройдет вереница имен тех, кто погиб, кто выжил, и тех, кто с эпидемиями сражался; в книге представлены самые значимые холерные адреса Петербурга, приведены многочисленные свидетельства мемуаристов.</t>
        </is>
      </c>
      <c r="S4572" s="26">
        <f>HYPERLINK("http://www.cnpol.ru/covers/15470.jpg","фото на сайте")</f>
        <v/>
      </c>
    </row>
    <row r="4573" ht="50.1" customHeight="1" s="3">
      <c r="A4573" s="23" t="inlineStr">
        <is>
          <t>Д</t>
        </is>
      </c>
      <c r="B4573" s="24" t="inlineStr">
        <is>
          <t>21406</t>
        </is>
      </c>
      <c r="C4573" s="23" t="inlineStr">
        <is>
          <t>СПБ</t>
        </is>
      </c>
      <c r="D4573" s="23" t="inlineStr">
        <is>
          <t>Калиничев Б.А.,Николаева Т.И</t>
        </is>
      </c>
      <c r="E4573" s="23" t="inlineStr">
        <is>
          <t>Балконы Санкт-Петербурга. Металлические кружева художественного декора XVIII—XX веков. 370 авторских фотографий с топографическим указателем</t>
        </is>
      </c>
      <c r="F4573" s="23" t="inlineStr">
        <is>
          <t>        </t>
        </is>
      </c>
      <c r="G4573" s="27" t="n">
        <v>1103</v>
      </c>
      <c r="H4573" s="23" t="n">
        <v>10</v>
      </c>
      <c r="I4573" s="23" t="n">
        <v>12</v>
      </c>
      <c r="J4573" s="23" t="inlineStr">
        <is>
          <t>978-5-227-10884-5</t>
        </is>
      </c>
      <c r="K4573" s="23" t="inlineStr">
        <is>
          <t>84x108 1/32</t>
        </is>
      </c>
      <c r="L4573" s="23" t="inlineStr">
        <is>
          <t>тв</t>
        </is>
      </c>
      <c r="M4573" s="23" t="n">
        <v>351</v>
      </c>
      <c r="N4573" s="23" t="n">
        <v>2025</v>
      </c>
      <c r="O4573" s="23" t="n">
        <v>393</v>
      </c>
      <c r="P4573" s="23" t="n"/>
      <c r="Q4573" s="23" t="n"/>
      <c r="R4573" s="25" t="inlineStr">
        <is>
          <t>К сожалению, мы все время спешим опустив глаза и редко обращаем внимание на оформление зданий, лепнину, колонны, витражи, удивительное кружево старинных балконных решеток, а ведь именно эти детали делают каждое историческое строение уникальным._x000D_
Вы держите в руках прекрасно иллюстрированное издание, которое станет настоящим подарком для широкого круга читателей: любителей истории Северной столицы, эстетов и всех, кому интересна история русской архитектуры и художественный декор XVIII—XX вв. В нем речь пойдет о неповторимых питерских балконах._x000D_
Балконы, как и архитектура здания, претерпевают стилисти­че­ские изменения, преодолевая путь развития от изящно-причудливых форм барокко к строгим формам классицизма, от торжественно-помпезного ампира к насыщенным формам эклектики и изощренной необычности модерна. Вас ждет более 370 авторских иллюстраций, которые для удобства поиска информации отображены в топографическом указателе.</t>
        </is>
      </c>
      <c r="S4573" s="26">
        <f>HYPERLINK("http://www.cnpol.ru/covers/21406.jpg","фото на сайте")</f>
        <v/>
      </c>
    </row>
    <row r="4574" ht="50.1" customHeight="1" s="3">
      <c r="A4574" s="23" t="n"/>
      <c r="B4574" s="24" t="inlineStr">
        <is>
          <t>16194</t>
        </is>
      </c>
      <c r="C4574" s="23" t="inlineStr">
        <is>
          <t>СПБ</t>
        </is>
      </c>
      <c r="D4574" s="23" t="inlineStr">
        <is>
          <t>Ходанович В.</t>
        </is>
      </c>
      <c r="E4574" s="23" t="inlineStr">
        <is>
          <t>Блокадные будни одного района Ленинграда.</t>
        </is>
      </c>
      <c r="F4574" s="23" t="inlineStr">
        <is>
          <t>        </t>
        </is>
      </c>
      <c r="G4574" s="23" t="n">
        <v>968</v>
      </c>
      <c r="H4574" s="23" t="n">
        <v>10</v>
      </c>
      <c r="I4574" s="23" t="n">
        <v>10</v>
      </c>
      <c r="J4574" s="23" t="inlineStr">
        <is>
          <t>978-5-227-06039-6</t>
        </is>
      </c>
      <c r="K4574" s="23" t="inlineStr">
        <is>
          <t>84x108 1/32</t>
        </is>
      </c>
      <c r="L4574" s="23" t="inlineStr">
        <is>
          <t>тв</t>
        </is>
      </c>
      <c r="M4574" s="23" t="n">
        <v>478</v>
      </c>
      <c r="N4574" s="23" t="n">
        <v>2015</v>
      </c>
      <c r="O4574" s="23" t="n">
        <v>370</v>
      </c>
      <c r="P4574" s="23" t="n"/>
      <c r="Q4574" s="23" t="n"/>
      <c r="R4574" s="25" t="inlineStr">
        <is>
          <t>О Ленинградской блокаде написано немало. Казалось бы, эта горькая тема во многом исчерпана, но находятся все новые и новые свидетельства об этом трагическом периоде в истории Северной столицы. Книга Владимира Ходановича из этого ряда. Речь пойдет о блокадных буднях одного района Ленинграда — парка имени 1 Мая (нынешнего «Екатерингофского») и его ближайших окрестностей в период с начала 1941 по январь 1944 года._x000D_
Вы прочтете о том, как выживали ленинградцы в годы тяжких испытаний, о тех, кто не дожил до Победы, о предприятиях, школах, детских садах, яслях блокадной поры. Об оборонительных соору­жениях и медсанбатах, которые располагались рядом с парком… _x000D_
Основу книги составили материалы нескольких архивов, в том числе рассекреченных дел, и мемуары жителей этого района блокадного Ленинграда, как опубликованные, так и публикуемые впервые.</t>
        </is>
      </c>
      <c r="S4574" s="26">
        <f>HYPERLINK("http://www.cnpol.ru/covers/16194.jpg","фото на сайте")</f>
        <v/>
      </c>
    </row>
    <row r="4575" ht="50.1" customHeight="1" s="3">
      <c r="A4575" s="23" t="inlineStr">
        <is>
          <t>Д</t>
        </is>
      </c>
      <c r="B4575" s="24" t="inlineStr">
        <is>
          <t>21478</t>
        </is>
      </c>
      <c r="C4575" s="23" t="inlineStr">
        <is>
          <t>СПБ</t>
        </is>
      </c>
      <c r="D4575" s="23" t="inlineStr">
        <is>
          <t>Бахтиаров А.А.</t>
        </is>
      </c>
      <c r="E4575" s="23" t="inlineStr">
        <is>
          <t>Брюхо Петербурга. Очерки столичной жизни</t>
        </is>
      </c>
      <c r="F4575" s="23" t="inlineStr">
        <is>
          <t>        </t>
        </is>
      </c>
      <c r="G4575" s="27" t="n">
        <v>1130</v>
      </c>
      <c r="H4575" s="23" t="n">
        <v>10</v>
      </c>
      <c r="I4575" s="23" t="n">
        <v>5</v>
      </c>
      <c r="J4575" s="23" t="inlineStr">
        <is>
          <t>978-5-227-10982-8</t>
        </is>
      </c>
      <c r="K4575" s="23" t="inlineStr">
        <is>
          <t>84x108 1/32</t>
        </is>
      </c>
      <c r="L4575" s="23" t="inlineStr">
        <is>
          <t>тв</t>
        </is>
      </c>
      <c r="M4575" s="23" t="n">
        <v>383</v>
      </c>
      <c r="N4575" s="23" t="n">
        <v>2025</v>
      </c>
      <c r="O4575" s="23" t="n">
        <v>278</v>
      </c>
      <c r="P4575" s="23" t="n"/>
      <c r="Q4575" s="23" t="n"/>
      <c r="R4575" s="25" t="inlineStr">
        <is>
          <t>Известный российский публицист, писатель, краевед и педагог Анатолий Александрович Бахтиаров подробнейшим образом рассказал, как работал огромный хозяйственный механизм, снабжавший Петербург конца XIX века продовольствием, рабочей силой и материалами. Перед читателем пройдет длинная вереница ярко прописанных портретов работников боен, поденщиков, золотарей, факельщиков, тряпичников, крючников, рассыльных, перекупщиков и множество других обитателей Северной столицы, которые совместными усилиями вращали маховик городского хозяйства. Автор книги рассказал о Воспитательном доме, ночлежках, скотобойне, большинстве столичных рынков, пристанях, балаганах, городских гуляньях… Издание читается живо и содержит множество бытовых подробностей, от которых порой захватывает дух… Но автор спокоен и бесстрастен, он не дает волю эмоциям и не ставит оценок… Книга написана прекрасным литературным языком, хорошо иллюстрирована и рассчитана на широкий круг любознательных читателей.</t>
        </is>
      </c>
      <c r="S4575" s="26">
        <f>HYPERLINK("http://www.cnpol.ru/covers/21478.jpg","фото на сайте")</f>
        <v/>
      </c>
    </row>
    <row r="4576" ht="50.1" customHeight="1" s="3">
      <c r="A4576" s="23" t="n"/>
      <c r="B4576" s="24" t="inlineStr">
        <is>
          <t>19819</t>
        </is>
      </c>
      <c r="C4576" s="23" t="inlineStr">
        <is>
          <t>СПБ</t>
        </is>
      </c>
      <c r="D4576" s="23" t="inlineStr">
        <is>
          <t>Векслер А.Ф.</t>
        </is>
      </c>
      <c r="E4576" s="23" t="inlineStr">
        <is>
          <t>Владимирский проспект</t>
        </is>
      </c>
      <c r="F4576" s="23" t="inlineStr">
        <is>
          <t>        </t>
        </is>
      </c>
      <c r="G4576" s="23" t="n">
        <v>941</v>
      </c>
      <c r="H4576" s="23" t="n">
        <v>10</v>
      </c>
      <c r="I4576" s="23" t="n">
        <v>14</v>
      </c>
      <c r="J4576" s="23" t="inlineStr">
        <is>
          <t>978-5-227-09474-2</t>
        </is>
      </c>
      <c r="K4576" s="23" t="inlineStr">
        <is>
          <t>84x108 1/32</t>
        </is>
      </c>
      <c r="L4576" s="23" t="inlineStr">
        <is>
          <t>тв</t>
        </is>
      </c>
      <c r="M4576" s="23" t="n">
        <v>288</v>
      </c>
      <c r="N4576" s="23" t="n">
        <v>2021</v>
      </c>
      <c r="O4576" s="23" t="n">
        <v>358</v>
      </c>
      <c r="P4576" s="23" t="n"/>
      <c r="Q4576" s="23" t="n"/>
      <c r="R4576" s="25" t="inlineStr">
        <is>
          <t>Вас ждет необыкновенно насыщенная и увлекательная прогулка по Владимировскому проспекту. Здесь вы можете наблюдать примеры различных архитектурных стилей-классицизма, эклектики и модерна. В разные годы тут жили или бывали зажиточные негоцианты, известные врачи, такие как хирург Склифосовский, профессор, заслуженный деятель наук, педиатр Аркадий Борисович Воловик, представители петербургской богемы и многочисленный чиновный и служилый народ.</t>
        </is>
      </c>
      <c r="S4576" s="26">
        <f>HYPERLINK("http://www.cnpol.ru/covers/19819.jpg","фото на сайте")</f>
        <v/>
      </c>
    </row>
    <row r="4577" ht="50.1" customHeight="1" s="3">
      <c r="A4577" s="23" t="n"/>
      <c r="B4577" s="24" t="inlineStr">
        <is>
          <t>13596</t>
        </is>
      </c>
      <c r="C4577" s="23" t="inlineStr">
        <is>
          <t>СПБ</t>
        </is>
      </c>
      <c r="D4577" s="23" t="inlineStr">
        <is>
          <t>Малышев С.А.</t>
        </is>
      </c>
      <c r="E4577" s="23" t="inlineStr">
        <is>
          <t>Военный Петербург эпохи Николая I</t>
        </is>
      </c>
      <c r="F4577" s="23" t="inlineStr">
        <is>
          <t>        </t>
        </is>
      </c>
      <c r="G4577" s="27" t="n">
        <v>1165</v>
      </c>
      <c r="H4577" s="23" t="n">
        <v>10</v>
      </c>
      <c r="I4577" s="23" t="n">
        <v>7</v>
      </c>
      <c r="J4577" s="23" t="inlineStr">
        <is>
          <t>978-5-227-03680-3</t>
        </is>
      </c>
      <c r="K4577" s="23" t="inlineStr">
        <is>
          <t>70x100 1/16</t>
        </is>
      </c>
      <c r="L4577" s="23" t="inlineStr">
        <is>
          <t>тв</t>
        </is>
      </c>
      <c r="M4577" s="23" t="n">
        <v>397</v>
      </c>
      <c r="N4577" s="23" t="n">
        <v>2012</v>
      </c>
      <c r="O4577" s="23" t="n">
        <v>712</v>
      </c>
      <c r="P4577" s="23" t="n"/>
      <c r="Q4577" s="23" t="n"/>
      <c r="R4577" s="25" t="inlineStr">
        <is>
          <t>Время правления Николая I у многих ассоциируется с тем, что нам рассказывали о нем в школе и институте: реакция и полный застой. Однако же у императора было много заслуг перед отечеством. В этой книге автор помогает воссоздать истинную целостную и реалистичную картину николаевского Петербурга. Страстный и увлеченный рассказ автора поможет читателю лучше познакомиться с жизнью и службой в армии при императоре Николае I, с Петербургом, который в его царствование получил наивысший расцвет как военная столица. В основу произведения легли военные мемуары, не издававшиеся с 1917 г., материалы по истории полков, старые и новые исторические исследования. Текст иллюстрируют прекрасные картины и портреты той эпохи.</t>
        </is>
      </c>
      <c r="S4577" s="26">
        <f>HYPERLINK("http://www.cnpol.ru/covers/13596.jpg","фото на сайте")</f>
        <v/>
      </c>
    </row>
    <row r="4578" ht="50.1" customHeight="1" s="3">
      <c r="A4578" s="23" t="inlineStr">
        <is>
          <t>Н</t>
        </is>
      </c>
      <c r="B4578" s="24" t="inlineStr">
        <is>
          <t>21146</t>
        </is>
      </c>
      <c r="C4578" s="23" t="inlineStr">
        <is>
          <t>СПБ</t>
        </is>
      </c>
      <c r="D4578" s="23" t="inlineStr">
        <is>
          <t>Гусаров А.Ю.</t>
        </is>
      </c>
      <c r="E4578" s="23" t="inlineStr">
        <is>
          <t>Вокруг Знаменской площади. История застройки площади Восстания, Лиговского канала, улиц Восстания и Пушкинской</t>
        </is>
      </c>
      <c r="F4578" s="23" t="inlineStr">
        <is>
          <t>        </t>
        </is>
      </c>
      <c r="G4578" s="27" t="n">
        <v>1063</v>
      </c>
      <c r="H4578" s="23" t="n">
        <v>10</v>
      </c>
      <c r="I4578" s="23" t="n">
        <v>12</v>
      </c>
      <c r="J4578" s="23" t="inlineStr">
        <is>
          <t>978-5-227-09527-5</t>
        </is>
      </c>
      <c r="K4578" s="23" t="inlineStr">
        <is>
          <t>84x108 1/32</t>
        </is>
      </c>
      <c r="L4578" s="23" t="inlineStr">
        <is>
          <t>тв</t>
        </is>
      </c>
      <c r="M4578" s="23" t="n">
        <v>351</v>
      </c>
      <c r="N4578" s="23" t="n">
        <v>2024</v>
      </c>
      <c r="O4578" s="23" t="n">
        <v>400</v>
      </c>
      <c r="P4578" s="23" t="n"/>
      <c r="Q4578" s="23" t="n"/>
      <c r="R4578" s="25" t="inlineStr">
        <is>
          <t>Новая работа Андрея Гусарова знакомит читателей с историей появления и формирования в Санкт-Петербурге одного из главных центров города — площади Восстания (бывшей Знаменской) и застройкой примыкающих к ней кварталов. В книге читатели найдут рассказ о допетровском прошлом территории, занятой площадью Восстания, узнают, как в течение десятилетий застраивались берега Лиговского канала, а на карте города появились улицы Пушкинская и Восстания (бывшая Знаменская). Подробно представлена история Московского (Николаевского) железнодорожного вокзала, знаменитой Северной (Октябрьской) гостиницы и несохранившейся Знаменской церкви, на месте которой выстроен наземный павильон станции метро. Важная часть повествования посвящена судьбе памятника императору Александру III итальянского скульптора Паоло Трубецкого и истории созданного по проекту архитектора Владимира Лукьянова обелиска «Городу-Герою Ленинграду», с появлением которого завершилось формирование ансамбля площади Восстания. Кроме познавательной информации об архитектуре зданий, сооруженных здесь и на близлежащих улицах, читателей ждет знакомство с судьбой ряда известных петербуржцев — обитателей доходных домов и гостиниц этого района._x000D_
Книга предназначена для учащихся, студентов, краеведов, специалистов по истории и всех, кто интересуется прошлым Санкт-Петербурга.</t>
        </is>
      </c>
      <c r="S4578" s="26">
        <f>HYPERLINK("http://www.cnpol.ru/covers/21146.jpg","фото на сайте")</f>
        <v/>
      </c>
    </row>
    <row r="4579" ht="50.1" customHeight="1" s="3">
      <c r="A4579" s="23" t="n"/>
      <c r="B4579" s="24" t="inlineStr">
        <is>
          <t>14736</t>
        </is>
      </c>
      <c r="C4579" s="23" t="inlineStr">
        <is>
          <t>СПБ</t>
        </is>
      </c>
      <c r="D4579" s="23" t="inlineStr">
        <is>
          <t>Аксельрод В.И., Гусева А.В.</t>
        </is>
      </c>
      <c r="E4579" s="23" t="inlineStr">
        <is>
          <t>Вокруг Финляндского вокзала.Путеводитель по Выборгской стороне.</t>
        </is>
      </c>
      <c r="F4579" s="23" t="inlineStr">
        <is>
          <t>        </t>
        </is>
      </c>
      <c r="G4579" s="23" t="n">
        <v>927</v>
      </c>
      <c r="H4579" s="23" t="n">
        <v>10</v>
      </c>
      <c r="I4579" s="23" t="n">
        <v>12</v>
      </c>
      <c r="J4579" s="23" t="inlineStr">
        <is>
          <t>978-5-227-04765-6</t>
        </is>
      </c>
      <c r="K4579" s="23" t="inlineStr">
        <is>
          <t>84x108 1/32</t>
        </is>
      </c>
      <c r="L4579" s="23" t="inlineStr">
        <is>
          <t>тв</t>
        </is>
      </c>
      <c r="M4579" s="23" t="n">
        <v>540</v>
      </c>
      <c r="N4579" s="23" t="n">
        <v>2013</v>
      </c>
      <c r="O4579" s="23" t="n">
        <v>542</v>
      </c>
      <c r="P4579" s="23" t="n"/>
      <c r="Q4579" s="23" t="n"/>
      <c r="R4579" s="25" t="inlineStr">
        <is>
          <t>Более чем трехсотлетняя история Санкт-Петербурга прослеживается на примере 11 магистралей Выборгской стороны, расположенных рядом с Финляндским вокзалом: Арсенальной набережной, площади Ленина, улиц Комсомола, Михайлова, Академика Лебедева, Боткинской, Комиссара Смирнова, Бобруйской, Финского переулка и начала Лесного и Сампсониевского проспектов. Этот своеобразный путеводитель поможет узнать немало интересных фактов из истории домов и жизни выдающихся ученых-медиков, революционеров, деятелей культуры, педагогов, военачальников и простых жителей Выборгской стороны с XVIII до XXI века. В книге использованы архивные источники, редкие факты из дореволюционных адресных книг и справочников, старинные фотографии и открытки.</t>
        </is>
      </c>
      <c r="S4579" s="26">
        <f>HYPERLINK("http://www.cnpol.ru/covers/14736.jpg","фото на сайте")</f>
        <v/>
      </c>
    </row>
    <row r="4580" ht="50.1" customHeight="1" s="3">
      <c r="A4580" s="23" t="n"/>
      <c r="B4580" s="24" t="inlineStr">
        <is>
          <t>13438</t>
        </is>
      </c>
      <c r="C4580" s="23" t="inlineStr">
        <is>
          <t>СПБ</t>
        </is>
      </c>
      <c r="D4580" s="23" t="inlineStr">
        <is>
          <t>Гусаров А.Ю.</t>
        </is>
      </c>
      <c r="E4580" s="23" t="inlineStr">
        <is>
          <t>Гатчина. От прошлого к настоящему. История города и его жителей.</t>
        </is>
      </c>
      <c r="F4580" s="23" t="inlineStr">
        <is>
          <t>        </t>
        </is>
      </c>
      <c r="G4580" s="23" t="n">
        <v>998</v>
      </c>
      <c r="H4580" s="23" t="n">
        <v>10</v>
      </c>
      <c r="I4580" s="23" t="n">
        <v>8</v>
      </c>
      <c r="J4580" s="23" t="inlineStr">
        <is>
          <t>978-5-227-03390-1</t>
        </is>
      </c>
      <c r="K4580" s="23" t="inlineStr">
        <is>
          <t>70x100 1/16</t>
        </is>
      </c>
      <c r="L4580" s="23" t="inlineStr">
        <is>
          <t>тв</t>
        </is>
      </c>
      <c r="M4580" s="23" t="n">
        <v>348</v>
      </c>
      <c r="N4580" s="23" t="n">
        <v>2012</v>
      </c>
      <c r="O4580" s="23" t="n">
        <v>632</v>
      </c>
      <c r="P4580" s="23" t="n"/>
      <c r="Q4580" s="23" t="n"/>
      <c r="R4580" s="25" t="inlineStr">
        <is>
          <t>Вам предстоит знакомство с историей Гатчины, самым большим на сегодня населенным пунктом Ленинградской области, ее важным культурным, спортивным и промышленным центром. Гатчина на девяносто лет моложе Северной столицы, но, с другой стороны, старше на двести лет! Эта двойственность наложила в итоге неизгладимый отпечаток на весь город, захватив в свою мистическую круговерть не только архитектуру дворцов и парков, но и истории жизни их обитателей. Неповторимый облик города все время менялся. Сколько было построено за двести лет на земле у озерца Хотчино и сколько утрачено за беспокойный XX век… Город менял имена — то Троцк, то Красногвардейск, но оставался все той же Гатчиной, храня истории жизни и прекрасных дел многих поколений гатчинцев. Они основали, построили и прославили этот город, оставив его нам, потомкам, чтобы мы не только сохранили, но и приумножили его красоту.</t>
        </is>
      </c>
      <c r="S4580" s="26">
        <f>HYPERLINK("http://www.cnpol.ru/covers/13438.jpg","фото на сайте")</f>
        <v/>
      </c>
    </row>
    <row r="4581" ht="50.1" customHeight="1" s="3">
      <c r="A4581" s="23" t="n"/>
      <c r="B4581" s="24" t="inlineStr">
        <is>
          <t>14881</t>
        </is>
      </c>
      <c r="C4581" s="23" t="inlineStr">
        <is>
          <t>СПБ</t>
        </is>
      </c>
      <c r="D4581" s="23" t="inlineStr">
        <is>
          <t>Синдаловский Н.А.</t>
        </is>
      </c>
      <c r="E4581" s="23" t="inlineStr">
        <is>
          <t>Городские имена вчера и сегодня</t>
        </is>
      </c>
      <c r="F4581" s="23" t="inlineStr">
        <is>
          <t>        </t>
        </is>
      </c>
      <c r="G4581" s="23" t="n">
        <v>704</v>
      </c>
      <c r="H4581" s="23" t="n">
        <v>10</v>
      </c>
      <c r="I4581" s="23" t="n">
        <v>12</v>
      </c>
      <c r="J4581" s="23" t="inlineStr">
        <is>
          <t>978-5-227-04803-5</t>
        </is>
      </c>
      <c r="K4581" s="23" t="inlineStr">
        <is>
          <t>84x108 1/32</t>
        </is>
      </c>
      <c r="L4581" s="23" t="inlineStr">
        <is>
          <t>тв</t>
        </is>
      </c>
      <c r="M4581" s="23" t="n">
        <v>352</v>
      </c>
      <c r="N4581" s="23" t="n">
        <v>2014</v>
      </c>
      <c r="O4581" s="23" t="n">
        <v>274</v>
      </c>
      <c r="P4581" s="23" t="n"/>
      <c r="Q4581" s="23" t="n"/>
      <c r="R4581" s="25" t="inlineStr">
        <is>
          <t>С 1703 года по настоящее время в городе на Неве возникло более 10 тысяч топонимов. Некоторым из них была уготована жизнь, ограниченная во времени, некоторые, отметив свой 300-летний юбилей, продолжают жить и сегодня. Только наименований улиц, площадей, переулков и набережных превышает 1400 единиц. Их истории необычайно увлекательны. Они уходят корнями в городской фольклор, нахальный и разухабистый, эмоциональный и лаконичный — не в бровь, а в глаз..._x000D_
Вы узнаете, как с годами менялся Невский, познакомитесь с интересными фактами из истории Таврического, Александровского и Летнего садов, фольклором известных петербургских районов и проникнетесь особой атмосферой тайны и строгой недосказанности Северной столицы.</t>
        </is>
      </c>
      <c r="S4581" s="26">
        <f>HYPERLINK("http://www.cnpol.ru/covers/14881.jpg","фото на сайте")</f>
        <v/>
      </c>
    </row>
    <row r="4582" ht="50.1" customHeight="1" s="3">
      <c r="A4582" s="23" t="inlineStr">
        <is>
          <t>Д</t>
        </is>
      </c>
      <c r="B4582" s="24" t="inlineStr">
        <is>
          <t>22178</t>
        </is>
      </c>
      <c r="C4582" s="23" t="inlineStr">
        <is>
          <t>СПБ</t>
        </is>
      </c>
      <c r="D4582" s="23" t="inlineStr">
        <is>
          <t>Никитенко Г.Ю. , Соболь В.Д.</t>
        </is>
      </c>
      <c r="E4582" s="23" t="inlineStr">
        <is>
          <t>Дома и люди Васильевского острова</t>
        </is>
      </c>
      <c r="F4582" s="23" t="inlineStr">
        <is>
          <t>        </t>
        </is>
      </c>
      <c r="G4582" s="27" t="n">
        <v>2015</v>
      </c>
      <c r="H4582" s="23" t="n">
        <v>10</v>
      </c>
      <c r="I4582" s="23" t="n">
        <v>6</v>
      </c>
      <c r="J4582" s="23" t="inlineStr">
        <is>
          <t>978-5-227-11319-1</t>
        </is>
      </c>
      <c r="K4582" s="23" t="inlineStr">
        <is>
          <t>60x90 1/16</t>
        </is>
      </c>
      <c r="L4582" s="23" t="inlineStr">
        <is>
          <t>тв</t>
        </is>
      </c>
      <c r="M4582" s="23" t="n">
        <v>734</v>
      </c>
      <c r="N4582" s="23" t="n">
        <v>2026</v>
      </c>
      <c r="O4582" s="23" t="n">
        <v>822</v>
      </c>
      <c r="P4582" s="23" t="n"/>
      <c r="Q4582" s="23" t="n"/>
      <c r="R4582" s="25" t="inlineStr">
        <is>
          <t>Это уникальное издание познакомит вас с Васильевским островом – центром науки, образования, средоточием музеев и крупной промышленной зоной. _x000D_
Вы узнаете мельчайшие подробности о каждой из улиц района,  историю ее названия, изменения  в нумерации зданий, биографию домов и сведения об их строителях, владельцах и интересных жильцах._x000D_
Книга построена по принципу энциклопедического справочника, где в алфавитном порядке можно проследить историю развития Васильевского острова. Адмиральский проезд, Биржевая площадь, переулок Декабристов, Университетская набережная, Шкиперский проток – раскроют вам свои тайны и секреты._x000D_
Авторы по крупицам собрали множество неизвестных фактов и материалов, которые заинтересуют всех, кому небезразлична  история Санкт-Петербурга.</t>
        </is>
      </c>
      <c r="S4582" s="26">
        <f>HYPERLINK("http://www.cnpol.ru/covers/22178.jpg","фото на сайте")</f>
        <v/>
      </c>
    </row>
    <row r="4583" ht="50.1" customHeight="1" s="3">
      <c r="A4583" s="23" t="inlineStr">
        <is>
          <t>Н</t>
        </is>
      </c>
      <c r="B4583" s="24" t="inlineStr">
        <is>
          <t>21690</t>
        </is>
      </c>
      <c r="C4583" s="23" t="inlineStr">
        <is>
          <t>СПБ</t>
        </is>
      </c>
      <c r="D4583" s="23" t="inlineStr">
        <is>
          <t>Сыров А.А</t>
        </is>
      </c>
      <c r="E4583" s="23" t="inlineStr">
        <is>
          <t>Забытые достопримечательности южного берега Финского залива. От Санкт-Петербурга до Кургальского полуострова. Путеводитель</t>
        </is>
      </c>
      <c r="F4583" s="23" t="inlineStr">
        <is>
          <t>        </t>
        </is>
      </c>
      <c r="G4583" s="27" t="n">
        <v>1283</v>
      </c>
      <c r="H4583" s="23" t="n">
        <v>10</v>
      </c>
      <c r="I4583" s="23" t="n">
        <v>8</v>
      </c>
      <c r="J4583" s="23" t="inlineStr">
        <is>
          <t>978-5-227-11072-5</t>
        </is>
      </c>
      <c r="K4583" s="23" t="inlineStr">
        <is>
          <t>70x100 1/16</t>
        </is>
      </c>
      <c r="L4583" s="23" t="inlineStr">
        <is>
          <t>тв</t>
        </is>
      </c>
      <c r="M4583" s="23" t="n">
        <v>336</v>
      </c>
      <c r="N4583" s="23" t="n">
        <v>2025</v>
      </c>
      <c r="O4583" s="23" t="n">
        <v>550</v>
      </c>
      <c r="P4583" s="23" t="n"/>
      <c r="Q4583" s="23" t="n"/>
      <c r="R4583" s="25" t="inlineStr">
        <is>
          <t>В путеводителе описаны малоизвестные петербуржцам и приезжим туристам достопримечатель¬ные объекты, расположенные вдоль южного побережья Финского залива от Санкт-Петербурга до Кургальского полуострова и верховьев реки Нарвы. Издание рассчитано на широкий круг читателей.</t>
        </is>
      </c>
      <c r="S4583" s="26">
        <f>HYPERLINK("http://www.cnpol.ru/covers/21690.jpg","фото на сайте")</f>
        <v/>
      </c>
    </row>
    <row r="4584" ht="50.1" customHeight="1" s="3">
      <c r="A4584" s="23" t="n"/>
      <c r="B4584" s="24" t="inlineStr">
        <is>
          <t>19677</t>
        </is>
      </c>
      <c r="C4584" s="23" t="inlineStr">
        <is>
          <t>СПБ</t>
        </is>
      </c>
      <c r="D4584" s="23" t="inlineStr">
        <is>
          <t>Векслер А.Ф.</t>
        </is>
      </c>
      <c r="E4584" s="23" t="inlineStr">
        <is>
          <t>Загородный проспект</t>
        </is>
      </c>
      <c r="F4584" s="23" t="inlineStr">
        <is>
          <t>        </t>
        </is>
      </c>
      <c r="G4584" s="27" t="n">
        <v>1352</v>
      </c>
      <c r="H4584" s="23" t="n">
        <v>10</v>
      </c>
      <c r="I4584" s="23" t="n">
        <v>8</v>
      </c>
      <c r="J4584" s="23" t="inlineStr">
        <is>
          <t>978-5-227-09478-0</t>
        </is>
      </c>
      <c r="K4584" s="23" t="inlineStr">
        <is>
          <t>84x108 1/32</t>
        </is>
      </c>
      <c r="L4584" s="23" t="inlineStr">
        <is>
          <t>тв</t>
        </is>
      </c>
      <c r="M4584" s="23" t="n">
        <v>512</v>
      </c>
      <c r="N4584" s="23" t="n">
        <v>2021</v>
      </c>
      <c r="O4584" s="23" t="n">
        <v>376</v>
      </c>
      <c r="P4584" s="23" t="n"/>
      <c r="Q4584" s="23" t="n"/>
      <c r="R4584" s="25" t="inlineStr">
        <is>
          <t>Авторы приглашают читателей в увлекательную прогулку по Загородному проспекту, который славится далеко не рядовой историей. Вы увидите не похожие друг на друга здания, познакомитесь с владельцами и архитекторами строений, а также жильцами домов: именитыми чиновниками, врачами, литераторами, драматургами, режиссерами и обычными людьми.</t>
        </is>
      </c>
      <c r="S4584" s="26">
        <f>HYPERLINK("http://www.cnpol.ru/covers/19677.jpg","фото на сайте")</f>
        <v/>
      </c>
    </row>
    <row r="4585" ht="50.1" customHeight="1" s="3">
      <c r="A4585" s="23" t="inlineStr">
        <is>
          <t>Д</t>
        </is>
      </c>
      <c r="B4585" s="24" t="inlineStr">
        <is>
          <t>22257</t>
        </is>
      </c>
      <c r="C4585" s="23" t="inlineStr">
        <is>
          <t>СПБ</t>
        </is>
      </c>
      <c r="D4585" s="23" t="inlineStr">
        <is>
          <t>Глезеров С.Е.</t>
        </is>
      </c>
      <c r="E4585" s="23" t="inlineStr">
        <is>
          <t>Закат блистательного Петербурга. Быт и нравы Северной столицы Серебряного века</t>
        </is>
      </c>
      <c r="F4585" s="23" t="inlineStr">
        <is>
          <t>        </t>
        </is>
      </c>
      <c r="G4585" s="27" t="n">
        <v>1412</v>
      </c>
      <c r="H4585" s="23" t="n">
        <v>10</v>
      </c>
      <c r="I4585" s="23" t="n">
        <v>6</v>
      </c>
      <c r="J4585" s="23" t="inlineStr">
        <is>
          <t>978-5-227-11332-0</t>
        </is>
      </c>
      <c r="K4585" s="23" t="inlineStr">
        <is>
          <t>84x108 1/32</t>
        </is>
      </c>
      <c r="L4585" s="23" t="inlineStr">
        <is>
          <t>тв</t>
        </is>
      </c>
      <c r="M4585" s="23" t="n">
        <v>542</v>
      </c>
      <c r="N4585" s="23" t="n">
        <v>2026</v>
      </c>
      <c r="O4585" s="23" t="n">
        <v>563</v>
      </c>
      <c r="P4585" s="23" t="n"/>
      <c r="Q4585" s="23" t="n"/>
      <c r="R4585" s="25" t="inlineStr">
        <is>
          <t>Подборка разнообразных публикаций и других источников начала предыдущего столетия подробно прокомментирована и позволяет представить Северную столицу в неожиданном и непривычном ракурсе, узнать о быте и нравах того времени, узнать, как жили горожане, увидеть всю многогранность бытия большого города, где роскошь соседствовала с уродливой нищетой. О чем думали и грезили петербуржцы? Какие мечты, планы и надежды строили? Какие тайные роковые страсти их обуревали? Каким кумирам поклонялись и кого безудержно порицали, низвергали с пьедесталов? Каков же, наконец, был город в пору, о которой сегодня принято говорить с придыханием?_x000D_
Прочитав книгу, вы узнаете много интересного и сможете провести поразительные параллели между нравами той эпохи и нашим временем.</t>
        </is>
      </c>
      <c r="S4585" s="26">
        <f>HYPERLINK("http://www.cnpol.ru/covers/22257.jpg","фото на сайте")</f>
        <v/>
      </c>
    </row>
    <row r="4586" ht="50.1" customHeight="1" s="3">
      <c r="A4586" s="23" t="inlineStr">
        <is>
          <t>Д</t>
        </is>
      </c>
      <c r="B4586" s="24" t="inlineStr">
        <is>
          <t>21375</t>
        </is>
      </c>
      <c r="C4586" s="23" t="inlineStr">
        <is>
          <t>СПБ</t>
        </is>
      </c>
      <c r="D4586" s="23" t="inlineStr">
        <is>
          <t>Иванов А.А.</t>
        </is>
      </c>
      <c r="E4586" s="23" t="inlineStr">
        <is>
          <t>Истории и легенды старого Петербурга</t>
        </is>
      </c>
      <c r="F4586" s="23" t="inlineStr">
        <is>
          <t>        </t>
        </is>
      </c>
      <c r="G4586" s="27" t="n">
        <v>1466</v>
      </c>
      <c r="H4586" s="23" t="n">
        <v>10</v>
      </c>
      <c r="I4586" s="23" t="n">
        <v>8</v>
      </c>
      <c r="J4586" s="23" t="inlineStr">
        <is>
          <t>978-5-227-10766-4</t>
        </is>
      </c>
      <c r="K4586" s="23" t="inlineStr">
        <is>
          <t>84x108 1/32</t>
        </is>
      </c>
      <c r="L4586" s="23" t="inlineStr">
        <is>
          <t>тв</t>
        </is>
      </c>
      <c r="M4586" s="23" t="n">
        <v>575</v>
      </c>
      <c r="N4586" s="23" t="n">
        <v>2024</v>
      </c>
      <c r="O4586" s="23" t="n">
        <v>590</v>
      </c>
      <c r="P4586" s="23" t="n"/>
      <c r="Q4586" s="23" t="n"/>
      <c r="R4586" s="25" t="inlineStr">
        <is>
          <t>В этой книге собраны очерки Анатолия Иванова, посвященные российской истории, начиная с основания Санкт-Петербурга. На ее страницах увлеченного читателя ожидает удивительное разнообразие: прогулки по старым и современным улицам Cеверной столицы, знакомство с бытом и нравами XVII — начала XX столетий, в том числе и глазами иностранцев, возможность окунуться в атмосферу минувших дней. Встречи с примечательными личностями — яркими представителями своего времени, а то и вовсе его опередившими. Старинные развлечения различной степени приятности, курьезные случаи и воспоминания мемуаристов, запечатлевших события и слухи ушедших годов на бумаге. Написанные живо и ярко, составленные на основе исторических документов, писем и дневников, рассказы поведают о самых разных людях, оставивших свой след в истории, — государственных деятелях, дипломатах, военачальниках, путешественниках и многих других, и о местах, по которым им довелось ходить.</t>
        </is>
      </c>
      <c r="S4586" s="26">
        <f>HYPERLINK("http://www.cnpol.ru/covers/21375.jpg","фото на сайте")</f>
        <v/>
      </c>
    </row>
    <row r="4587" ht="50.1" customHeight="1" s="3">
      <c r="A4587" s="23" t="inlineStr">
        <is>
          <t>Д</t>
        </is>
      </c>
      <c r="B4587" s="24" t="inlineStr">
        <is>
          <t>21692</t>
        </is>
      </c>
      <c r="C4587" s="23" t="inlineStr">
        <is>
          <t>СПБ</t>
        </is>
      </c>
      <c r="D4587" s="23" t="inlineStr">
        <is>
          <t>Кобак А.В.,Пирютко Ю.М.</t>
        </is>
      </c>
      <c r="E4587" s="23" t="inlineStr">
        <is>
          <t>Исторические кладбища Санкт-Петербурга</t>
        </is>
      </c>
      <c r="F4587" s="23" t="inlineStr">
        <is>
          <t>        </t>
        </is>
      </c>
      <c r="G4587" s="27" t="n">
        <v>2565</v>
      </c>
      <c r="H4587" s="23" t="n">
        <v>10</v>
      </c>
      <c r="I4587" s="23" t="n">
        <v>4</v>
      </c>
      <c r="J4587" s="23" t="inlineStr">
        <is>
          <t>978-5-9524-6197-0</t>
        </is>
      </c>
      <c r="K4587" s="23" t="inlineStr">
        <is>
          <t>70x100 1/16</t>
        </is>
      </c>
      <c r="L4587" s="23" t="inlineStr">
        <is>
          <t>тв</t>
        </is>
      </c>
      <c r="M4587" s="23" t="n">
        <v>798</v>
      </c>
      <c r="N4587" s="23" t="n">
        <v>2025</v>
      </c>
      <c r="O4587" s="23" t="n">
        <v>1380</v>
      </c>
      <c r="P4587" s="23" t="n"/>
      <c r="Q4587" s="23" t="n"/>
      <c r="R4587" s="25" t="inlineStr">
        <is>
          <t>Это уникальное издание — плод совместной работы коллектива влюбленных в город на Неве авторов. Перед ними стояла очень непростая задача: необходимо было показать, что старые кладбища являются важной и неотъемлемой частью культурного наследия города. _x000D_
В книге комплексно рассматриваются все факторы, повлиявшие на формирование городского некрополя: дана топографическая и историко-культурная характеристика ¬отдельных кладбищ; приведены общие сведения о жизни разных конфессий; описаны особенности быта и культуры этнических и социальных групп населения Северной ¬столицы._x000D_
Предыдущее издание, в 1996 г., было отмечено первой Анциферовской премией, присуждаемой за лучшие современные работы по истории Санкт-Петербурга. Но за время, прошедшее после него, ситуация существенно изменилась. Библиография петер¬бургского некрополя пополнилась рядом монографических исследований, и возникла необходимость в серьезном дополнении и обновлении информации, что и было профес¬сионально исполнено авторским коллективом._x000D_
В основу книги легли новые данные натурных обследований, а также материалы литературных и архивных источников, большинство из которых обобщено впервые.</t>
        </is>
      </c>
      <c r="S4587" s="26">
        <f>HYPERLINK("http://www.cnpol.ru/covers/21692.jpg","фото на сайте")</f>
        <v/>
      </c>
    </row>
    <row r="4588" ht="50.1" customHeight="1" s="3">
      <c r="A4588" s="23" t="inlineStr">
        <is>
          <t>Д</t>
        </is>
      </c>
      <c r="B4588" s="24" t="inlineStr">
        <is>
          <t>21254</t>
        </is>
      </c>
      <c r="C4588" s="23" t="inlineStr">
        <is>
          <t>СПБ</t>
        </is>
      </c>
      <c r="D4588" s="23" t="inlineStr">
        <is>
          <t>Глезеров С.Е.</t>
        </is>
      </c>
      <c r="E4588" s="23" t="inlineStr">
        <is>
          <t>Исторические районы Петербурга от А до Я</t>
        </is>
      </c>
      <c r="F4588" s="23" t="inlineStr">
        <is>
          <t>        </t>
        </is>
      </c>
      <c r="G4588" s="27" t="n">
        <v>1990</v>
      </c>
      <c r="H4588" s="23" t="n">
        <v>10</v>
      </c>
      <c r="I4588" s="23" t="n">
        <v>8</v>
      </c>
      <c r="J4588" s="23" t="inlineStr">
        <is>
          <t>978-5-227-10823-4</t>
        </is>
      </c>
      <c r="K4588" s="23" t="inlineStr">
        <is>
          <t>70x100 1/16</t>
        </is>
      </c>
      <c r="L4588" s="23" t="inlineStr">
        <is>
          <t>тв</t>
        </is>
      </c>
      <c r="M4588" s="23" t="n">
        <v>496</v>
      </c>
      <c r="N4588" s="23" t="n">
        <v>2024</v>
      </c>
      <c r="O4588" s="23" t="n">
        <v>575</v>
      </c>
      <c r="P4588" s="23" t="n"/>
      <c r="Q4588" s="23" t="n"/>
      <c r="R4588" s="25" t="inlineStr">
        <is>
          <t>На страницах книги вы найдете популярные очерки об исторических районах старого Петербурга, о предместьях, вошедших в городскую черту, и районах, ставших новостройками совсем недавно, ведь автор твердо уверен: историческое наследие Петербурга — это не только центр._x000D_
Вы познакомитесь с обликом и достопримечательностями тех районов города, где местные жители и гости столицы бывают очень редко, а может, и вовсе никогда туда не заглядывают. Сергей Глезеров расскажет о них через призму своего отношения к ним. Обо всех от А до Я, от Авиагородка до Яблоновки. Книга прекрасно иллюстрирована и будет интересна краеведам, историкам и всем любителям Санкт-Петербурга.</t>
        </is>
      </c>
      <c r="S4588" s="26">
        <f>HYPERLINK("http://www.cnpol.ru/covers/21254.jpg","фото на сайте")</f>
        <v/>
      </c>
    </row>
    <row r="4589" ht="50.1" customHeight="1" s="3">
      <c r="A4589" s="23" t="n"/>
      <c r="B4589" s="24" t="inlineStr">
        <is>
          <t>19613</t>
        </is>
      </c>
      <c r="C4589" s="23" t="inlineStr">
        <is>
          <t>СПБ</t>
        </is>
      </c>
      <c r="D4589" s="23" t="inlineStr">
        <is>
          <t>Синдаловский Н.А.</t>
        </is>
      </c>
      <c r="E4589" s="23" t="inlineStr">
        <is>
          <t>История Петербурга в преданиях и легендах</t>
        </is>
      </c>
      <c r="F4589" s="23" t="inlineStr">
        <is>
          <t>        </t>
        </is>
      </c>
      <c r="G4589" s="27" t="n">
        <v>1773</v>
      </c>
      <c r="H4589" s="23" t="n">
        <v>10</v>
      </c>
      <c r="I4589" s="23" t="n">
        <v>4</v>
      </c>
      <c r="J4589" s="23" t="inlineStr">
        <is>
          <t>978-5-227-08640-2</t>
        </is>
      </c>
      <c r="K4589" s="23" t="inlineStr">
        <is>
          <t>70x100 1/16</t>
        </is>
      </c>
      <c r="L4589" s="23" t="inlineStr">
        <is>
          <t>тв</t>
        </is>
      </c>
      <c r="M4589" s="23" t="n">
        <v>720</v>
      </c>
      <c r="N4589" s="23" t="n">
        <v>2021</v>
      </c>
      <c r="O4589" s="23" t="n">
        <v>1026</v>
      </c>
      <c r="P4589" s="23" t="n"/>
      <c r="Q4589" s="23" t="n"/>
      <c r="R4589" s="25" t="n"/>
      <c r="S4589" s="26">
        <f>HYPERLINK("http://www.cnpol.ru/covers/19613.jpg","фото на сайте")</f>
        <v/>
      </c>
    </row>
    <row r="4590" ht="50.1" customHeight="1" s="3">
      <c r="A4590" s="23" t="inlineStr">
        <is>
          <t>Д</t>
        </is>
      </c>
      <c r="B4590" s="24" t="inlineStr">
        <is>
          <t>22145</t>
        </is>
      </c>
      <c r="C4590" s="23" t="inlineStr">
        <is>
          <t>СПБ</t>
        </is>
      </c>
      <c r="D4590" s="23" t="inlineStr">
        <is>
          <t>Иванов А.А.</t>
        </is>
      </c>
      <c r="E4590" s="23" t="inlineStr">
        <is>
          <t>История петербургских особняков. Дома и люди</t>
        </is>
      </c>
      <c r="F4590" s="23" t="inlineStr">
        <is>
          <t>        </t>
        </is>
      </c>
      <c r="G4590" s="27" t="n">
        <v>1654</v>
      </c>
      <c r="H4590" s="23" t="n">
        <v>10</v>
      </c>
      <c r="I4590" s="23" t="n">
        <v>5</v>
      </c>
      <c r="J4590" s="23" t="inlineStr">
        <is>
          <t>978-5-227-11304-7</t>
        </is>
      </c>
      <c r="K4590" s="23" t="inlineStr">
        <is>
          <t>84x108 1/32</t>
        </is>
      </c>
      <c r="L4590" s="23" t="inlineStr">
        <is>
          <t>тв</t>
        </is>
      </c>
      <c r="M4590" s="23" t="n">
        <v>639</v>
      </c>
      <c r="N4590" s="23" t="n">
        <v>2026</v>
      </c>
      <c r="O4590" s="23" t="n">
        <v>633</v>
      </c>
      <c r="P4590" s="23" t="n"/>
      <c r="Q4590" s="23" t="n"/>
      <c r="R4590" s="25" t="inlineStr">
        <is>
          <t>Книга Анатолия Андреевича Иванова рассказывает историю петербургских особняков. Точнее, особняками они были в прошлом, а сегодня чаще всего это обычные дома, сохранившие следы былого великолепия. Некоторые здания уже, увы, исчезли с карты города… На страницах собраны рассказы о старинных постройках, которые можно назвать подлинными сгустками истории. Увлекательно повествуется о примечательных строениях и их обитателях, придворных, купцах, представителях творческих профессий, ведь судьбы домов неотделимы от судеб живших тут людей. Воскрешаются забытые и полузабытые имена, восстанавливается нарушенная связь времен… Вы прочтете о реальных событиях, легендах и тайнах прошлого Северной Пальмиры. Путешествие вместе с автором по петербургским улицам и переулкам позволит ощутить поэзию старины, почувствовать тесную связь прошлого с настоящим.</t>
        </is>
      </c>
      <c r="S4590" s="26">
        <f>HYPERLINK("http://www.cnpol.ru/covers/22145.jpg","фото на сайте")</f>
        <v/>
      </c>
    </row>
    <row r="4591" ht="50.1" customHeight="1" s="3">
      <c r="A4591" s="23" t="n"/>
      <c r="B4591" s="24" t="inlineStr">
        <is>
          <t>20793</t>
        </is>
      </c>
      <c r="C4591" s="23" t="inlineStr">
        <is>
          <t>СПБ</t>
        </is>
      </c>
      <c r="D4591" s="23" t="inlineStr">
        <is>
          <t>Петров П.Н.</t>
        </is>
      </c>
      <c r="E4591" s="23" t="inlineStr">
        <is>
          <t>История Санкт-Петербурга с основания города до введения в действие выборного городского управления по Учреждениям о губерниях. 1703-1782</t>
        </is>
      </c>
      <c r="F4591" s="23" t="inlineStr">
        <is>
          <t>        </t>
        </is>
      </c>
      <c r="G4591" s="27" t="n">
        <v>2817</v>
      </c>
      <c r="H4591" s="23" t="n">
        <v>10</v>
      </c>
      <c r="I4591" s="23" t="n">
        <v>2</v>
      </c>
      <c r="J4591" s="23" t="inlineStr">
        <is>
          <t>978-5-227-10391-8</t>
        </is>
      </c>
      <c r="K4591" s="23" t="inlineStr">
        <is>
          <t>70x100 1/16</t>
        </is>
      </c>
      <c r="L4591" s="23" t="inlineStr">
        <is>
          <t>тв</t>
        </is>
      </c>
      <c r="M4591" s="23" t="n">
        <v>782</v>
      </c>
      <c r="N4591" s="23" t="n">
        <v>2023</v>
      </c>
      <c r="O4591" s="23" t="n">
        <v>1383</v>
      </c>
      <c r="P4591" s="23" t="n"/>
      <c r="Q4591" s="23" t="n"/>
      <c r="R4591" s="25" t="inlineStr">
        <is>
          <t>Эта книга — серьезный научный и увлекательнейший исторический труд об одном из самых замечательных городов мира, ее можно смело  назвать энциклопедией всех сторон культурной, научно-технической и практической жизни тогдашней столицы Российского государства со времен Петра I (т. е. с самого основания города) до правления Екатерины II. Автор использует обширный архивный материал, включая мемуарные источники, и наравне с известными деятелями представил читателям интереснейших людей, сыгравших важную роль в развитии Санкт-Петербурга, чьи имена до сих пор были известны только историкам._x000D_
Книга печатается по изданию 1885 года.</t>
        </is>
      </c>
      <c r="S4591" s="26">
        <f>HYPERLINK("http://www.cnpol.ru/covers/20793.jpg","фото на сайте")</f>
        <v/>
      </c>
    </row>
    <row r="4592" ht="50.1" customHeight="1" s="3">
      <c r="A4592" s="23" t="n"/>
      <c r="B4592" s="24" t="inlineStr">
        <is>
          <t>19820</t>
        </is>
      </c>
      <c r="C4592" s="23" t="inlineStr">
        <is>
          <t>СПБ</t>
        </is>
      </c>
      <c r="D4592" s="23" t="inlineStr">
        <is>
          <t>Глезеров С.Е.</t>
        </is>
      </c>
      <c r="E4592" s="23" t="inlineStr">
        <is>
          <t>Коломяги. Любопытные факты из истории уникального петербургского предместья</t>
        </is>
      </c>
      <c r="F4592" s="23" t="inlineStr">
        <is>
          <t>        </t>
        </is>
      </c>
      <c r="G4592" s="27" t="n">
        <v>1439</v>
      </c>
      <c r="H4592" s="23" t="n">
        <v>10</v>
      </c>
      <c r="I4592" s="23" t="n">
        <v>8</v>
      </c>
      <c r="J4592" s="23" t="inlineStr">
        <is>
          <t>978-5-227-09657-9</t>
        </is>
      </c>
      <c r="K4592" s="23" t="inlineStr">
        <is>
          <t>84x108 1/32</t>
        </is>
      </c>
      <c r="L4592" s="23" t="inlineStr">
        <is>
          <t>тв</t>
        </is>
      </c>
      <c r="M4592" s="23" t="n">
        <v>560</v>
      </c>
      <c r="N4592" s="23" t="n">
        <v>2021</v>
      </c>
      <c r="O4592" s="23" t="n">
        <v>456</v>
      </c>
      <c r="P4592" s="23" t="n"/>
      <c r="Q4592" s="23" t="n"/>
      <c r="R4592" s="25" t="inlineStr">
        <is>
          <t>Перед вами — третье, доработанное и дополненное издание книги известного петербургского краеведа Сергея Глезерова «Коломяги и Комендантский аэродром»._x000D_
Автор рассказывает о прошлом и настоящем малоэтажного петербургского района Коломяги — Комендантский аэродром и его окрестностей. Многое в России происходило впервые именно здесь: авиационные полеты, становление отечественного футбола, создание детской железной дороги… В наши дни это место снова, как и встарь, обрастает «дворянскими гнездами», на сей раз в формате таунхаусов, которые причудливо контрастируют с патриархальными деревянными постройками. Вы узнаете много любопытных и неожиданных фактов из истории этого уютного уголка старого города и сможете прикоснуться к жизни людей, живших здесь когда­то.</t>
        </is>
      </c>
      <c r="S4592" s="26">
        <f>HYPERLINK("http://www.cnpol.ru/covers/19820.jpg","фото на сайте")</f>
        <v/>
      </c>
    </row>
    <row r="4593" ht="50.1" customHeight="1" s="3">
      <c r="A4593" s="23" t="n"/>
      <c r="B4593" s="24" t="inlineStr">
        <is>
          <t>12684</t>
        </is>
      </c>
      <c r="C4593" s="23" t="inlineStr">
        <is>
          <t>СПБ</t>
        </is>
      </c>
      <c r="D4593" s="23" t="inlineStr">
        <is>
          <t>Аксельрод В.И., Манькова А.А.</t>
        </is>
      </c>
      <c r="E4593" s="23" t="inlineStr">
        <is>
          <t>Конюшенная площадь и Малая Конюшенная улица</t>
        </is>
      </c>
      <c r="F4593" s="23" t="inlineStr">
        <is>
          <t>        </t>
        </is>
      </c>
      <c r="G4593" s="23" t="n">
        <v>822</v>
      </c>
      <c r="H4593" s="23" t="n">
        <v>10</v>
      </c>
      <c r="I4593" s="23" t="n">
        <v>14</v>
      </c>
      <c r="J4593" s="23" t="inlineStr">
        <is>
          <t>978-5-227-02697-2</t>
        </is>
      </c>
      <c r="K4593" s="23" t="inlineStr">
        <is>
          <t>84x108 1/32</t>
        </is>
      </c>
      <c r="L4593" s="23" t="inlineStr">
        <is>
          <t>тв</t>
        </is>
      </c>
      <c r="M4593" s="23" t="n">
        <v>349</v>
      </c>
      <c r="N4593" s="23" t="n">
        <v>2011</v>
      </c>
      <c r="O4593" s="23" t="n">
        <v>404</v>
      </c>
      <c r="P4593" s="23" t="n"/>
      <c r="Q4593" s="23" t="n"/>
      <c r="R4593" s="25" t="inlineStr">
        <is>
          <t>"Конюшенная площадь и Малая Конюшенная улица имеют трехвековую историю. С ними связаны судьбы многих выдающихся людей, здесь бок о бок с русскими жили немцы, шведы, финны и норвежцы. В создании архитектурного ансамбля площади и улицы участвовали известные архитекторы — от Н.Ф. Гербеля до Ф.И. Лидваля. Своим возникновением и названием она обязана Придворным конюшням и Конюшенной площади, поэтому книга открывается посвященным им очерком.
При написании этой книги, которая будет интересна не только историкам, но и всем любителям Санкт-Петербурга, использовались мемуарная литература, различные энциклопедии, словари и справочники, монографии, посвященные архитекторам и деятелям культуры, чьи жизнь и творчество были связаны с Конюшенной площадью и Малой Конюшенной улицей, а также материалы периодической печати, отражающие их современную жизнь."</t>
        </is>
      </c>
      <c r="S4593" s="26">
        <f>HYPERLINK("http://www.cnpol.ru/covers/12684.jpg","фото на сайте")</f>
        <v/>
      </c>
    </row>
    <row r="4594" ht="50.1" customHeight="1" s="3">
      <c r="A4594" s="23" t="n"/>
      <c r="B4594" s="24" t="inlineStr">
        <is>
          <t>16968</t>
        </is>
      </c>
      <c r="C4594" s="23" t="inlineStr">
        <is>
          <t>СПБ</t>
        </is>
      </c>
      <c r="D4594" s="23" t="inlineStr">
        <is>
          <t>Пежемский В.Г</t>
        </is>
      </c>
      <c r="E4594" s="23" t="inlineStr">
        <is>
          <t>Красное село. Страницы истории</t>
        </is>
      </c>
      <c r="F4594" s="23" t="inlineStr">
        <is>
          <t>        </t>
        </is>
      </c>
      <c r="G4594" s="27" t="n">
        <v>1145</v>
      </c>
      <c r="H4594" s="23" t="n">
        <v>10</v>
      </c>
      <c r="I4594" s="23" t="n">
        <v>8</v>
      </c>
      <c r="J4594" s="23" t="inlineStr">
        <is>
          <t>978-5-227-06059-4</t>
        </is>
      </c>
      <c r="K4594" s="23" t="inlineStr">
        <is>
          <t>84x108 1/32</t>
        </is>
      </c>
      <c r="L4594" s="23" t="inlineStr">
        <is>
          <t>тв</t>
        </is>
      </c>
      <c r="M4594" s="23" t="n">
        <v>608</v>
      </c>
      <c r="N4594" s="23" t="n">
        <v>2016</v>
      </c>
      <c r="O4594" s="23" t="n">
        <v>560</v>
      </c>
      <c r="P4594" s="23" t="n"/>
      <c r="Q4594" s="23" t="n"/>
      <c r="R4594" s="25" t="inlineStr">
        <is>
          <t>История Красного Села — это множество важных, значимых для Санкт-Петербурга—Ленинграда событий: грандиозные гвардейские маневры, яростные сражения и занимательнейшие бытовые сюжеты. Развитие промышленности, строительство дворцов, создание парков, дачная жизнь, события Великой Отечественной войны — все это составляет триста лет жизни небольшого петербургского пригорода. Об этих трех веках и будет наш рассказ._x000D_
Конечно, сейчас трудно себе представить, насколько важной и интересной была история неброского, не слишком известного ныне петербургского пригорода. Но, познакомившись с основными событиями, можно с уверенностью утверждать: Красное Село — достойный сосед великолепных Петергофа и Царского Села и одно из интереснейших для исследователя и любителя петербургских окрестностей мест неподалеку от города.</t>
        </is>
      </c>
      <c r="S4594" s="26">
        <f>HYPERLINK("http://www.cnpol.ru/covers/16968.jpg","фото на сайте")</f>
        <v/>
      </c>
    </row>
    <row r="4595" ht="50.1" customHeight="1" s="3">
      <c r="A4595" s="23" t="inlineStr">
        <is>
          <t>Н</t>
        </is>
      </c>
      <c r="B4595" s="24" t="inlineStr">
        <is>
          <t>22140</t>
        </is>
      </c>
      <c r="C4595" s="23" t="inlineStr">
        <is>
          <t>СПБ</t>
        </is>
      </c>
      <c r="D4595" s="23" t="inlineStr">
        <is>
          <t>Петров С.Ю</t>
        </is>
      </c>
      <c r="E4595" s="23" t="inlineStr">
        <is>
          <t>Крестовский, Елагин, Петровский</t>
        </is>
      </c>
      <c r="F4595" s="23" t="inlineStr">
        <is>
          <t>        </t>
        </is>
      </c>
      <c r="G4595" s="27" t="n">
        <v>1533</v>
      </c>
      <c r="H4595" s="23" t="n">
        <v>10</v>
      </c>
      <c r="I4595" s="23" t="n">
        <v>5</v>
      </c>
      <c r="J4595" s="23" t="inlineStr">
        <is>
          <t>978-5-227-11306-1</t>
        </is>
      </c>
      <c r="K4595" s="23" t="inlineStr">
        <is>
          <t>84x108 1/32</t>
        </is>
      </c>
      <c r="L4595" s="23" t="inlineStr">
        <is>
          <t>тв</t>
        </is>
      </c>
      <c r="M4595" s="23" t="n">
        <v>606</v>
      </c>
      <c r="N4595" s="23" t="n">
        <v>2026</v>
      </c>
      <c r="O4595" s="23" t="n">
        <v>618</v>
      </c>
      <c r="P4595" s="23" t="n"/>
      <c r="Q4595" s="23" t="n"/>
      <c r="R4595" s="25" t="inlineStr">
        <is>
          <t>В новой книге Сергея Петрова «Крестовский, Елагин, Петровский» продолжается рассказ, начатый в работе «На берегах реки Ждановки». Но теперь в фокусе внимания автора оказались, помимо Петровского, еще два острова — Елагин и Крестовский. За последние годы Петровский, а в особенности Крестовский острова кардинально изменились. Здесь возведены элитные жилые комплексы, территории, ранее занятые заводами, уступают место домам, построенным по индивидуальным проектам. На наших глазах все стремительно меняется. Читатель найдет для себя множество новых интересных деталей истории этих мест, неизвестных доселе широкой публике. А также, благодаря предоставленным автором фотографиям, представит себе современную жизнь островов. Искренняя любовь Сергея Петрова к своей малой родине делает его рассказ неформальным, эмоционально окрашенным, невольно заставляющим проникнуться отношением автора. Читайте, гуляйте, смотрите по-новому на хорошо знакомые места!</t>
        </is>
      </c>
      <c r="S4595" s="26">
        <f>HYPERLINK("http://www.cnpol.ru/covers/22140.jpg","фото на сайте")</f>
        <v/>
      </c>
    </row>
    <row r="4596" ht="50.1" customHeight="1" s="3">
      <c r="A4596" s="23" t="inlineStr">
        <is>
          <t>Д</t>
        </is>
      </c>
      <c r="B4596" s="24" t="inlineStr">
        <is>
          <t>22226</t>
        </is>
      </c>
      <c r="C4596" s="23" t="inlineStr">
        <is>
          <t>СПБ</t>
        </is>
      </c>
      <c r="D4596" s="23" t="inlineStr">
        <is>
          <t>Амирханов Л.И.</t>
        </is>
      </c>
      <c r="E4596" s="23" t="inlineStr">
        <is>
          <t>Кронштадт. Город-крепость. От основания до наших дней</t>
        </is>
      </c>
      <c r="F4596" s="23" t="inlineStr">
        <is>
          <t>        </t>
        </is>
      </c>
      <c r="G4596" s="27" t="n">
        <v>1702</v>
      </c>
      <c r="H4596" s="23" t="n">
        <v>10</v>
      </c>
      <c r="I4596" s="23" t="n">
        <v>6</v>
      </c>
      <c r="J4596" s="23" t="inlineStr">
        <is>
          <t>978-5-227-11329-0</t>
        </is>
      </c>
      <c r="K4596" s="23" t="inlineStr">
        <is>
          <t>84x108 1/32</t>
        </is>
      </c>
      <c r="L4596" s="23" t="inlineStr">
        <is>
          <t>тв</t>
        </is>
      </c>
      <c r="M4596" s="23" t="n">
        <v>703</v>
      </c>
      <c r="N4596" s="23" t="n">
        <v>2026</v>
      </c>
      <c r="O4596" s="23" t="n">
        <v>707</v>
      </c>
      <c r="P4596" s="23" t="n"/>
      <c r="Q4596" s="23" t="n"/>
      <c r="R4596" s="25" t="inlineStr">
        <is>
          <t>Кронштадт — легендарный пригород Санкт-Петербурга. Сама природа создала здесь все предпосылки для строительства важнейшего для России опорного пункта, но, чтобы увидеть эти предпосылки, нужен был проницательный взгляд первого российского императора. Петр I считал Кронштадт неотъемлемой частью Петербурга и придавал колоссальное значение его развитию. К строительству города были привлечены самые лучшие архитекторы того времени: Василий Баженов, Доменико Трезини… Крепость Кронштадт стала мощным оборонительным рубежом, который не смогли преодолеть враги России ни в XVIII, ни в XIX, ни в XX веке… Но Кронштадт — это не только крепость, форты, доки и портовые сооружения. Это — люди, которые создавали все это, которые жили в Кронштадте и составили его славу. Книга Леонида Амирханова подробнейшим образом расскажет историю этого удивительного города и его жителей от момента основания и до наших дней.</t>
        </is>
      </c>
      <c r="S4596" s="26">
        <f>HYPERLINK("http://www.cnpol.ru/covers/22226.jpg","фото на сайте")</f>
        <v/>
      </c>
    </row>
    <row r="4597" ht="50.1" customHeight="1" s="3">
      <c r="A4597" s="23" t="inlineStr">
        <is>
          <t>Н</t>
        </is>
      </c>
      <c r="B4597" s="24" t="inlineStr">
        <is>
          <t>22047</t>
        </is>
      </c>
      <c r="C4597" s="23" t="inlineStr">
        <is>
          <t>СПБ</t>
        </is>
      </c>
      <c r="D4597" s="23" t="inlineStr">
        <is>
          <t>Пашкова Т.И.</t>
        </is>
      </c>
      <c r="E4597" s="23" t="inlineStr">
        <is>
          <t>Кулинарный Петербург. История дореволюционной кухни Северной столицы. Конец XIX — начало XX века</t>
        </is>
      </c>
      <c r="F4597" s="23" t="inlineStr">
        <is>
          <t>        </t>
        </is>
      </c>
      <c r="G4597" s="27" t="n">
        <v>1407</v>
      </c>
      <c r="H4597" s="23" t="n">
        <v>10</v>
      </c>
      <c r="I4597" s="23" t="n">
        <v>8</v>
      </c>
      <c r="J4597" s="23" t="inlineStr">
        <is>
          <t>978-5-227-11276-7</t>
        </is>
      </c>
      <c r="K4597" s="23" t="inlineStr">
        <is>
          <t>84x108 1/32</t>
        </is>
      </c>
      <c r="L4597" s="23" t="inlineStr">
        <is>
          <t>тв</t>
        </is>
      </c>
      <c r="M4597" s="23" t="n">
        <v>543</v>
      </c>
      <c r="N4597" s="23" t="n">
        <v>2026</v>
      </c>
      <c r="O4597" s="23" t="n">
        <v>570</v>
      </c>
      <c r="P4597" s="23" t="n"/>
      <c r="Q4597" s="23" t="n"/>
      <c r="R4597" s="25" t="inlineStr">
        <is>
          <t>"История петербургской дореволюционной кухни не раз становилась предметом изучения исследователей и кулинарных блогеров. Однако чаще всего внимание уделялось общественному питанию: ресторанам, трактирам, кухмистерским… Из этой книги вы узнаете, как было устроено домашнее питание обычных петербуржцев средней руки — тех самых, кому были адресованы поварские книги с рецептами, в большом количестве появившиеся во второй половине XIX в., и для которых столичные газеты любили печатать варианты ежедневных обеденных меню. Вы познакомитесь с практиками подготовки кухарок и благородных барышень, желавших самостоятельно вести хозяйство, на различных кулинарных курсах; заглянете на типичную петербургскую кухню, увидите целый арсенал различных приспособлений для приготовления кушаний и поймёте, какой посудой и почему предпочитали пользоваться на рубеже XIX—XX вв. Вы пройдётесь по столичным продуктовым рынкам, лабазам, фруктовым и мелочным лавочкам и узнаете, как ловкие продавцы обманывали доверчивых и неопытных покупательниц, откроете для себя различные способы проверки провизии на доброкачественность и подлинность, к которым вынуждены были прибегать горожане, если они не хотели быть отравленными или одураченными.
Вашему вниманию будет также предложено обеденное меню на каждый день из 1900 года с приложением отдельных рецептов кушаний и словарём кулинарных терминов. Некоторые из этих блюд при желании вполне возможно повторить и сегодня. И, наконец, вы наверняка посмеетесь, читая анекдоты и истории на кулинарные темы."</t>
        </is>
      </c>
      <c r="S4597" s="26">
        <f>HYPERLINK("http://www.cnpol.ru/covers/22047.jpg","фото на сайте")</f>
        <v/>
      </c>
    </row>
    <row r="4598" ht="50.1" customHeight="1" s="3">
      <c r="A4598" s="23" t="n"/>
      <c r="B4598" s="24" t="inlineStr">
        <is>
          <t>15236</t>
        </is>
      </c>
      <c r="C4598" s="23" t="inlineStr">
        <is>
          <t>СПБ</t>
        </is>
      </c>
      <c r="D4598" s="23" t="inlineStr">
        <is>
          <t>Шаляпин Д.В</t>
        </is>
      </c>
      <c r="E4598" s="23" t="inlineStr">
        <is>
          <t>Купчино. Четыре века истории. 50 лет современности.</t>
        </is>
      </c>
      <c r="F4598" s="23" t="inlineStr">
        <is>
          <t>        </t>
        </is>
      </c>
      <c r="G4598" s="23" t="n">
        <v>822</v>
      </c>
      <c r="H4598" s="23" t="n">
        <v>10</v>
      </c>
      <c r="I4598" s="23" t="n">
        <v>16</v>
      </c>
      <c r="J4598" s="23" t="inlineStr">
        <is>
          <t>978-5-227-05163-9</t>
        </is>
      </c>
      <c r="K4598" s="23" t="inlineStr">
        <is>
          <t>84x108 1/32</t>
        </is>
      </c>
      <c r="L4598" s="23" t="inlineStr">
        <is>
          <t>тв</t>
        </is>
      </c>
      <c r="M4598" s="23" t="n">
        <v>348</v>
      </c>
      <c r="N4598" s="23" t="n">
        <v>2014</v>
      </c>
      <c r="O4598" s="23" t="n">
        <v>380</v>
      </c>
      <c r="P4598" s="23" t="n"/>
      <c r="Q4598" s="23" t="n"/>
      <c r="R4598" s="25" t="inlineStr">
        <is>
          <t>О Купчине на сегодня написано крайне мало, огромный район ­современного города как будто выпал из истории Петербурга… Автор решил восполнить этот пробел — и вот перед вами прекрасно иллюстрированная книга, которая самым подробным образом рассказывает о четырехсотлетней истории Купчино._x000D_
Денис Шаляпин собрал старые фотографии и воспоминания очевидцев, использовал огромное количество литературных источников и уникальные архивные данные. Много интересного расскажут читателям старые географические карты.</t>
        </is>
      </c>
      <c r="S4598" s="26">
        <f>HYPERLINK("http://www.cnpol.ru/covers/15236.jpg","фото на сайте")</f>
        <v/>
      </c>
    </row>
    <row r="4599" ht="50.1" customHeight="1" s="3">
      <c r="A4599" s="23" t="n"/>
      <c r="B4599" s="24" t="inlineStr">
        <is>
          <t>13548</t>
        </is>
      </c>
      <c r="C4599" s="23" t="inlineStr">
        <is>
          <t>СПБ</t>
        </is>
      </c>
      <c r="D4599" s="23" t="inlineStr">
        <is>
          <t>Первушина Е.В.</t>
        </is>
      </c>
      <c r="E4599" s="23" t="inlineStr">
        <is>
          <t>Ленинградская утопия. Авангард в архитектуре Северной столицы.</t>
        </is>
      </c>
      <c r="F4599" s="23" t="inlineStr">
        <is>
          <t>        </t>
        </is>
      </c>
      <c r="G4599" s="23" t="n">
        <v>888</v>
      </c>
      <c r="H4599" s="23" t="n">
        <v>10</v>
      </c>
      <c r="I4599" s="23" t="n">
        <v>14</v>
      </c>
      <c r="J4599" s="23" t="inlineStr">
        <is>
          <t>978-5-227-03673-5</t>
        </is>
      </c>
      <c r="K4599" s="23" t="inlineStr">
        <is>
          <t>84x108 1/32</t>
        </is>
      </c>
      <c r="L4599" s="23" t="inlineStr">
        <is>
          <t>тв</t>
        </is>
      </c>
      <c r="M4599" s="23" t="n">
        <v>382</v>
      </c>
      <c r="N4599" s="23" t="n">
        <v>2012</v>
      </c>
      <c r="O4599" s="23" t="n">
        <v>450</v>
      </c>
      <c r="P4599" s="23" t="n"/>
      <c r="Q4599" s="23" t="n"/>
      <c r="R4599" s="25" t="inlineStr">
        <is>
          <t>"Книга с головой окунает нас в атмосферу послереволюционного Ленинграда — города, устремленного в счастливое коммунистическое будущее. Новое время требует нового мышления и нового искусства, и на смену старому, отжившему приходит бодрый и энергичный авангард. В архитектуре модерн сменяется функциональным сдержанным конструктивизмом. В городе немало зданий, построенных в этом духе. Именно они и оказываются в центре внимания автора.
На наших глазах история оживает! Страна строит новые жилые дома, общежития, школы, больницы. Возводятся дома культуры, универмаги, заводы, разбиваются сады и парки — все, без чего не сможет жить человек будущего. Все функционально! Ничего лишнего! И пусть сейчас этот стиль кажется бездушным и прямолинейным, он был воплощенной мечтой о новом обществе, и то, что мечта так и осталась утопией, — не его вина...
Иллюстрированная старыми и современными фотографиями, книга будет интересна всем, кто увлекается архитектурой, всем, кому хочется узнать живую историю Северной столицы.
"</t>
        </is>
      </c>
      <c r="S4599" s="26">
        <f>HYPERLINK("http://www.cnpol.ru/covers/13548.jpg","фото на сайте")</f>
        <v/>
      </c>
    </row>
    <row r="4600" ht="50.1" customHeight="1" s="3">
      <c r="A4600" s="23" t="inlineStr">
        <is>
          <t>Н</t>
        </is>
      </c>
      <c r="B4600" s="24" t="inlineStr">
        <is>
          <t>21960</t>
        </is>
      </c>
      <c r="C4600" s="23" t="inlineStr">
        <is>
          <t>СПБ</t>
        </is>
      </c>
      <c r="D4600" s="23" t="inlineStr">
        <is>
          <t>Богданов И.А.</t>
        </is>
      </c>
      <c r="E4600" s="23" t="inlineStr">
        <is>
          <t>Ленинградский лексикон</t>
        </is>
      </c>
      <c r="F4600" s="23" t="inlineStr">
        <is>
          <t>        </t>
        </is>
      </c>
      <c r="G4600" s="27" t="n">
        <v>1057</v>
      </c>
      <c r="H4600" s="23" t="n">
        <v>10</v>
      </c>
      <c r="I4600" s="23" t="n">
        <v>10</v>
      </c>
      <c r="J4600" s="23" t="inlineStr">
        <is>
          <t>978-5-227-11168-5</t>
        </is>
      </c>
      <c r="K4600" s="23" t="inlineStr">
        <is>
          <t>84x108 1/32</t>
        </is>
      </c>
      <c r="L4600" s="23" t="inlineStr">
        <is>
          <t>тв</t>
        </is>
      </c>
      <c r="M4600" s="23" t="n">
        <v>351</v>
      </c>
      <c r="N4600" s="23" t="n">
        <v>2026</v>
      </c>
      <c r="O4600" s="23" t="n">
        <v>332</v>
      </c>
      <c r="P4600" s="23" t="n"/>
      <c r="Q4600" s="23" t="n"/>
      <c r="R4600" s="25" t="inlineStr">
        <is>
          <t>"Автор делится своими наблюдениями и воспоминаниями, представляя реальную картину жизни Ленинграда конца 1940-х — начала 1990-х годов. Необычна форма изложения воспоминаний — они представлены по словарному принципу. Книга являет собой связующее звено, мостик, соединяющий поколения. Современному читателю, не знакомому с реалиями социалистической действительности, откроются вещи совершенно поразительные. Вы узнаете, что «распашонка» — это не детская кофточка, а планировка квартиры, «андроповка» — это водка, а «живопырка» — это заведение общепита.
Эта книга для тех, кто интересуется жизнью и историей Северной столицы, так стремительно меняющей свой облик."</t>
        </is>
      </c>
      <c r="S4600" s="26">
        <f>HYPERLINK("http://www.cnpol.ru/covers/21960.jpg","фото на сайте")</f>
        <v/>
      </c>
    </row>
    <row r="4601" ht="50.1" customHeight="1" s="3">
      <c r="A4601" s="23" t="n"/>
      <c r="B4601" s="24" t="inlineStr">
        <is>
          <t>19755</t>
        </is>
      </c>
      <c r="C4601" s="23" t="inlineStr">
        <is>
          <t>СПБ</t>
        </is>
      </c>
      <c r="D4601" s="23" t="inlineStr">
        <is>
          <t>Глезеров С.Е.</t>
        </is>
      </c>
      <c r="E4601" s="23" t="inlineStr">
        <is>
          <t>Лесной, Гражданка, Ручьи, Удельная. Неповторимая история северных пригородов Санкт-Петербурга</t>
        </is>
      </c>
      <c r="F4601" s="23" t="inlineStr">
        <is>
          <t>        </t>
        </is>
      </c>
      <c r="G4601" s="27" t="n">
        <v>1291</v>
      </c>
      <c r="H4601" s="23" t="n">
        <v>10</v>
      </c>
      <c r="I4601" s="23" t="n">
        <v>10</v>
      </c>
      <c r="J4601" s="23" t="inlineStr">
        <is>
          <t>978-5-227-09548-0</t>
        </is>
      </c>
      <c r="K4601" s="23" t="inlineStr">
        <is>
          <t>84x108 1/32</t>
        </is>
      </c>
      <c r="L4601" s="23" t="inlineStr">
        <is>
          <t>тв</t>
        </is>
      </c>
      <c r="M4601" s="23" t="n">
        <v>479</v>
      </c>
      <c r="N4601" s="23" t="n">
        <v>2021</v>
      </c>
      <c r="O4601" s="23" t="n">
        <v>584</v>
      </c>
      <c r="P4601" s="23" t="n"/>
      <c r="Q4601" s="23" t="n"/>
      <c r="R4601" s="25" t="inlineStr">
        <is>
          <t>Сергей Глезеров продолжает рассказ, начатый публикацией книги "Петербург на север от Невы" о результатах своих исследований истории северных городских окраин Санкт-Петербурга. Впервые в краеведческой литературе столь обстоятельно рассказывается об истории обширнейшего района Гражданка и о благородной деятельности подвижников-краеведов Лесного...</t>
        </is>
      </c>
      <c r="S4601" s="26">
        <f>HYPERLINK("http://www.cnpol.ru/covers/19755.jpg","фото на сайте")</f>
        <v/>
      </c>
    </row>
    <row r="4602" ht="50.1" customHeight="1" s="3">
      <c r="A4602" s="23" t="inlineStr">
        <is>
          <t>Д</t>
        </is>
      </c>
      <c r="B4602" s="24" t="inlineStr">
        <is>
          <t>21812</t>
        </is>
      </c>
      <c r="C4602" s="23" t="inlineStr">
        <is>
          <t>СПБ</t>
        </is>
      </c>
      <c r="D4602" s="23" t="inlineStr">
        <is>
          <t>Первушина Е.В.</t>
        </is>
      </c>
      <c r="E4602" s="23" t="inlineStr">
        <is>
          <t>Литературные герои на улицах Петербурга. Дома, события, адреса персонажей из любимых произведений русских писателей</t>
        </is>
      </c>
      <c r="F4602" s="23" t="inlineStr">
        <is>
          <t>        </t>
        </is>
      </c>
      <c r="G4602" s="27" t="n">
        <v>1286</v>
      </c>
      <c r="H4602" s="23" t="n">
        <v>10</v>
      </c>
      <c r="I4602" s="23" t="n">
        <v>5</v>
      </c>
      <c r="J4602" s="23" t="inlineStr">
        <is>
          <t>978-5-227-11159-3</t>
        </is>
      </c>
      <c r="K4602" s="23" t="inlineStr">
        <is>
          <t>84x108 1/32</t>
        </is>
      </c>
      <c r="L4602" s="23" t="inlineStr">
        <is>
          <t>тв</t>
        </is>
      </c>
      <c r="M4602" s="23" t="n">
        <v>478</v>
      </c>
      <c r="N4602" s="23" t="n">
        <v>2025</v>
      </c>
      <c r="O4602" s="23" t="n">
        <v>510</v>
      </c>
      <c r="P4602" s="23" t="n"/>
      <c r="Q4602" s="23" t="n"/>
      <c r="R4602" s="25" t="inlineStr">
        <is>
          <t>Петербург, будучи столицей Российской империи, не раз становился местом действия русских произведений XVIII, XIX и начала XX века. И не только местом действия. «Блистательный Санкт-Петербург», «великолепная столица», «проклятый город», «город-призрак», «город-фантом», «Петербург Пушкина», «Петербург Достоевского», «Петербург Блока» — это полноправный герой русской литературы. О том, где жили герои любимых произведений, какие события происходили на петербургских улицах в романах и повестях русских писателей, и о том, как менялся образ Петербурга в литературе с ходом лет, расскажет эта книга.</t>
        </is>
      </c>
      <c r="S4602" s="26">
        <f>HYPERLINK("http://www.cnpol.ru/covers/21812.jpg","фото на сайте")</f>
        <v/>
      </c>
    </row>
    <row r="4603" ht="50.1" customHeight="1" s="3">
      <c r="A4603" s="23" t="n"/>
      <c r="B4603" s="24" t="inlineStr">
        <is>
          <t>15775</t>
        </is>
      </c>
      <c r="C4603" s="23" t="inlineStr">
        <is>
          <t>СПБ</t>
        </is>
      </c>
      <c r="D4603" s="23" t="inlineStr">
        <is>
          <t>Набокина О.В., Носков А.В.</t>
        </is>
      </c>
      <c r="E4603" s="23" t="inlineStr">
        <is>
          <t>Луга и окрестности. Из истории населенных мест Лужского района</t>
        </is>
      </c>
      <c r="F4603" s="23" t="inlineStr">
        <is>
          <t>        </t>
        </is>
      </c>
      <c r="G4603" s="27" t="n">
        <v>1117</v>
      </c>
      <c r="H4603" s="23" t="n">
        <v>10</v>
      </c>
      <c r="I4603" s="23" t="n">
        <v>10</v>
      </c>
      <c r="J4603" s="23" t="inlineStr">
        <is>
          <t>978-5-227-05553-8</t>
        </is>
      </c>
      <c r="K4603" s="23" t="inlineStr">
        <is>
          <t>84x108 1/32</t>
        </is>
      </c>
      <c r="L4603" s="23" t="inlineStr">
        <is>
          <t>тв</t>
        </is>
      </c>
      <c r="M4603" s="23" t="n">
        <v>637</v>
      </c>
      <c r="N4603" s="23" t="n">
        <v>2015</v>
      </c>
      <c r="O4603" s="23" t="n">
        <v>616</v>
      </c>
      <c r="P4603" s="23" t="n"/>
      <c r="Q4603" s="23" t="n"/>
      <c r="R4603" s="25" t="inlineStr">
        <is>
          <t>Великая миссия православной церкви — усиливать идею державности в политическом сознании народа, способствовать целям его единения. Храмы — воплощение вековых традиций. Многие из них представляют собой уникальные памятники архитектуры и искусства._x000D_
Необходимость издания вызвана возросшим интересом к истории края. Памятуя о том, что церкви и часовни являются объектами, неразрывно связанными с историей конкретных населенных мест, авторы, сохраняя тему храмового зодчества как основную, путеводную, включили в книгу дополнительную информацию по широкому спектру краеведческих вопросов._x000D_
Храмы приводятся по местам их нахождения, взятым в алфавитном порядке. Сведения о ряде памятников представлены в виде объемных глав, рассказывающих о лицах, событиях, местных примечательностях, имеющих отношение либо к самому храму, либо к месту его нахождения. Всего учтено более 250 церквей и часовен. _x000D_
Книга рассчитана на интерес к ней не только лужан, но и всех, кому интересна тема достопримечательностей Ленинградской области, в надежде привлечь широкое внимание к вопросам изучения, сохранения и восстановления историко-культурного наследия региона, представля­ющего собой естественно-историческое окружение Санкт-Петербурга.</t>
        </is>
      </c>
      <c r="S4603" s="26">
        <f>HYPERLINK("http://www.cnpol.ru/covers/15775.jpg","фото на сайте")</f>
        <v/>
      </c>
    </row>
    <row r="4604" ht="50.1" customHeight="1" s="3">
      <c r="A4604" s="23" t="inlineStr">
        <is>
          <t>Д</t>
        </is>
      </c>
      <c r="B4604" s="24" t="inlineStr">
        <is>
          <t>21775</t>
        </is>
      </c>
      <c r="C4604" s="23" t="inlineStr">
        <is>
          <t>СПБ</t>
        </is>
      </c>
      <c r="D4604" s="23" t="inlineStr">
        <is>
          <t>Глезеров С.Е.</t>
        </is>
      </c>
      <c r="E4604" s="23" t="inlineStr">
        <is>
          <t>Любовные страсти старого Петербурга. Скандальные романы, сердечные драмы, тайные венчания и роковые вдовы</t>
        </is>
      </c>
      <c r="F4604" s="23" t="inlineStr">
        <is>
          <t>        </t>
        </is>
      </c>
      <c r="G4604" s="27" t="n">
        <v>1420</v>
      </c>
      <c r="H4604" s="23" t="n">
        <v>10</v>
      </c>
      <c r="I4604" s="23" t="n">
        <v>5</v>
      </c>
      <c r="J4604" s="23" t="inlineStr">
        <is>
          <t>978-5-227-11147-0</t>
        </is>
      </c>
      <c r="K4604" s="23" t="inlineStr">
        <is>
          <t>84x108 1/32</t>
        </is>
      </c>
      <c r="L4604" s="23" t="inlineStr">
        <is>
          <t>тв</t>
        </is>
      </c>
      <c r="M4604" s="23" t="n">
        <v>510</v>
      </c>
      <c r="N4604" s="23" t="n">
        <v>2025</v>
      </c>
      <c r="O4604" s="23" t="n">
        <v>533</v>
      </c>
      <c r="P4604" s="23" t="n"/>
      <c r="Q4604" s="23" t="n"/>
      <c r="R4604" s="25" t="inlineStr">
        <is>
          <t>Что может быть банальнее слов «любви все возрасты покорны»? Тем не менее книга именно об этом. Не выступая ни в коем случае ни судьей, не давая никаких моральных и нравственных оценок, автор знакомит читателей с сердечными событиями прошлых веков. Теми, которые в силу различных обстоятельств оказались известными широкой публике, нашли свое отражение на страницах прессы, книг, воспоминаний… Какие эпизоды собраны в книгу? Самые разные. Любовные треугольники и семейные драмы, эпатажные амурные приключения, неразделенные чувства, сбежавшие невесты, тайные венчания, роковые вдовы и мужья, дуэли ради защиты чести возлюбленной, всякого рода нежелательные происшествия… В XIX — начале ХХ века Северная столица пережила настоящий разгул «эротических страстей». По сравнению с этим все как будто отступало на второй план — и кровавые вихри первой революции, и холерные эпидемии, и светские скандалы, и политические интриги…_x000D_
Эта книга — попытка собрать вместе любовные истории, так или иначе связанные с городом на Неве… Здесь и великосветские истории, и хитросплетения судеб царствующего дома Романовых, и истории из жизни «веселого Петербурга».</t>
        </is>
      </c>
      <c r="S4604" s="26">
        <f>HYPERLINK("http://www.cnpol.ru/covers/21775.jpg","фото на сайте")</f>
        <v/>
      </c>
    </row>
    <row r="4605" ht="50.1" customHeight="1" s="3">
      <c r="A4605" s="23" t="n"/>
      <c r="B4605" s="24" t="inlineStr">
        <is>
          <t>20580</t>
        </is>
      </c>
      <c r="C4605" s="23" t="inlineStr">
        <is>
          <t>СПБ</t>
        </is>
      </c>
      <c r="D4605" s="23" t="inlineStr">
        <is>
          <t>Жданов А.М.</t>
        </is>
      </c>
      <c r="E4605" s="23" t="inlineStr">
        <is>
          <t>Метрополитен Петербурга</t>
        </is>
      </c>
      <c r="F4605" s="23" t="inlineStr">
        <is>
          <t>        </t>
        </is>
      </c>
      <c r="G4605" s="27" t="n">
        <v>1702</v>
      </c>
      <c r="H4605" s="23" t="n">
        <v>10</v>
      </c>
      <c r="I4605" s="23" t="n">
        <v>6</v>
      </c>
      <c r="J4605" s="23" t="inlineStr">
        <is>
          <t>978-5-227-09916-7</t>
        </is>
      </c>
      <c r="K4605" s="23" t="inlineStr">
        <is>
          <t>84x108 1/32</t>
        </is>
      </c>
      <c r="L4605" s="23" t="inlineStr">
        <is>
          <t>тв</t>
        </is>
      </c>
      <c r="M4605" s="23" t="n">
        <v>704</v>
      </c>
      <c r="N4605" s="23" t="n">
        <v>2023</v>
      </c>
      <c r="O4605" s="23" t="n">
        <v>576</v>
      </c>
      <c r="P4605" s="23" t="n"/>
      <c r="Q4605" s="23" t="n"/>
      <c r="R4605" s="25" t="n"/>
      <c r="S4605" s="26">
        <f>HYPERLINK("http://www.cnpol.ru/covers/20580.jpg","фото на сайте")</f>
        <v/>
      </c>
    </row>
    <row r="4606" ht="50.1" customHeight="1" s="3">
      <c r="A4606" s="23" t="inlineStr">
        <is>
          <t>Д</t>
        </is>
      </c>
      <c r="B4606" s="24" t="inlineStr">
        <is>
          <t>21896</t>
        </is>
      </c>
      <c r="C4606" s="23" t="inlineStr">
        <is>
          <t>СПБ</t>
        </is>
      </c>
      <c r="D4606" s="23" t="inlineStr">
        <is>
          <t>Жданов А.М.</t>
        </is>
      </c>
      <c r="E4606" s="23" t="inlineStr">
        <is>
          <t>Метрополитен Петербурга. Легенды метро, проекты, архитекторы, художники и скульпторы, станции, наземные вестибюли</t>
        </is>
      </c>
      <c r="F4606" s="23" t="inlineStr">
        <is>
          <t>        </t>
        </is>
      </c>
      <c r="G4606" s="27" t="n">
        <v>1702</v>
      </c>
      <c r="H4606" s="23" t="n">
        <v>10</v>
      </c>
      <c r="I4606" s="23" t="n">
        <v>6</v>
      </c>
      <c r="J4606" s="23" t="inlineStr">
        <is>
          <t>978-5-227-11202-6</t>
        </is>
      </c>
      <c r="K4606" s="23" t="inlineStr">
        <is>
          <t>84x108 1/32</t>
        </is>
      </c>
      <c r="L4606" s="23" t="inlineStr">
        <is>
          <t>тв</t>
        </is>
      </c>
      <c r="M4606" s="23" t="n">
        <v>639</v>
      </c>
      <c r="N4606" s="23" t="n">
        <v>2026</v>
      </c>
      <c r="O4606" s="23" t="n">
        <v>645</v>
      </c>
      <c r="P4606" s="23" t="n"/>
      <c r="Q4606" s="23" t="n"/>
      <c r="R4606" s="25" t="inlineStr">
        <is>
          <t>Знаете ли вы, что подземную дорогу в Санкт-Петербурге предполагалось построить еще в 1820-х годах и великий поэт Александр Сергеевич Пушкин вполне бы мог стать пассажиром метрополитена? В 1814 году английский изобретатель Марк Изамбар Брюнель представил императору Александру I проект первого в мире проходческого щита для прокладки тоннелей под Невой. Но построили с помощью этого щита подводный тоннель под Темзой для Лондонского метрополитена, а вот в городе на Неве первая подземная линия появилась только в ноябре 1955 года, хотя открыть ее собирались и в 1925, и в 1942 годах.
Читатели побывают на всех станциях Петербургского метрополитена, узнают немало любопытного из биографий архитекторов, художников и скульпторов, принимавших участие в их создании, а желающим предлагается, воспользовавшись подсказками, самим отыскать сюрпризы, «спрятанные» мастерами в их творениях.
Возможно, некоторые факты окажутся неожиданными, не обошлось без легенд и удивительных историй: вы узнаете, чем занимался на строительстве метро писатель Сергей Довлатов и где снимались известные кинофильмы...</t>
        </is>
      </c>
      <c r="S4606" s="26">
        <f>HYPERLINK("http://www.cnpol.ru/covers/21896.jpg","фото на сайте")</f>
        <v/>
      </c>
    </row>
    <row r="4607" ht="50.1" customHeight="1" s="3">
      <c r="A4607" s="23" t="inlineStr">
        <is>
          <t>Д</t>
        </is>
      </c>
      <c r="B4607" s="24" t="inlineStr">
        <is>
          <t>22291</t>
        </is>
      </c>
      <c r="C4607" s="23" t="inlineStr">
        <is>
          <t>СПБ</t>
        </is>
      </c>
      <c r="D4607" s="23" t="inlineStr">
        <is>
          <t>Жданов А.М.</t>
        </is>
      </c>
      <c r="E4607" s="23" t="inlineStr">
        <is>
          <t>Метрополитен Петербурга. Легенды метро, проекты, архитекторы, художники и скульпторы, станции, наземные вестибюли</t>
        </is>
      </c>
      <c r="F4607" s="23" t="inlineStr">
        <is>
          <t>        </t>
        </is>
      </c>
      <c r="G4607" s="27" t="n">
        <v>1702</v>
      </c>
      <c r="H4607" s="23" t="n">
        <v>10</v>
      </c>
      <c r="I4607" s="23" t="n">
        <v>6</v>
      </c>
      <c r="J4607" s="23" t="inlineStr">
        <is>
          <t>978-5-227-11410-5</t>
        </is>
      </c>
      <c r="K4607" s="23" t="inlineStr">
        <is>
          <t>84x108 1/32</t>
        </is>
      </c>
      <c r="L4607" s="23" t="inlineStr">
        <is>
          <t>тв</t>
        </is>
      </c>
      <c r="M4607" s="23" t="n">
        <v>639</v>
      </c>
      <c r="N4607" s="23" t="n">
        <v>2026</v>
      </c>
      <c r="O4607" s="23" t="n">
        <v>640</v>
      </c>
      <c r="P4607" s="23" t="n"/>
      <c r="Q4607" s="23" t="n"/>
      <c r="R4607" s="25" t="inlineStr">
        <is>
          <t>Знаете ли вы, что подземную дорогу в Санкт-Петербурге предполагалось построить еще в 1820-х годах и великий поэт Александр Сергеевич Пушкин вполне бы мог стать пассажиром метрополитена? В 1814 году английский изобретатель Марк Изамбар Брюнель представил императору Александру I проект первого в мире проходческого щита для прокладки тоннелей под Невой. Но построили с помощью этого щита подводный тоннель под Темзой для Лондонского метрополитена, а вот в городе на Неве первая подземная линия появилась только в ноябре 1955 года, хотя открыть ее собирались и в 1925, и в 1942 годах.
Читатели побывают на всех станциях Петербургского метрополитена, узнают немало любопытного из биографий архитекторов, художников и скульпторов, принимавших участие в их создании, а желающим предлагается, воспользовавшись подсказками, самим отыскать сюрпризы, «спрятанные» мастерами в их творениях.
Возможно, некоторые факты окажутся неожиданными, не обошлось без легенд и удивительных историй: вы узнаете, чем занимался на строительстве метро писатель Сергей Довлатов и где снимались известные кинофильмы...</t>
        </is>
      </c>
      <c r="S4607" s="26">
        <f>HYPERLINK("http://www.cnpol.ru/covers/22291.jpg","фото на сайте")</f>
        <v/>
      </c>
    </row>
    <row r="4608" ht="50.1" customHeight="1" s="3">
      <c r="A4608" s="23" t="n"/>
      <c r="B4608" s="24" t="inlineStr">
        <is>
          <t>19985</t>
        </is>
      </c>
      <c r="C4608" s="23" t="inlineStr">
        <is>
          <t>СПБ</t>
        </is>
      </c>
      <c r="D4608" s="23" t="inlineStr">
        <is>
          <t>Глезеров С.Е.</t>
        </is>
      </c>
      <c r="E4608" s="23" t="inlineStr">
        <is>
          <t>Модные увлечения блистательного Петербурга. Кумиры. Рекорды. Курьезы</t>
        </is>
      </c>
      <c r="F4608" s="23" t="inlineStr">
        <is>
          <t>        </t>
        </is>
      </c>
      <c r="G4608" s="27" t="n">
        <v>1762</v>
      </c>
      <c r="H4608" s="23" t="n">
        <v>10</v>
      </c>
      <c r="I4608" s="23" t="n">
        <v>8</v>
      </c>
      <c r="J4608" s="23" t="inlineStr">
        <is>
          <t>978-5-227-09729-3</t>
        </is>
      </c>
      <c r="K4608" s="23" t="inlineStr">
        <is>
          <t>60x90 1/16</t>
        </is>
      </c>
      <c r="L4608" s="23" t="inlineStr">
        <is>
          <t>тв</t>
        </is>
      </c>
      <c r="M4608" s="23" t="n">
        <v>624</v>
      </c>
      <c r="N4608" s="23" t="n">
        <v>2021</v>
      </c>
      <c r="O4608" s="23" t="n">
        <v>862</v>
      </c>
      <c r="P4608" s="23" t="n"/>
      <c r="Q4608" s="23" t="n"/>
      <c r="R4608" s="25" t="n"/>
      <c r="S4608" s="26">
        <f>HYPERLINK("http://www.cnpol.ru/covers/19985.jpg","фото на сайте")</f>
        <v/>
      </c>
    </row>
    <row r="4609" ht="50.1" customHeight="1" s="3">
      <c r="A4609" s="23" t="n"/>
      <c r="B4609" s="24" t="inlineStr">
        <is>
          <t>15057</t>
        </is>
      </c>
      <c r="C4609" s="23" t="inlineStr">
        <is>
          <t>СПБ</t>
        </is>
      </c>
      <c r="D4609" s="23" t="inlineStr">
        <is>
          <t>Векслер А.Ф.</t>
        </is>
      </c>
      <c r="E4609" s="23" t="inlineStr">
        <is>
          <t>Московский проспект. Очерки истории</t>
        </is>
      </c>
      <c r="F4609" s="23" t="inlineStr">
        <is>
          <t>        </t>
        </is>
      </c>
      <c r="G4609" s="27" t="n">
        <v>1391</v>
      </c>
      <c r="H4609" s="23" t="n">
        <v>10</v>
      </c>
      <c r="I4609" s="23" t="n">
        <v>8</v>
      </c>
      <c r="J4609" s="23" t="inlineStr">
        <is>
          <t>978-5-227-04939-1</t>
        </is>
      </c>
      <c r="K4609" s="23" t="inlineStr">
        <is>
          <t>60x90 1/16</t>
        </is>
      </c>
      <c r="L4609" s="23" t="inlineStr">
        <is>
          <t>тв</t>
        </is>
      </c>
      <c r="M4609" s="23" t="n">
        <v>768</v>
      </c>
      <c r="N4609" s="23" t="n">
        <v>2014</v>
      </c>
      <c r="O4609" s="23" t="n">
        <v>870</v>
      </c>
      <c r="P4609" s="23" t="n"/>
      <c r="Q4609" s="23" t="n"/>
      <c r="R4609" s="25" t="n"/>
      <c r="S4609" s="26">
        <f>HYPERLINK("http://www.cnpol.ru/covers/15057.jpg","фото на сайте")</f>
        <v/>
      </c>
    </row>
    <row r="4610" ht="50.1" customHeight="1" s="3">
      <c r="A4610" s="23" t="inlineStr">
        <is>
          <t>Д</t>
        </is>
      </c>
      <c r="B4610" s="24" t="inlineStr">
        <is>
          <t>22301</t>
        </is>
      </c>
      <c r="C4610" s="23" t="inlineStr">
        <is>
          <t>СПБ</t>
        </is>
      </c>
      <c r="D4610" s="23" t="inlineStr">
        <is>
          <t>Первушина Е.В.</t>
        </is>
      </c>
      <c r="E4610" s="23" t="inlineStr">
        <is>
          <t>Мосты Петербурга. В прошлом, настоящем и будущем</t>
        </is>
      </c>
      <c r="F4610" s="23" t="inlineStr">
        <is>
          <t>        </t>
        </is>
      </c>
      <c r="G4610" s="27" t="n">
        <v>1009</v>
      </c>
      <c r="H4610" s="23" t="n">
        <v>10</v>
      </c>
      <c r="I4610" s="23" t="n">
        <v>8</v>
      </c>
      <c r="J4610" s="23" t="inlineStr">
        <is>
          <t>978-5-227-11412-9</t>
        </is>
      </c>
      <c r="K4610" s="23" t="inlineStr">
        <is>
          <t>84x108 1/32</t>
        </is>
      </c>
      <c r="L4610" s="23" t="inlineStr">
        <is>
          <t>тв</t>
        </is>
      </c>
      <c r="M4610" s="23" t="n">
        <v>318</v>
      </c>
      <c r="N4610" s="23" t="n">
        <v>2026</v>
      </c>
      <c r="O4610" s="23" t="n">
        <v>366</v>
      </c>
      <c r="P4610" s="23" t="n"/>
      <c r="Q4610" s="23" t="n"/>
      <c r="R4610" s="25" t="inlineStr">
        <is>
          <t>Мост — очень важное инженерное сооружение, особенно для города, расположенного на островах. Но, одновременно, петербургские мосты — это символы города, герои литературных произведений и воплощение души Северной столицы…_x000D_
На протяжении нескольких веков они скрепляют острова, архитектурные ансамбли и судьбы петербуржцев, ведь главная задача мостов — соединять людей. Плашкоутные и постоянные, каменные и деревянные, цепные, чугунные, разводные… Мосты — неотъемлемая часть города на Неве вчера, сегодня и завтра._x000D_
О роли мостов в градостроительстве и истории Петербурга, в экономической и культурной жизни города рассказано в этой удивительно интересной книге.</t>
        </is>
      </c>
      <c r="S4610" s="26">
        <f>HYPERLINK("http://www.cnpol.ru/covers/22301.jpg","фото на сайте")</f>
        <v/>
      </c>
    </row>
    <row r="4611" ht="50.1" customHeight="1" s="3">
      <c r="A4611" s="23" t="inlineStr">
        <is>
          <t>Н</t>
        </is>
      </c>
      <c r="B4611" s="24" t="inlineStr">
        <is>
          <t>21846</t>
        </is>
      </c>
      <c r="C4611" s="23" t="inlineStr">
        <is>
          <t>СПБ</t>
        </is>
      </c>
      <c r="D4611" s="23" t="inlineStr">
        <is>
          <t>Первушина Е.В.</t>
        </is>
      </c>
      <c r="E4611" s="23" t="inlineStr">
        <is>
          <t>Музеи Петербурга: большие и маленькие. 170 мест, которые стоит посетить</t>
        </is>
      </c>
      <c r="F4611" s="23" t="inlineStr">
        <is>
          <t>        </t>
        </is>
      </c>
      <c r="G4611" s="27" t="n">
        <v>1152</v>
      </c>
      <c r="H4611" s="23" t="n">
        <v>10</v>
      </c>
      <c r="I4611" s="23" t="n">
        <v>5</v>
      </c>
      <c r="J4611" s="23" t="inlineStr">
        <is>
          <t>978-5-227-11120-3</t>
        </is>
      </c>
      <c r="K4611" s="23" t="inlineStr">
        <is>
          <t>84x108 1/32</t>
        </is>
      </c>
      <c r="L4611" s="23" t="inlineStr">
        <is>
          <t>тв</t>
        </is>
      </c>
      <c r="M4611" s="23" t="n">
        <v>399</v>
      </c>
      <c r="N4611" s="23" t="n">
        <v>2025</v>
      </c>
      <c r="O4611" s="23" t="n">
        <v>434</v>
      </c>
      <c r="P4611" s="23" t="n"/>
      <c r="Q4611" s="23" t="n"/>
      <c r="R4611" s="25" t="inlineStr">
        <is>
          <t>Данное издание выгодно отличается от аналогичных тем, что рассказывает не только о широко известных художественных и исторических музеях, но и о технических, отраслевых, военных, краеведческих, музеях предприятий и учебных заведений. Читатель найдет здесь не только адреса, контактные телефоны музеев, но и узнает, чего ждать от их посещения, какие дополнительные возможности предоставляются в том или ином музее.</t>
        </is>
      </c>
      <c r="S4611" s="26">
        <f>HYPERLINK("http://www.cnpol.ru/covers/21846.jpg","фото на сайте")</f>
        <v/>
      </c>
    </row>
    <row r="4612" ht="50.1" customHeight="1" s="3">
      <c r="A4612" s="23" t="n"/>
      <c r="B4612" s="24" t="inlineStr">
        <is>
          <t>17513</t>
        </is>
      </c>
      <c r="C4612" s="23" t="inlineStr">
        <is>
          <t>СПБ</t>
        </is>
      </c>
      <c r="D4612" s="23" t="inlineStr">
        <is>
          <t>Синдаловский Н.А.</t>
        </is>
      </c>
      <c r="E4612" s="23" t="inlineStr">
        <is>
          <t>Мятежный Петербург. Сто лет бунтов, восстаний и революций в городском фольклоре</t>
        </is>
      </c>
      <c r="F4612" s="23" t="inlineStr">
        <is>
          <t>        </t>
        </is>
      </c>
      <c r="G4612" s="23" t="n">
        <v>593</v>
      </c>
      <c r="H4612" s="23" t="n">
        <v>10</v>
      </c>
      <c r="I4612" s="23" t="n">
        <v>12</v>
      </c>
      <c r="J4612" s="23" t="inlineStr">
        <is>
          <t>978-5-227-07526-0</t>
        </is>
      </c>
      <c r="K4612" s="23" t="inlineStr">
        <is>
          <t>84x108 1/32</t>
        </is>
      </c>
      <c r="L4612" s="23" t="inlineStr">
        <is>
          <t>тв</t>
        </is>
      </c>
      <c r="M4612" s="23" t="n">
        <v>368</v>
      </c>
      <c r="N4612" s="23" t="n">
        <v>2017</v>
      </c>
      <c r="O4612" s="23" t="n">
        <v>306</v>
      </c>
      <c r="P4612" s="23" t="n"/>
      <c r="Q4612" s="23" t="n"/>
      <c r="R4612" s="25" t="n"/>
      <c r="S4612" s="26">
        <f>HYPERLINK("http://www.cnpol.ru/covers/17513.jpg","фото на сайте")</f>
        <v/>
      </c>
    </row>
    <row r="4613" ht="50.1" customHeight="1" s="3">
      <c r="A4613" s="23" t="inlineStr">
        <is>
          <t>Н</t>
        </is>
      </c>
      <c r="B4613" s="24" t="inlineStr">
        <is>
          <t>22141</t>
        </is>
      </c>
      <c r="C4613" s="23" t="inlineStr">
        <is>
          <t>СПБ</t>
        </is>
      </c>
      <c r="D4613" s="23" t="inlineStr">
        <is>
          <t>Петров С.Ю</t>
        </is>
      </c>
      <c r="E4613" s="23" t="inlineStr">
        <is>
          <t>На берегах реки Ждановки. Петровский остров</t>
        </is>
      </c>
      <c r="F4613" s="23" t="inlineStr">
        <is>
          <t>        </t>
        </is>
      </c>
      <c r="G4613" s="27" t="n">
        <v>1110</v>
      </c>
      <c r="H4613" s="23" t="n">
        <v>10</v>
      </c>
      <c r="I4613" s="23" t="n">
        <v>10</v>
      </c>
      <c r="J4613" s="23" t="inlineStr">
        <is>
          <t>978-5-227-11307-8</t>
        </is>
      </c>
      <c r="K4613" s="23" t="inlineStr">
        <is>
          <t>84x108 1/32</t>
        </is>
      </c>
      <c r="L4613" s="23" t="inlineStr">
        <is>
          <t>тв</t>
        </is>
      </c>
      <c r="M4613" s="23" t="n">
        <v>384</v>
      </c>
      <c r="N4613" s="23" t="n">
        <v>2026</v>
      </c>
      <c r="O4613" s="23" t="n">
        <v>425</v>
      </c>
      <c r="P4613" s="23" t="n"/>
      <c r="Q4613" s="23" t="n"/>
      <c r="R4613" s="25" t="inlineStr">
        <is>
          <t>Несмотря на то что речка Ждановка и прилегающие к ней районы находятся в центре Петербурга, материалов по их истории немного. Эта книга — серия очерков, посвященных различным событиям, происходившим в этой местности, ее улицам и переулкам и жившим там людям. Вплоть до 1960-х годов в окрестностях Ждановки застыла так привлекавшая многих знаменитых петербуржцев провинциальность. И пусть сейчас облик этих мест уже во многом изменился, но остались воспоминания — самого автора и других очевидцев. Воспоминания, а также архивные изыскания  — в основе этой увлекательной книги.</t>
        </is>
      </c>
      <c r="S4613" s="26">
        <f>HYPERLINK("http://www.cnpol.ru/covers/22141.jpg","фото на сайте")</f>
        <v/>
      </c>
    </row>
    <row r="4614" ht="50.1" customHeight="1" s="3">
      <c r="A4614" s="23" t="inlineStr">
        <is>
          <t>Д</t>
        </is>
      </c>
      <c r="B4614" s="24" t="inlineStr">
        <is>
          <t>21706</t>
        </is>
      </c>
      <c r="C4614" s="23" t="inlineStr">
        <is>
          <t>СПБ</t>
        </is>
      </c>
      <c r="D4614" s="23" t="inlineStr">
        <is>
          <t>Шерих Д.Ю.</t>
        </is>
      </c>
      <c r="E4614" s="23" t="inlineStr">
        <is>
          <t>Невский без секретов. Были и небылицы</t>
        </is>
      </c>
      <c r="F4614" s="23" t="inlineStr">
        <is>
          <t>        </t>
        </is>
      </c>
      <c r="G4614" s="27" t="n">
        <v>1265</v>
      </c>
      <c r="H4614" s="23" t="n">
        <v>10</v>
      </c>
      <c r="I4614" s="23" t="n">
        <v>5</v>
      </c>
      <c r="J4614" s="23" t="inlineStr">
        <is>
          <t>978-5-227-11106-7</t>
        </is>
      </c>
      <c r="K4614" s="23" t="inlineStr">
        <is>
          <t>84x108 1/32</t>
        </is>
      </c>
      <c r="L4614" s="23" t="inlineStr">
        <is>
          <t>тв</t>
        </is>
      </c>
      <c r="M4614" s="23" t="n">
        <v>462</v>
      </c>
      <c r="N4614" s="23" t="n">
        <v>2025</v>
      </c>
      <c r="O4614" s="23" t="n">
        <v>456</v>
      </c>
      <c r="P4614" s="23" t="n"/>
      <c r="Q4614" s="23" t="n"/>
      <c r="R4614" s="25" t="inlineStr">
        <is>
          <t>Вы совершите увлекательную прогулку по Невскому проспекту и узнаете о многих тайнах, былях и небылицах главной улицы Санкт-Петербурга. Путешествие начинается от Александро-Невской лавры и заканчивается у Адмиралтейства. Книга поможет вам с пользой провести время и открыть для себя много нового о жизни Северной столицы.</t>
        </is>
      </c>
      <c r="S4614" s="26">
        <f>HYPERLINK("http://www.cnpol.ru/covers/21706.jpg","фото на сайте")</f>
        <v/>
      </c>
    </row>
    <row r="4615" ht="50.1" customHeight="1" s="3">
      <c r="A4615" s="23" t="n"/>
      <c r="B4615" s="24" t="inlineStr">
        <is>
          <t>20933</t>
        </is>
      </c>
      <c r="C4615" s="23" t="inlineStr">
        <is>
          <t>СПБ</t>
        </is>
      </c>
      <c r="D4615" s="23" t="inlineStr">
        <is>
          <t>Группа авторов</t>
        </is>
      </c>
      <c r="E4615" s="23" t="inlineStr">
        <is>
          <t>Невский проспект. История Санкт-Петербурга в фотографиях. Конец XIX — начало ХХ века: Альбом</t>
        </is>
      </c>
      <c r="F4615" s="23" t="inlineStr">
        <is>
          <t>        </t>
        </is>
      </c>
      <c r="G4615" s="27" t="n">
        <v>4354</v>
      </c>
      <c r="H4615" s="23" t="n">
        <v>10</v>
      </c>
      <c r="I4615" s="23" t="n">
        <v>4</v>
      </c>
      <c r="J4615" s="23" t="inlineStr">
        <is>
          <t>978-5-227-10485-4</t>
        </is>
      </c>
      <c r="K4615" s="23" t="inlineStr">
        <is>
          <t>60x90 1/8</t>
        </is>
      </c>
      <c r="L4615" s="23" t="inlineStr">
        <is>
          <t>тв</t>
        </is>
      </c>
      <c r="M4615" s="23" t="n">
        <v>232</v>
      </c>
      <c r="N4615" s="23" t="n">
        <v>2023</v>
      </c>
      <c r="O4615" s="23" t="n">
        <v>1550</v>
      </c>
      <c r="P4615" s="23" t="n"/>
      <c r="Q4615" s="23" t="n"/>
      <c r="R4615" s="25" t="inlineStr">
        <is>
          <t>В альбоме собраны уникальные снимки первых профессионалов российской фотографии, и прежде всего признанного фотолетописца Петербурга Карла Буллы, которые поведали миру о великой судьбе Северной столицы, запечатлев на века кадры истории главной ее улицы — Невского проспекта._x000D__x000D_
«Портреты» памятников скульптуры и архитектуры, зданий банков и торговых учреждений, доходных домов, различные виды городского транспорта, вывески, придающие неповторимый колорит облику городских улиц, а также официальная фотохроника и сценки бытового характера — словом, вся история этой удивительной улицы предстанет перед глазами читателей в фотокартинах ушедшей эпохи.</t>
        </is>
      </c>
      <c r="S4615" s="26">
        <f>HYPERLINK("http://www.cnpol.ru/covers/20933.jpg","фото на сайте")</f>
        <v/>
      </c>
    </row>
    <row r="4616" ht="50.1" customHeight="1" s="3">
      <c r="A4616" s="23" t="n"/>
      <c r="B4616" s="24" t="inlineStr">
        <is>
          <t>20117</t>
        </is>
      </c>
      <c r="C4616" s="23" t="inlineStr">
        <is>
          <t>СПБ</t>
        </is>
      </c>
      <c r="D4616" s="23" t="inlineStr">
        <is>
          <t>Андреева Ю.И.</t>
        </is>
      </c>
      <c r="E4616" s="23" t="inlineStr">
        <is>
          <t>Невский! Главный проспект Российской империи. Занимательный экскурс в историю Северной Пальмиры</t>
        </is>
      </c>
      <c r="F4616" s="23" t="inlineStr">
        <is>
          <t>        </t>
        </is>
      </c>
      <c r="G4616" s="23" t="n">
        <v>693</v>
      </c>
      <c r="H4616" s="23" t="n">
        <v>10</v>
      </c>
      <c r="I4616" s="23" t="n">
        <v>10</v>
      </c>
      <c r="J4616" s="23" t="inlineStr">
        <is>
          <t>978-5-227-09790-3</t>
        </is>
      </c>
      <c r="K4616" s="23" t="inlineStr">
        <is>
          <t>84x108 1/32</t>
        </is>
      </c>
      <c r="L4616" s="23" t="inlineStr">
        <is>
          <t>тв</t>
        </is>
      </c>
      <c r="M4616" s="23" t="n">
        <v>319</v>
      </c>
      <c r="N4616" s="23" t="n">
        <v>2022</v>
      </c>
      <c r="O4616" s="23" t="n">
        <v>320</v>
      </c>
      <c r="P4616" s="23" t="n"/>
      <c r="Q4616" s="23" t="n"/>
      <c r="R4616" s="25" t="n"/>
      <c r="S4616" s="26">
        <f>HYPERLINK("http://www.cnpol.ru/covers/20117.jpg","фото на сайте")</f>
        <v/>
      </c>
    </row>
    <row r="4617" ht="50.1" customHeight="1" s="3">
      <c r="A4617" s="23" t="inlineStr">
        <is>
          <t>Н</t>
        </is>
      </c>
      <c r="B4617" s="24" t="inlineStr">
        <is>
          <t>21520</t>
        </is>
      </c>
      <c r="C4617" s="23" t="inlineStr">
        <is>
          <t>СПБ</t>
        </is>
      </c>
      <c r="D4617" s="23" t="inlineStr">
        <is>
          <t>Глезеров С.Е.</t>
        </is>
      </c>
      <c r="E4617" s="23" t="inlineStr">
        <is>
          <t>Нежные страсти в российской истории. Любовные треугольники, романтические приключения, бурные романы, счастливые встречи и мрачные трагедии</t>
        </is>
      </c>
      <c r="F4617" s="23" t="inlineStr">
        <is>
          <t>        </t>
        </is>
      </c>
      <c r="G4617" s="27" t="n">
        <v>1466</v>
      </c>
      <c r="H4617" s="23" t="n">
        <v>10</v>
      </c>
      <c r="I4617" s="23" t="n">
        <v>5</v>
      </c>
      <c r="J4617" s="23" t="inlineStr">
        <is>
          <t>978-5-227-10989-7</t>
        </is>
      </c>
      <c r="K4617" s="23" t="inlineStr">
        <is>
          <t>84x108 1/32</t>
        </is>
      </c>
      <c r="L4617" s="23" t="inlineStr">
        <is>
          <t>тв</t>
        </is>
      </c>
      <c r="M4617" s="23" t="n">
        <v>575</v>
      </c>
      <c r="N4617" s="23" t="n">
        <v>2025</v>
      </c>
      <c r="O4617" s="23" t="n">
        <v>588</v>
      </c>
      <c r="P4617" s="23" t="n"/>
      <c r="Q4617" s="23" t="n"/>
      <c r="R4617" s="25" t="inlineStr">
        <is>
          <t>В продолжение полюбившейся читателям темы любовных страстей автор предлагает вторую книгу по этой же тематике. И если в первую вошли только петербургские истории, то география второй покрывает большую площадь — Россию. История — это не только войны и завоевания, великие географические открытия и природные бедствия. Через все события прошлого проходят яркие хроники любви: взаимной и безответной, счастливой и трагичной. Герои этой книги — люди самых разных занятий, сословий, интеллектуального уровня и материального достатка. А связанные с ними истории, собранные под одной обложкой, объединяет одно: в них непременно присутствуют любовный треугольник, безудержные страсти и, как результат, — красивый финал либо, наоборот, мрачная трагедия. Вы узнаете, какие страсти кипели в царском доме Романовых, прочтете о неукротимой сексуальности и бесконечных любовных похождениях первого российского императора. Вас ждут безрассудные поступки во имя любви, роковые ошибки, муки ревности и жестокие убийства неверных партнеров. Среди героев этого повествования — поэт Гавриил Державин и литературный критик Виссарион Белинский, шеф жандармов Александр Бенкендорф и полярный исследователь Георгий Седов, полководец Михаил Кутузов и художник Константин Маковский и многие другие… История каждого из них достойна отдельного любовного романа.</t>
        </is>
      </c>
      <c r="S4617" s="26">
        <f>HYPERLINK("http://www.cnpol.ru/covers/21520.jpg","фото на сайте")</f>
        <v/>
      </c>
    </row>
    <row r="4618" ht="50.1" customHeight="1" s="3">
      <c r="A4618" s="23" t="n"/>
      <c r="B4618" s="24" t="inlineStr">
        <is>
          <t>17198</t>
        </is>
      </c>
      <c r="C4618" s="23" t="inlineStr">
        <is>
          <t>СПБ</t>
        </is>
      </c>
      <c r="D4618" s="23" t="inlineStr">
        <is>
          <t>Сорокин П.Е.</t>
        </is>
      </c>
      <c r="E4618" s="23" t="inlineStr">
        <is>
          <t>Окрестности Петербурга. Из истории ижорской земли</t>
        </is>
      </c>
      <c r="F4618" s="23" t="inlineStr">
        <is>
          <t>        </t>
        </is>
      </c>
      <c r="G4618" s="23" t="n">
        <v>998</v>
      </c>
      <c r="H4618" s="23" t="n">
        <v>10</v>
      </c>
      <c r="I4618" s="23" t="n">
        <v>10</v>
      </c>
      <c r="J4618" s="23" t="inlineStr">
        <is>
          <t>978-5-227-06020-4</t>
        </is>
      </c>
      <c r="K4618" s="23" t="inlineStr">
        <is>
          <t>84x108 1/32</t>
        </is>
      </c>
      <c r="L4618" s="23" t="inlineStr">
        <is>
          <t>тв</t>
        </is>
      </c>
      <c r="M4618" s="23" t="n">
        <v>480</v>
      </c>
      <c r="N4618" s="23" t="n">
        <v>2016</v>
      </c>
      <c r="O4618" s="23" t="n">
        <v>484</v>
      </c>
      <c r="P4618" s="23" t="n"/>
      <c r="Q4618" s="23" t="n"/>
      <c r="R4618" s="25" t="n"/>
      <c r="S4618" s="26">
        <f>HYPERLINK("http://www.cnpol.ru/covers/17198.jpg","фото на сайте")</f>
        <v/>
      </c>
    </row>
    <row r="4619" ht="50.1" customHeight="1" s="3">
      <c r="A4619" s="23" t="n"/>
      <c r="B4619" s="24" t="inlineStr">
        <is>
          <t>15686</t>
        </is>
      </c>
      <c r="C4619" s="23" t="inlineStr">
        <is>
          <t>СПБ</t>
        </is>
      </c>
      <c r="D4619" s="23" t="inlineStr">
        <is>
          <t>Зуев Г.И.</t>
        </is>
      </c>
      <c r="E4619" s="23" t="inlineStr">
        <is>
          <t>От Вознесенского проспекта до реки Пряжки. Краеведческие расследование по петербургскисм адресам</t>
        </is>
      </c>
      <c r="F4619" s="23" t="inlineStr">
        <is>
          <t>        </t>
        </is>
      </c>
      <c r="G4619" s="23" t="n">
        <v>871</v>
      </c>
      <c r="H4619" s="23" t="n">
        <v>10</v>
      </c>
      <c r="I4619" s="23" t="n">
        <v>8</v>
      </c>
      <c r="J4619" s="23" t="inlineStr">
        <is>
          <t>978-5-227-05524-8</t>
        </is>
      </c>
      <c r="K4619" s="23" t="inlineStr">
        <is>
          <t>82x108 1/32</t>
        </is>
      </c>
      <c r="L4619" s="23" t="inlineStr">
        <is>
          <t>тв</t>
        </is>
      </c>
      <c r="M4619" s="23" t="n">
        <v>607</v>
      </c>
      <c r="N4619" s="23" t="n">
        <v>2014</v>
      </c>
      <c r="O4619" s="23" t="n">
        <v>560</v>
      </c>
      <c r="P4619" s="23" t="n"/>
      <c r="Q4619" s="23" t="n"/>
      <c r="R4619" s="25" t="n"/>
      <c r="S4619" s="26">
        <f>HYPERLINK("http://www.cnpol.ru/covers/15686.jpg","фото на сайте")</f>
        <v/>
      </c>
    </row>
    <row r="4620" ht="50.1" customHeight="1" s="3">
      <c r="A4620" s="23" t="n"/>
      <c r="B4620" s="24" t="inlineStr">
        <is>
          <t>20788</t>
        </is>
      </c>
      <c r="C4620" s="23" t="inlineStr">
        <is>
          <t>СПБ</t>
        </is>
      </c>
      <c r="D4620" s="23" t="inlineStr">
        <is>
          <t>Боровский А.Д.</t>
        </is>
      </c>
      <c r="E4620" s="23" t="inlineStr">
        <is>
          <t>От монумента до граффити. Городская среда в мозаиках, росписях, рельефах и инсталляциях… Историко-художественный путеводитель. Петербург XX-XXI вв.</t>
        </is>
      </c>
      <c r="F4620" s="23" t="inlineStr">
        <is>
          <t>        </t>
        </is>
      </c>
      <c r="G4620" s="27" t="n">
        <v>1478</v>
      </c>
      <c r="H4620" s="23" t="n">
        <v>10</v>
      </c>
      <c r="I4620" s="23" t="n">
        <v>5</v>
      </c>
      <c r="J4620" s="23" t="inlineStr">
        <is>
          <t>978-5-227-10415-1</t>
        </is>
      </c>
      <c r="K4620" s="23" t="inlineStr">
        <is>
          <t>70x100 1/16</t>
        </is>
      </c>
      <c r="L4620" s="23" t="inlineStr">
        <is>
          <t>тв</t>
        </is>
      </c>
      <c r="M4620" s="23" t="n">
        <v>415</v>
      </c>
      <c r="N4620" s="23" t="n">
        <v>2023</v>
      </c>
      <c r="O4620" s="23" t="n">
        <v>792</v>
      </c>
      <c r="P4620" s="23" t="n"/>
      <c r="Q4620" s="23" t="n"/>
      <c r="R4620" s="25" t="inlineStr">
        <is>
          <t>В этой книге речь пойдет о монументах и росписях, мозаиках и рельефах, средовых объектах и инсталляциях, оформлении улиц и граффити, созданных за последние сто с лишним лет. Впервые средовое искусство Северной столицы предстает в своей цельности в мировом контексте._x000D_
В книге паблик-арт «захвачен» на дальних подступах, когда в Петербурге появились первые проявления «культуры участия». Автор стремится сочетать искусствоведческий подход с социально-антропологическим: попыткой рассмотреть репрезентацию массовых настроений и ожиданий, технику визуальных месседжей власти и реакции на них. _x000D_
Жанр книги очень пластичен. Здесь есть элементы историко-художественного путеводителя, намечена определенная навигация во времени и пространстве. Однако фактографические и краеведческие интересы далеко не приоритетны…_x000D_
Выстроена достаточно цельная картина господствующих художественных стилей: от модерна к нескольким версиям конструктивизма и постконструктивизма, включая ленинградское ар-деко. Наряду с произведениями крупных мастеров, рассмотрению подлежит и достаточно рядовая арт-продукция: иногда типологичные вещи репрезентируют время и господствующий стиль в не меньшей степени, чем шедевры.</t>
        </is>
      </c>
      <c r="S4620" s="26">
        <f>HYPERLINK("http://www.cnpol.ru/covers/20788.jpg","фото на сайте")</f>
        <v/>
      </c>
    </row>
    <row r="4621" ht="50.1" customHeight="1" s="3">
      <c r="A4621" s="23" t="inlineStr">
        <is>
          <t>Н</t>
        </is>
      </c>
      <c r="B4621" s="24" t="inlineStr">
        <is>
          <t>21711</t>
        </is>
      </c>
      <c r="C4621" s="23" t="inlineStr">
        <is>
          <t>СПБ</t>
        </is>
      </c>
      <c r="D4621" s="23" t="inlineStr">
        <is>
          <t>Группа</t>
        </is>
      </c>
      <c r="E4621" s="23" t="inlineStr">
        <is>
          <t>Оф.1 Петербург. Доходные дома (бежевый дом). 200 самых красивых и необычных зданий великого города</t>
        </is>
      </c>
      <c r="F4621" s="23" t="inlineStr">
        <is>
          <t>        </t>
        </is>
      </c>
      <c r="G4621" s="27" t="n">
        <v>5495</v>
      </c>
      <c r="H4621" s="23" t="n">
        <v>10</v>
      </c>
      <c r="I4621" s="23" t="n">
        <v>4</v>
      </c>
      <c r="J4621" s="23" t="inlineStr">
        <is>
          <t>978-5-227-11016-9</t>
        </is>
      </c>
      <c r="K4621" s="23" t="inlineStr">
        <is>
          <t>70x100 1/16</t>
        </is>
      </c>
      <c r="L4621" s="23" t="inlineStr">
        <is>
          <t>тв</t>
        </is>
      </c>
      <c r="M4621" s="23" t="n">
        <v>472</v>
      </c>
      <c r="N4621" s="23" t="n">
        <v>2025</v>
      </c>
      <c r="O4621" s="23" t="n">
        <v>820</v>
      </c>
      <c r="P4621" s="23" t="n"/>
      <c r="Q4621" s="23" t="n"/>
      <c r="R4621" s="25" t="inlineStr">
        <is>
          <t>Санкт-Петербург невозможно представить без его знаменитых доходных домов и особняков. Это не просто неотъемлемая часть города, это памятники архитектуры с богатейшим прошлым. Дома являются визитными карточками улиц и несут на своих неповторимых живописных фасадах печать ушедшей исторической эпохи. Многие дома до сегодняшнего дня являются жилыми. Иметь квартиру в таком здании — это возможность жить в уникальной атмосфере, пропитанной духом старого Петербурга._x000D_
В издании представлена лишь часть этой огромной сферы историко-культурного наследия, около двухсот адресов. Следует предуведомить читателя: книга посвящена в основном архитектурному облику, а не биографиям домов и жителей. В ней раскрываются композиционно-стилевые особенности зданий, их типические и индивидуальные черты, характерные для почерка того или иного архитектора.</t>
        </is>
      </c>
      <c r="S4621" s="26">
        <f>HYPERLINK("http://www.cnpol.ru/covers/21711.jpg","фото на сайте")</f>
        <v/>
      </c>
    </row>
    <row r="4622" ht="50.1" customHeight="1" s="3">
      <c r="A4622" s="23" t="inlineStr">
        <is>
          <t>Н</t>
        </is>
      </c>
      <c r="B4622" s="24" t="inlineStr">
        <is>
          <t>21712</t>
        </is>
      </c>
      <c r="C4622" s="23" t="inlineStr">
        <is>
          <t>СПБ</t>
        </is>
      </c>
      <c r="D4622" s="23" t="inlineStr">
        <is>
          <t>Группа</t>
        </is>
      </c>
      <c r="E4622" s="23" t="inlineStr">
        <is>
          <t>Оф.2 Петербург. Доходные дома (коллаж). 200 самых красивых и необычных зданий великого города</t>
        </is>
      </c>
      <c r="F4622" s="23" t="inlineStr">
        <is>
          <t>        </t>
        </is>
      </c>
      <c r="G4622" s="27" t="n">
        <v>5495</v>
      </c>
      <c r="H4622" s="23" t="n">
        <v>10</v>
      </c>
      <c r="I4622" s="23" t="n">
        <v>4</v>
      </c>
      <c r="J4622" s="23" t="inlineStr">
        <is>
          <t>978-5-227-11063-3</t>
        </is>
      </c>
      <c r="K4622" s="23" t="inlineStr">
        <is>
          <t>70x100 1/16</t>
        </is>
      </c>
      <c r="L4622" s="23" t="inlineStr">
        <is>
          <t>тв</t>
        </is>
      </c>
      <c r="M4622" s="23" t="n">
        <v>472</v>
      </c>
      <c r="N4622" s="23" t="n">
        <v>2025</v>
      </c>
      <c r="O4622" s="23" t="n">
        <v>820</v>
      </c>
      <c r="P4622" s="23" t="n"/>
      <c r="Q4622" s="23" t="n"/>
      <c r="R4622" s="25" t="inlineStr">
        <is>
          <t>Санкт-Петербург невозможно представить без его знаменитых доходных домов и особняков. Это не просто неотъемлемая часть города, это памятники архитектуры с богатейшим прошлым. Дома являются визитными карточками улиц и несут на своих неповторимых живописных фасадах печать ушедшей исторической эпохи. Многие дома до сегодняшнего дня являются жилыми. Иметь квартиру в таком здании — это возможность жить в уникальной атмосфере, пропитанной духом старого Петербурга._x000D_
В издании представлена лишь часть этой огромной сферы историко-культурного наследия, около двухсот адресов. Следует предуведомить читателя: книга посвящена в основном архитектурному облику, а не биографиям домов и жителей. В ней раскрываются композиционно-стилевые особенности зданий, их типические и индивидуальные черты, характерные для почерка того или иного архитектора.</t>
        </is>
      </c>
      <c r="S4622" s="26">
        <f>HYPERLINK("http://www.cnpol.ru/covers/21712.jpg","фото на сайте")</f>
        <v/>
      </c>
    </row>
    <row r="4623" ht="50.1" customHeight="1" s="3">
      <c r="A4623" s="23" t="n"/>
      <c r="B4623" s="24" t="inlineStr">
        <is>
          <t>12341</t>
        </is>
      </c>
      <c r="C4623" s="23" t="inlineStr">
        <is>
          <t>СПБ</t>
        </is>
      </c>
      <c r="D4623" s="23" t="inlineStr">
        <is>
          <t>Краснолуцкий А.Ю.</t>
        </is>
      </c>
      <c r="E4623" s="23" t="inlineStr">
        <is>
          <t>Охтинская энциклопедия.Большая Охта</t>
        </is>
      </c>
      <c r="F4623" s="23" t="inlineStr">
        <is>
          <t>        </t>
        </is>
      </c>
      <c r="G4623" s="27" t="n">
        <v>1923</v>
      </c>
      <c r="H4623" s="23" t="n">
        <v>10</v>
      </c>
      <c r="I4623" s="23" t="n">
        <v>3</v>
      </c>
      <c r="J4623" s="23" t="inlineStr">
        <is>
          <t>978-5-227-02318-6</t>
        </is>
      </c>
      <c r="K4623" s="23" t="inlineStr">
        <is>
          <t>70x100 1/16</t>
        </is>
      </c>
      <c r="L4623" s="23" t="inlineStr">
        <is>
          <t>тв</t>
        </is>
      </c>
      <c r="M4623" s="23" t="n">
        <v>734</v>
      </c>
      <c r="N4623" s="23" t="n">
        <v>2010</v>
      </c>
      <c r="O4623" s="23" t="n">
        <v>1258</v>
      </c>
      <c r="P4623" s="23" t="n"/>
      <c r="Q4623" s="23" t="n"/>
      <c r="R4623" s="25" t="n"/>
      <c r="S4623" s="26">
        <f>HYPERLINK("http://www.cnpol.ru/covers/12341.jpg","фото на сайте")</f>
        <v/>
      </c>
    </row>
    <row r="4624" ht="50.1" customHeight="1" s="3">
      <c r="A4624" s="23" t="n"/>
      <c r="B4624" s="24" t="inlineStr">
        <is>
          <t>12374</t>
        </is>
      </c>
      <c r="C4624" s="23" t="inlineStr">
        <is>
          <t>СПБ</t>
        </is>
      </c>
      <c r="D4624" s="23" t="inlineStr">
        <is>
          <t>Краснолуцкий А.Ю.</t>
        </is>
      </c>
      <c r="E4624" s="23" t="inlineStr">
        <is>
          <t>Охтинская энциклопедия.Малая Охта</t>
        </is>
      </c>
      <c r="F4624" s="23" t="inlineStr">
        <is>
          <t>        </t>
        </is>
      </c>
      <c r="G4624" s="27" t="n">
        <v>1478</v>
      </c>
      <c r="H4624" s="23" t="n">
        <v>10</v>
      </c>
      <c r="I4624" s="23" t="n">
        <v>4</v>
      </c>
      <c r="J4624" s="23" t="inlineStr">
        <is>
          <t>978-5-227-02431-2</t>
        </is>
      </c>
      <c r="K4624" s="23" t="inlineStr">
        <is>
          <t>70x100 1/16</t>
        </is>
      </c>
      <c r="L4624" s="23" t="inlineStr">
        <is>
          <t>тв</t>
        </is>
      </c>
      <c r="M4624" s="23" t="n">
        <v>542</v>
      </c>
      <c r="N4624" s="23" t="n">
        <v>2010</v>
      </c>
      <c r="O4624" s="23" t="n">
        <v>962</v>
      </c>
      <c r="P4624" s="23" t="n"/>
      <c r="Q4624" s="23" t="n"/>
      <c r="R4624" s="25" t="n"/>
      <c r="S4624" s="26">
        <f>HYPERLINK("http://www.cnpol.ru/covers/12374.jpg","фото на сайте")</f>
        <v/>
      </c>
    </row>
    <row r="4625" ht="50.1" customHeight="1" s="3">
      <c r="A4625" s="23" t="inlineStr">
        <is>
          <t>Д</t>
        </is>
      </c>
      <c r="B4625" s="24" t="inlineStr">
        <is>
          <t>21184</t>
        </is>
      </c>
      <c r="C4625" s="23" t="inlineStr">
        <is>
          <t>СПБ</t>
        </is>
      </c>
      <c r="D4625" s="23" t="inlineStr">
        <is>
          <t>Столбова Н.П.</t>
        </is>
      </c>
      <c r="E4625" s="23" t="inlineStr">
        <is>
          <t>Охтинские усадьбы. Дача Безобразовых «Жерновка», Уткина дача, дача Долгорукова «Салтыковка»… История, архитектура и владельцы усадеб со времени их возникновения до сегодняшнего дня</t>
        </is>
      </c>
      <c r="F4625" s="23" t="inlineStr">
        <is>
          <t>        </t>
        </is>
      </c>
      <c r="G4625" s="27" t="n">
        <v>1143</v>
      </c>
      <c r="H4625" s="23" t="n">
        <v>10</v>
      </c>
      <c r="I4625" s="23" t="n">
        <v>10</v>
      </c>
      <c r="J4625" s="23" t="inlineStr">
        <is>
          <t>978-5-227-10720-6</t>
        </is>
      </c>
      <c r="K4625" s="23" t="inlineStr">
        <is>
          <t>84x108 1/32</t>
        </is>
      </c>
      <c r="L4625" s="23" t="inlineStr">
        <is>
          <t>тв</t>
        </is>
      </c>
      <c r="M4625" s="23" t="n">
        <v>415</v>
      </c>
      <c r="N4625" s="23" t="n">
        <v>2024</v>
      </c>
      <c r="O4625" s="23" t="n">
        <v>455</v>
      </c>
      <c r="P4625" s="23" t="n"/>
      <c r="Q4625" s="23" t="n"/>
      <c r="R4625" s="25" t="inlineStr">
        <is>
          <t>Охтинские усадьбы — тема многолетних изысканий автора в изучении прошлого Охты, старинной местности Петербурга. Книга расскажет об истории, архитектуре, владельцах усадеб «Жерновка», Уткина дача, «Салтыковка», дач Никонова и Комаровского. Повествование о сохранившихся усадьбах или участках, на которых они некогда находились, идет от времени их возникновения в XVIII в. до сегодняшнего дня. В ходе работы обнародованы неизвестные ранее факты и новые имена, уточнены даты, закрыты «лакуны» в истории дач. Впервые рассматривается как возможный «масонский след» в истории «Жерновки», дается интерпретация ее символики... Описания дач Никонова и Комаровского приводятся впервые. Исследование, выполненное на основе обширной источниковедческой базы, по сути, представляет новый жанр — «краеведческий детектив» с не всегда однозначными, но всегда обоснованными версиями исхода. Фактическую базу исследования составили архивные документы, в абсолютном большинстве впервые вводимые в научный оборот, а также планы и карты Санкт-Петербурга и окрестностей, другие источники и литература по теме, воспоминания и мемуары._x000D_
Текст иллюстрирован ранее не публиковавшимся иконографическим материалом, авторскими фотографиями.</t>
        </is>
      </c>
      <c r="S4625" s="26">
        <f>HYPERLINK("http://www.cnpol.ru/covers/21184.jpg","фото на сайте")</f>
        <v/>
      </c>
    </row>
    <row r="4626" ht="50.1" customHeight="1" s="3">
      <c r="A4626" s="23" t="inlineStr">
        <is>
          <t>Д</t>
        </is>
      </c>
      <c r="B4626" s="24" t="inlineStr">
        <is>
          <t>21818</t>
        </is>
      </c>
      <c r="C4626" s="23" t="inlineStr">
        <is>
          <t>СПБ</t>
        </is>
      </c>
      <c r="D4626" s="23" t="inlineStr">
        <is>
          <t>Ульянова С.Б, Сидорчук И.В</t>
        </is>
      </c>
      <c r="E4626" s="23" t="inlineStr">
        <is>
          <t>Пагубные страсти населения Петрограда—Ленинграда в 1920-е годы. Обаяние порока</t>
        </is>
      </c>
      <c r="F4626" s="23" t="inlineStr">
        <is>
          <t>        </t>
        </is>
      </c>
      <c r="G4626" s="27" t="n">
        <v>1009</v>
      </c>
      <c r="H4626" s="23" t="n">
        <v>10</v>
      </c>
      <c r="I4626" s="23" t="n">
        <v>6</v>
      </c>
      <c r="J4626" s="23" t="inlineStr">
        <is>
          <t>978-5-227-11155-5</t>
        </is>
      </c>
      <c r="K4626" s="23" t="inlineStr">
        <is>
          <t>84x108 1/32</t>
        </is>
      </c>
      <c r="L4626" s="23" t="inlineStr">
        <is>
          <t>тв</t>
        </is>
      </c>
      <c r="M4626" s="23" t="n">
        <v>320</v>
      </c>
      <c r="N4626" s="23" t="n">
        <v>2025</v>
      </c>
      <c r="O4626" s="23" t="n">
        <v>375</v>
      </c>
      <c r="P4626" s="23" t="n"/>
      <c r="Q4626" s="23" t="n"/>
      <c r="R4626" s="25" t="inlineStr">
        <is>
          <t>Поведение, не принимаемое обществом или законом, существует в любом социуме. Проблемы наркомании, алкоголизма, проституции и прочие пагубные страсти являются частью массовой культуры и предметом научного изучения. Книга посвящена асоциальным и нетрадиционным формам свободного времяпрепровождения жителей Петрограда—Ленинграда в 1920-е годы. Этот период выбран не случайно. На смену Гражданской войне, «красному» и «белому» террорам, голоду и эпидемиям сыпного тифа, повлекшим за собой гибель миллионов человек, в марте 1921 г. пришла новая экономическая политика — НЭП, существенно повлиявшая на культуру…_x000D_
Книга напитана текстами того времени, чтобы полнее передать «дух эпохи», дать читателю «услышать» голоса современников описываемых событий. Авторов привлекала не столько борьба с теми или иными общественными пороками, сколько характер их распространения в досуговой сфере, мотивация потребителей различных видов девиантного досуга и инфраструктура его предложения.</t>
        </is>
      </c>
      <c r="S4626" s="26">
        <f>HYPERLINK("http://www.cnpol.ru/covers/21818.jpg","фото на сайте")</f>
        <v/>
      </c>
    </row>
    <row r="4627" ht="50.1" customHeight="1" s="3">
      <c r="A4627" s="23" t="n"/>
      <c r="B4627" s="24" t="inlineStr">
        <is>
          <t>16017</t>
        </is>
      </c>
      <c r="C4627" s="23" t="inlineStr">
        <is>
          <t>СПБ</t>
        </is>
      </c>
      <c r="D4627" s="23" t="inlineStr">
        <is>
          <t>Алмазов Б.</t>
        </is>
      </c>
      <c r="E4627" s="23" t="inlineStr">
        <is>
          <t>Петербург - столица русской гвардии. История гвардейских подразделений. Структура войск. Боевые действийя. Выдающиеся личностей.</t>
        </is>
      </c>
      <c r="F4627" s="23" t="inlineStr">
        <is>
          <t>        </t>
        </is>
      </c>
      <c r="G4627" s="23" t="n">
        <v>998</v>
      </c>
      <c r="H4627" s="23" t="n">
        <v>10</v>
      </c>
      <c r="I4627" s="23" t="n">
        <v>12</v>
      </c>
      <c r="J4627" s="23" t="inlineStr">
        <is>
          <t>978-5-227-05917-8</t>
        </is>
      </c>
      <c r="K4627" s="23" t="inlineStr">
        <is>
          <t>84x108 1/32</t>
        </is>
      </c>
      <c r="L4627" s="23" t="inlineStr">
        <is>
          <t>тв</t>
        </is>
      </c>
      <c r="M4627" s="23" t="n">
        <v>511</v>
      </c>
      <c r="N4627" s="23" t="n">
        <v>2015</v>
      </c>
      <c r="O4627" s="23" t="n">
        <v>508</v>
      </c>
      <c r="P4627" s="23" t="n"/>
      <c r="Q4627" s="23" t="n"/>
      <c r="R4627" s="25" t="n"/>
      <c r="S4627" s="26">
        <f>HYPERLINK("http://www.cnpol.ru/covers/16017.jpg","фото на сайте")</f>
        <v/>
      </c>
    </row>
    <row r="4628" ht="50.1" customHeight="1" s="3">
      <c r="A4628" s="23" t="n"/>
      <c r="B4628" s="24" t="inlineStr">
        <is>
          <t>16900</t>
        </is>
      </c>
      <c r="C4628" s="23" t="inlineStr">
        <is>
          <t>СПБ</t>
        </is>
      </c>
      <c r="D4628" s="23" t="inlineStr">
        <is>
          <t>Манро Д.</t>
        </is>
      </c>
      <c r="E4628" s="23" t="inlineStr">
        <is>
          <t>Петербург в царствование Екатерины Великой</t>
        </is>
      </c>
      <c r="F4628" s="23" t="inlineStr">
        <is>
          <t>        </t>
        </is>
      </c>
      <c r="G4628" s="23" t="n">
        <v>998</v>
      </c>
      <c r="H4628" s="23" t="n">
        <v>10</v>
      </c>
      <c r="I4628" s="23" t="n">
        <v>8</v>
      </c>
      <c r="J4628" s="23" t="inlineStr">
        <is>
          <t>978-5-227-06658-9</t>
        </is>
      </c>
      <c r="K4628" s="23" t="inlineStr">
        <is>
          <t>84x108 1/32</t>
        </is>
      </c>
      <c r="L4628" s="23" t="inlineStr">
        <is>
          <t>тв</t>
        </is>
      </c>
      <c r="M4628" s="23" t="n">
        <v>512</v>
      </c>
      <c r="N4628" s="23" t="n">
        <v>2016</v>
      </c>
      <c r="O4628" s="23" t="n">
        <v>508</v>
      </c>
      <c r="P4628" s="23" t="n"/>
      <c r="Q4628" s="23" t="n"/>
      <c r="R4628" s="25" t="n"/>
      <c r="S4628" s="26">
        <f>HYPERLINK("http://www.cnpol.ru/covers/16900.jpg","фото на сайте")</f>
        <v/>
      </c>
    </row>
    <row r="4629" ht="50.1" customHeight="1" s="3">
      <c r="A4629" s="23" t="inlineStr">
        <is>
          <t>Д</t>
        </is>
      </c>
      <c r="B4629" s="24" t="inlineStr">
        <is>
          <t>21842</t>
        </is>
      </c>
      <c r="C4629" s="23" t="inlineStr">
        <is>
          <t>СПБ</t>
        </is>
      </c>
      <c r="D4629" s="23" t="inlineStr">
        <is>
          <t>Анисимов Е.В.</t>
        </is>
      </c>
      <c r="E4629" s="23" t="inlineStr">
        <is>
          <t>Петербург времен Петра Великого</t>
        </is>
      </c>
      <c r="F4629" s="23" t="inlineStr">
        <is>
          <t>        </t>
        </is>
      </c>
      <c r="G4629" s="27" t="n">
        <v>1277</v>
      </c>
      <c r="H4629" s="23" t="n">
        <v>10</v>
      </c>
      <c r="I4629" s="23" t="n">
        <v>5</v>
      </c>
      <c r="J4629" s="23" t="inlineStr">
        <is>
          <t>978-5-227-11167-8</t>
        </is>
      </c>
      <c r="K4629" s="23" t="inlineStr">
        <is>
          <t>84x108 1/32</t>
        </is>
      </c>
      <c r="L4629" s="23" t="inlineStr">
        <is>
          <t>тв</t>
        </is>
      </c>
      <c r="M4629" s="23" t="n">
        <v>430</v>
      </c>
      <c r="N4629" s="23" t="n">
        <v>2025</v>
      </c>
      <c r="O4629" s="23" t="n">
        <v>372</v>
      </c>
      <c r="P4629" s="23" t="n"/>
      <c r="Q4629" s="23" t="n"/>
      <c r="R4629" s="25" t="inlineStr">
        <is>
          <t>Книга известного историка Евгения Викторовича Анисимова раскрывает перед читателями славные страницы истории России — период зарождения и становления ее будущей столицы. Случай уникальный — Санкт-Петербург строится на территории, формально входящей в другое государство — Швецию._x000D_
Автор проливает свет на темные моменты истории, показывая, в какую цену обошлось нам «окно в Европу», рассказывает о людях, благодаря таланту которых был воздвигнут и сумел выжить молодой град, вопреки грозному соседству и капризам природы. Путешествуя вместе с автором по Петербургу, читатели узнают, какими были первые дома и набережные, познакомятся с жителями и строителями Петербурга, их непростыми судьбами и бытом. _x000D_
В книге приведено множество исторических фактов, разных мнений, архитектурных подробностей, она будет интересна не только читателям, влюбленным в Северную столицу, но и профессиональным историкам.</t>
        </is>
      </c>
      <c r="S4629" s="26">
        <f>HYPERLINK("http://www.cnpol.ru/covers/21842.jpg","фото на сайте")</f>
        <v/>
      </c>
    </row>
    <row r="4630" ht="50.1" customHeight="1" s="3">
      <c r="A4630" s="23" t="inlineStr">
        <is>
          <t>Н</t>
        </is>
      </c>
      <c r="B4630" s="24" t="inlineStr">
        <is>
          <t>22300</t>
        </is>
      </c>
      <c r="C4630" s="23" t="inlineStr">
        <is>
          <t>СПБ</t>
        </is>
      </c>
      <c r="D4630" s="23" t="inlineStr">
        <is>
          <t>Гречук Н.</t>
        </is>
      </c>
      <c r="E4630" s="23" t="inlineStr">
        <is>
          <t>Петербург. Мелкие факты большой истории</t>
        </is>
      </c>
      <c r="F4630" s="23" t="inlineStr">
        <is>
          <t>        </t>
        </is>
      </c>
      <c r="G4630" s="27" t="n">
        <v>1117</v>
      </c>
      <c r="H4630" s="23" t="n">
        <v>10</v>
      </c>
      <c r="I4630" s="23" t="n">
        <v>8</v>
      </c>
      <c r="J4630" s="23" t="inlineStr">
        <is>
          <t>978-5-227-05869-0</t>
        </is>
      </c>
      <c r="K4630" s="23" t="inlineStr">
        <is>
          <t>84x108 1/32</t>
        </is>
      </c>
      <c r="L4630" s="23" t="inlineStr">
        <is>
          <t>тв</t>
        </is>
      </c>
      <c r="M4630" s="23" t="n">
        <v>380</v>
      </c>
      <c r="N4630" s="23" t="n">
        <v>2015</v>
      </c>
      <c r="O4630" s="23" t="n">
        <v>419</v>
      </c>
      <c r="P4630" s="23" t="n"/>
      <c r="Q4630" s="23" t="n"/>
      <c r="R4630" s="25" t="inlineStr">
        <is>
          <t>"В истории Петербурга было многое — высокое и низкое, смешное и печальное. И люди, люди, люди… С талантами и без оных, богатые и бедные, милосердные и своекорыстные, со всеми их заботами, нуждами и страстями. Строились новые здания на месте старых — и они не всегда нравились горожанам. Сносились памятники и возводились другие. Переименовывались улицы...
Не один год Наталия Гречук собирала в старых петербургских газетах, журналах, документах «мелкие факты», а теперь сложила из малой их толики общую картину, с которой и предлагаем познакомиться читателям. Знакомство окажется своего рода погружением в живую историю города на Неве. Для большего эффекта по возможности сохранена старая орфография и все даты в книге даются по старому стилю."</t>
        </is>
      </c>
      <c r="S4630" s="26">
        <f>HYPERLINK("http://www.cnpol.ru/covers/22300.jpg","фото на сайте")</f>
        <v/>
      </c>
    </row>
    <row r="4631" ht="50.1" customHeight="1" s="3">
      <c r="A4631" s="23" t="n"/>
      <c r="B4631" s="24" t="inlineStr">
        <is>
          <t>15894</t>
        </is>
      </c>
      <c r="C4631" s="23" t="inlineStr">
        <is>
          <t>СПБ</t>
        </is>
      </c>
      <c r="D4631" s="23" t="inlineStr">
        <is>
          <t>Гречук Н.</t>
        </is>
      </c>
      <c r="E4631" s="23" t="inlineStr">
        <is>
          <t>Петербург. События и лица.</t>
        </is>
      </c>
      <c r="F4631" s="23" t="inlineStr">
        <is>
          <t>        </t>
        </is>
      </c>
      <c r="G4631" s="23" t="n">
        <v>968</v>
      </c>
      <c r="H4631" s="23" t="n">
        <v>10</v>
      </c>
      <c r="I4631" s="23" t="n">
        <v>12</v>
      </c>
      <c r="J4631" s="23" t="inlineStr">
        <is>
          <t>978-5-227-05075-5</t>
        </is>
      </c>
      <c r="K4631" s="23" t="inlineStr">
        <is>
          <t>84x108 1/32</t>
        </is>
      </c>
      <c r="L4631" s="23" t="inlineStr">
        <is>
          <t>тв</t>
        </is>
      </c>
      <c r="M4631" s="23" t="n">
        <v>480</v>
      </c>
      <c r="N4631" s="23" t="n">
        <v>2015</v>
      </c>
      <c r="O4631" s="23" t="n">
        <v>482</v>
      </c>
      <c r="P4631" s="23" t="n"/>
      <c r="Q4631" s="23" t="n"/>
      <c r="R4631" s="25" t="n"/>
      <c r="S4631" s="26">
        <f>HYPERLINK("http://www.cnpol.ru/covers/15894.jpg","фото на сайте")</f>
        <v/>
      </c>
    </row>
    <row r="4632" ht="50.1" customHeight="1" s="3">
      <c r="A4632" s="23" t="n"/>
      <c r="B4632" s="24" t="inlineStr">
        <is>
          <t>13698</t>
        </is>
      </c>
      <c r="C4632" s="23" t="inlineStr">
        <is>
          <t>СПБ</t>
        </is>
      </c>
      <c r="D4632" s="23" t="inlineStr">
        <is>
          <t>Антонов В.В.</t>
        </is>
      </c>
      <c r="E4632" s="23" t="inlineStr">
        <is>
          <t>Петербург: Вы это знали?</t>
        </is>
      </c>
      <c r="F4632" s="23" t="inlineStr">
        <is>
          <t>        </t>
        </is>
      </c>
      <c r="G4632" s="23" t="n">
        <v>927</v>
      </c>
      <c r="H4632" s="23" t="n">
        <v>10</v>
      </c>
      <c r="I4632" s="23" t="n">
        <v>12</v>
      </c>
      <c r="J4632" s="23" t="inlineStr">
        <is>
          <t>978-5-227-03759-6</t>
        </is>
      </c>
      <c r="K4632" s="23" t="inlineStr">
        <is>
          <t>84x108 1/32</t>
        </is>
      </c>
      <c r="L4632" s="23" t="inlineStr">
        <is>
          <t>тв</t>
        </is>
      </c>
      <c r="M4632" s="23" t="n">
        <v>412</v>
      </c>
      <c r="N4632" s="23" t="n">
        <v>2012</v>
      </c>
      <c r="O4632" s="23" t="n">
        <v>492</v>
      </c>
      <c r="P4632" s="23" t="n"/>
      <c r="Q4632" s="23" t="n"/>
      <c r="R4632" s="25" t="n"/>
      <c r="S4632" s="26">
        <f>HYPERLINK("http://www.cnpol.ru/covers/13698.jpg","фото на сайте")</f>
        <v/>
      </c>
    </row>
    <row r="4633" ht="50.1" customHeight="1" s="3">
      <c r="A4633" s="23" t="n"/>
      <c r="B4633" s="24" t="inlineStr">
        <is>
          <t>15379</t>
        </is>
      </c>
      <c r="C4633" s="23" t="inlineStr">
        <is>
          <t>СПБ</t>
        </is>
      </c>
      <c r="D4633" s="23" t="inlineStr">
        <is>
          <t>Марголис А.</t>
        </is>
      </c>
      <c r="E4633" s="23" t="inlineStr">
        <is>
          <t>Петербург: история и современность. Избранные очерки.</t>
        </is>
      </c>
      <c r="F4633" s="23" t="inlineStr">
        <is>
          <t>        </t>
        </is>
      </c>
      <c r="G4633" s="23" t="n">
        <v>822</v>
      </c>
      <c r="H4633" s="23" t="n">
        <v>10</v>
      </c>
      <c r="I4633" s="23" t="n">
        <v>18</v>
      </c>
      <c r="J4633" s="23" t="inlineStr">
        <is>
          <t>978-5-227-05328-2</t>
        </is>
      </c>
      <c r="K4633" s="23" t="inlineStr">
        <is>
          <t>84x108 1/32</t>
        </is>
      </c>
      <c r="L4633" s="23" t="inlineStr">
        <is>
          <t>тв</t>
        </is>
      </c>
      <c r="M4633" s="23" t="n">
        <v>320</v>
      </c>
      <c r="N4633" s="23" t="n">
        <v>2014</v>
      </c>
      <c r="O4633" s="23" t="n">
        <v>348</v>
      </c>
      <c r="P4633" s="23" t="n"/>
      <c r="Q4633" s="23" t="n"/>
      <c r="R4633" s="25" t="n"/>
      <c r="S4633" s="26">
        <f>HYPERLINK("http://www.cnpol.ru/covers/15379.jpg","фото на сайте")</f>
        <v/>
      </c>
    </row>
    <row r="4634" ht="50.1" customHeight="1" s="3">
      <c r="A4634" s="23" t="n"/>
      <c r="B4634" s="24" t="inlineStr">
        <is>
          <t>19907</t>
        </is>
      </c>
      <c r="C4634" s="23" t="inlineStr">
        <is>
          <t>СПБ</t>
        </is>
      </c>
      <c r="D4634" s="23" t="inlineStr">
        <is>
          <t>Аспидов А.</t>
        </is>
      </c>
      <c r="E4634" s="23" t="inlineStr">
        <is>
          <t>Петербургские арабески</t>
        </is>
      </c>
      <c r="F4634" s="23" t="inlineStr">
        <is>
          <t>        </t>
        </is>
      </c>
      <c r="G4634" s="27" t="n">
        <v>1265</v>
      </c>
      <c r="H4634" s="23" t="n">
        <v>10</v>
      </c>
      <c r="I4634" s="23" t="n">
        <v>10</v>
      </c>
      <c r="J4634" s="23" t="inlineStr">
        <is>
          <t>978-5-227-09475-9</t>
        </is>
      </c>
      <c r="K4634" s="23" t="inlineStr">
        <is>
          <t>84x108 1/32</t>
        </is>
      </c>
      <c r="L4634" s="23" t="inlineStr">
        <is>
          <t>тв</t>
        </is>
      </c>
      <c r="M4634" s="23" t="n">
        <v>464</v>
      </c>
      <c r="N4634" s="23" t="n">
        <v>2021</v>
      </c>
      <c r="O4634" s="23" t="n">
        <v>376</v>
      </c>
      <c r="P4634" s="23" t="n"/>
      <c r="Q4634" s="23" t="n"/>
      <c r="R4634" s="25" t="n"/>
      <c r="S4634" s="26">
        <f>HYPERLINK("http://www.cnpol.ru/covers/19907.jpg","фото на сайте")</f>
        <v/>
      </c>
    </row>
    <row r="4635" ht="50.1" customHeight="1" s="3">
      <c r="A4635" s="23" t="inlineStr">
        <is>
          <t>Н</t>
        </is>
      </c>
      <c r="B4635" s="24" t="inlineStr">
        <is>
          <t>22286</t>
        </is>
      </c>
      <c r="C4635" s="23" t="inlineStr">
        <is>
          <t>СПБ</t>
        </is>
      </c>
      <c r="D4635" s="23" t="inlineStr">
        <is>
          <t>Гусаров А.Ю.</t>
        </is>
      </c>
      <c r="E4635" s="23" t="inlineStr">
        <is>
          <t>Петербургские дворы. Необычные дворы, курдонеры, дворы-колодцы, проходные дворы</t>
        </is>
      </c>
      <c r="F4635" s="23" t="inlineStr">
        <is>
          <t>        </t>
        </is>
      </c>
      <c r="G4635" s="27" t="n">
        <v>1117</v>
      </c>
      <c r="H4635" s="23" t="n">
        <v>10</v>
      </c>
      <c r="I4635" s="23" t="n">
        <v>8</v>
      </c>
      <c r="J4635" s="23" t="inlineStr">
        <is>
          <t>978-5-227-11407-5</t>
        </is>
      </c>
      <c r="K4635" s="23" t="inlineStr">
        <is>
          <t>84x108 1/32</t>
        </is>
      </c>
      <c r="L4635" s="23" t="inlineStr">
        <is>
          <t>тв</t>
        </is>
      </c>
      <c r="M4635" s="23" t="n">
        <v>383</v>
      </c>
      <c r="N4635" s="23" t="n">
        <v>2026</v>
      </c>
      <c r="O4635" s="23" t="n">
        <v>424</v>
      </c>
      <c r="P4635" s="23" t="n"/>
      <c r="Q4635" s="23" t="n"/>
      <c r="R4635" s="25" t="inlineStr">
        <is>
          <t>Автор предлагает взглянуть на городские пространства Санкт-Петербурга в неожиданном ракурсе — не с привычной стороны торжественных фасадов, а «с изнанки» — со стороны дворовых территорий. Вы узнаете немало любопытного о типах петербургских дворов: парадных дворах-курдонерах, проходных дворах, дворах-колодцах, о том, как постепенно менялось отношение к обустройству территорий, примыкающих к жилью человека, в условиях растущего города. Несомненный интерес представляют и сведения об отношении человека к придомовым участкам в разные эпохи и на разных континентах, а также «дворовые» литературные адреса.</t>
        </is>
      </c>
      <c r="S4635" s="26">
        <f>HYPERLINK("http://www.cnpol.ru/covers/22286.jpg","фото на сайте")</f>
        <v/>
      </c>
    </row>
    <row r="4636" ht="50.1" customHeight="1" s="3">
      <c r="A4636" s="23" t="inlineStr">
        <is>
          <t>Д</t>
        </is>
      </c>
      <c r="B4636" s="24" t="inlineStr">
        <is>
          <t>22044</t>
        </is>
      </c>
      <c r="C4636" s="23" t="inlineStr">
        <is>
          <t>СПБ</t>
        </is>
      </c>
      <c r="D4636" s="23" t="inlineStr">
        <is>
          <t>Юхнева Е.Д</t>
        </is>
      </c>
      <c r="E4636" s="23" t="inlineStr">
        <is>
          <t>Петербургские доходные дома. Очерки из истории быта</t>
        </is>
      </c>
      <c r="F4636" s="23" t="inlineStr">
        <is>
          <t>        </t>
        </is>
      </c>
      <c r="G4636" s="27" t="n">
        <v>1075</v>
      </c>
      <c r="H4636" s="23" t="n">
        <v>10</v>
      </c>
      <c r="I4636" s="23" t="n">
        <v>12</v>
      </c>
      <c r="J4636" s="23" t="inlineStr">
        <is>
          <t>978-5-227-11280-4</t>
        </is>
      </c>
      <c r="K4636" s="23" t="inlineStr">
        <is>
          <t>84x108 1/32</t>
        </is>
      </c>
      <c r="L4636" s="23" t="inlineStr">
        <is>
          <t>тв</t>
        </is>
      </c>
      <c r="M4636" s="23" t="n">
        <v>491</v>
      </c>
      <c r="N4636" s="23" t="n">
        <v>2026</v>
      </c>
      <c r="O4636" s="23" t="n">
        <v>513</v>
      </c>
      <c r="P4636" s="23" t="n"/>
      <c r="Q4636" s="23" t="n"/>
      <c r="R4636" s="25" t="inlineStr">
        <is>
          <t>На наших глазах уходит в небытие старое петербургское жилье. Это четвертое, дополненное и доработанное издание — попытка создания своеобразного памятника не парадному, а повседневному Петербургу. Книга Е.К. Юхнёвой посвящена одной из интереснейших сторон жизни старого Петербурга — его доходным домам._x000D_
Автор в мельчайших подробностях воссоздает атмосферу быта роскошных «барских» квартир с их будуарами, кабинетами, диванными и детскими комнатами, холостяцких мансард, чиновничьих квартирок, а также беспросветного существования каморок, углов, чердаков и подвалов. Вы прочтете все об архитектуре, отделке, планировке и интерьерах доходных домов — от скромных деревянных пятистенок до каменных громад начала XX века. Узнаете, как жили люди без водопровода, канализации, парового отопления, электричества и прочих бытовых благ, привнесенных техническим прогрессом, увидите реалистичную картину жизни петербургского доходного дома.</t>
        </is>
      </c>
      <c r="S4636" s="26">
        <f>HYPERLINK("http://www.cnpol.ru/covers/22044.jpg","фото на сайте")</f>
        <v/>
      </c>
    </row>
    <row r="4637" ht="50.1" customHeight="1" s="3">
      <c r="A4637" s="23" t="inlineStr">
        <is>
          <t>Н</t>
        </is>
      </c>
      <c r="B4637" s="24" t="inlineStr">
        <is>
          <t>21766</t>
        </is>
      </c>
      <c r="C4637" s="23" t="inlineStr">
        <is>
          <t>СПБ</t>
        </is>
      </c>
      <c r="D4637" s="23" t="inlineStr">
        <is>
          <t>Первушина Е.В.</t>
        </is>
      </c>
      <c r="E4637" s="23" t="inlineStr">
        <is>
          <t>Петербургские женщины XIX века</t>
        </is>
      </c>
      <c r="F4637" s="23" t="inlineStr">
        <is>
          <t>        </t>
        </is>
      </c>
      <c r="G4637" s="27" t="n">
        <v>1702</v>
      </c>
      <c r="H4637" s="23" t="n">
        <v>10</v>
      </c>
      <c r="I4637" s="23" t="n">
        <v>4</v>
      </c>
      <c r="J4637" s="23" t="inlineStr">
        <is>
          <t>978-5-227-11117-3</t>
        </is>
      </c>
      <c r="K4637" s="23" t="inlineStr">
        <is>
          <t>84x108 1/32</t>
        </is>
      </c>
      <c r="L4637" s="23" t="inlineStr">
        <is>
          <t>тв</t>
        </is>
      </c>
      <c r="M4637" s="23" t="n">
        <v>698</v>
      </c>
      <c r="N4637" s="23" t="n">
        <v>2025</v>
      </c>
      <c r="O4637" s="23" t="n">
        <v>688</v>
      </c>
      <c r="P4637" s="23" t="n"/>
      <c r="Q4637" s="23" t="n"/>
      <c r="R4637" s="25" t="inlineStr">
        <is>
          <t>Предыдущая книга Елены Первушиной вышла под названием «Петербургские женщины XVIII века». Перед вами вторая книга, которая рассказывает о судьбах жительниц Северной столицы в конце XIX — начале XX века. В это время в России назрел кризис, жить по-старому было уже нельзя. В политической борьбе женщины нашли ответ на «женский вопрос» XIX века. Они завоевали права, получили возможность строить свою жизнь по собственному выбору. Но тут же перед ними встал новый вопрос: как женщины могут преобразовать общество, сделав его более справедливым и комфортным для себя и для мужчин? Искать ответ на него пришлось уже женщинам XX века…_x000D_
В книге приводится множество цитат, как правило, из малоизвестных и совсем незнакомых читателю произведений. Это не только мемуары и документы, но и художественные произведения, в которых авторы (нередко авторы-женщины) выражали свое отношение к тем или иным событиям, явлениям и проблемам общественной жизни.</t>
        </is>
      </c>
      <c r="S4637" s="26">
        <f>HYPERLINK("http://www.cnpol.ru/covers/21766.jpg","фото на сайте")</f>
        <v/>
      </c>
    </row>
    <row r="4638" ht="50.1" customHeight="1" s="3">
      <c r="A4638" s="23" t="inlineStr">
        <is>
          <t>Н</t>
        </is>
      </c>
      <c r="B4638" s="24" t="inlineStr">
        <is>
          <t>21765</t>
        </is>
      </c>
      <c r="C4638" s="23" t="inlineStr">
        <is>
          <t>СПБ</t>
        </is>
      </c>
      <c r="D4638" s="23" t="inlineStr">
        <is>
          <t>Первушина Е.В.</t>
        </is>
      </c>
      <c r="E4638" s="23" t="inlineStr">
        <is>
          <t>Петербургские женщины XVIII века</t>
        </is>
      </c>
      <c r="F4638" s="23" t="inlineStr">
        <is>
          <t>        </t>
        </is>
      </c>
      <c r="G4638" s="27" t="n">
        <v>1238</v>
      </c>
      <c r="H4638" s="23" t="n">
        <v>10</v>
      </c>
      <c r="I4638" s="23" t="n">
        <v>5</v>
      </c>
      <c r="J4638" s="23" t="inlineStr">
        <is>
          <t>978-5-227-11118-0</t>
        </is>
      </c>
      <c r="K4638" s="23" t="inlineStr">
        <is>
          <t>84x108 1/32</t>
        </is>
      </c>
      <c r="L4638" s="23" t="inlineStr">
        <is>
          <t>тв</t>
        </is>
      </c>
      <c r="M4638" s="23" t="n">
        <v>444</v>
      </c>
      <c r="N4638" s="23" t="n">
        <v>2025</v>
      </c>
      <c r="O4638" s="23" t="n">
        <v>486</v>
      </c>
      <c r="P4638" s="23" t="n"/>
      <c r="Q4638" s="23" t="n"/>
      <c r="R4638" s="25" t="inlineStr">
        <is>
          <t>Жизнь женщин XVIII века была трудной, противоречивой и волнующей. Кто может рассказать о времени и о себе лучше, чем очевидцы — люди, жившие в ту эпоху. Поэтому в книге вы встретите множество цитат из мемуаров и литературных произведений XVIII века. Мемуаристы порой противоречат друг другу, по-разному смотрят на одних и тех же людей, на одни и те же события и не всегда точны в описании фактов. Но именно это делает их тексты живыми свидетельствами эпохи, со всеми ее тайнами, противоречиями, умолчаниями, а порой и фальсификациями и откровенной ложью._x000D_
Конечно, эту тему не исчерпаешь одной книгой. И день, когда количество трудов, посвященных истории женщин, сравнится с количеством трудов, описывающих историю мужчин, еще очень далек. И все же, прочитав эту книгу до конца, вы будете знать немного больше о том, что это значило: быть женщиной в Петербурге XVIII века.</t>
        </is>
      </c>
      <c r="S4638" s="26">
        <f>HYPERLINK("http://www.cnpol.ru/covers/21765.jpg","фото на сайте")</f>
        <v/>
      </c>
    </row>
    <row r="4639" ht="50.1" customHeight="1" s="3">
      <c r="A4639" s="23" t="n"/>
      <c r="B4639" s="24" t="inlineStr">
        <is>
          <t>14684</t>
        </is>
      </c>
      <c r="C4639" s="23" t="inlineStr">
        <is>
          <t>СПБ</t>
        </is>
      </c>
      <c r="D4639" s="23" t="inlineStr">
        <is>
          <t>Глезеров С.Е.</t>
        </is>
      </c>
      <c r="E4639" s="23" t="inlineStr">
        <is>
          <t>Петербургские окрестности. Быт и нравы начала ХХ века. Изд.3-е, доораб. и доп.</t>
        </is>
      </c>
      <c r="F4639" s="23" t="inlineStr">
        <is>
          <t>        </t>
        </is>
      </c>
      <c r="G4639" s="27" t="n">
        <v>1165</v>
      </c>
      <c r="H4639" s="23" t="n">
        <v>10</v>
      </c>
      <c r="I4639" s="23" t="n">
        <v>10</v>
      </c>
      <c r="J4639" s="23" t="inlineStr">
        <is>
          <t>978-5-227-04591-1</t>
        </is>
      </c>
      <c r="K4639" s="23" t="inlineStr">
        <is>
          <t>84x108 1/32</t>
        </is>
      </c>
      <c r="L4639" s="23" t="inlineStr">
        <is>
          <t>тв</t>
        </is>
      </c>
      <c r="M4639" s="23" t="n">
        <v>607</v>
      </c>
      <c r="N4639" s="23" t="n">
        <v>2013</v>
      </c>
      <c r="O4639" s="23" t="n">
        <v>594</v>
      </c>
      <c r="P4639" s="23" t="n"/>
      <c r="Q4639" s="23" t="n"/>
      <c r="R4639" s="25" t="n"/>
      <c r="S4639" s="26">
        <f>HYPERLINK("http://www.cnpol.ru/covers/14684.jpg","фото на сайте")</f>
        <v/>
      </c>
    </row>
    <row r="4640" ht="50.1" customHeight="1" s="3">
      <c r="A4640" s="23" t="n"/>
      <c r="B4640" s="24" t="inlineStr">
        <is>
          <t>18921</t>
        </is>
      </c>
      <c r="C4640" s="23" t="inlineStr">
        <is>
          <t>СПБ</t>
        </is>
      </c>
      <c r="D4640" s="23" t="inlineStr">
        <is>
          <t>Синдаловский Н.А.</t>
        </is>
      </c>
      <c r="E4640" s="23" t="inlineStr">
        <is>
          <t>Петербургские поляки в городском фольклоре. Мистические тайны, предсказания, легенды, предания и исторические анекдоты</t>
        </is>
      </c>
      <c r="F4640" s="23" t="inlineStr">
        <is>
          <t>        </t>
        </is>
      </c>
      <c r="G4640" s="23" t="n">
        <v>888</v>
      </c>
      <c r="H4640" s="23" t="n">
        <v>10</v>
      </c>
      <c r="I4640" s="23" t="n">
        <v>14</v>
      </c>
      <c r="J4640" s="23" t="inlineStr">
        <is>
          <t>978-5-227-08821-5</t>
        </is>
      </c>
      <c r="K4640" s="23" t="inlineStr">
        <is>
          <t>84x108 1/32</t>
        </is>
      </c>
      <c r="L4640" s="23" t="inlineStr">
        <is>
          <t>тв</t>
        </is>
      </c>
      <c r="M4640" s="23" t="n">
        <v>320</v>
      </c>
      <c r="N4640" s="23" t="n">
        <v>2019</v>
      </c>
      <c r="O4640" s="23" t="n">
        <v>310</v>
      </c>
      <c r="P4640" s="23" t="n"/>
      <c r="Q4640" s="23" t="n"/>
      <c r="R4640" s="25" t="n"/>
      <c r="S4640" s="26">
        <f>HYPERLINK("http://www.cnpol.ru/covers/18921.jpg","фото на сайте")</f>
        <v/>
      </c>
    </row>
    <row r="4641" ht="50.1" customHeight="1" s="3">
      <c r="A4641" s="23" t="inlineStr">
        <is>
          <t>Н</t>
        </is>
      </c>
      <c r="B4641" s="24" t="inlineStr">
        <is>
          <t>22108</t>
        </is>
      </c>
      <c r="C4641" s="23" t="inlineStr">
        <is>
          <t>СПБ</t>
        </is>
      </c>
      <c r="D4641" s="23" t="inlineStr">
        <is>
          <t>Алмазов Б.А.</t>
        </is>
      </c>
      <c r="E4641" s="23" t="inlineStr">
        <is>
          <t>Петербургские святые</t>
        </is>
      </c>
      <c r="F4641" s="23" t="inlineStr">
        <is>
          <t>        </t>
        </is>
      </c>
      <c r="G4641" s="27" t="n">
        <v>1702</v>
      </c>
      <c r="H4641" s="23" t="n">
        <v>10</v>
      </c>
      <c r="I4641" s="23" t="n">
        <v>8</v>
      </c>
      <c r="J4641" s="23" t="inlineStr">
        <is>
          <t>978-5-227-11285-9</t>
        </is>
      </c>
      <c r="K4641" s="23" t="inlineStr">
        <is>
          <t>84x108 1/32</t>
        </is>
      </c>
      <c r="L4641" s="23" t="inlineStr">
        <is>
          <t>тв</t>
        </is>
      </c>
      <c r="M4641" s="23" t="n">
        <v>703</v>
      </c>
      <c r="N4641" s="23" t="n">
        <v>2026</v>
      </c>
      <c r="O4641" s="23" t="n">
        <v>711</v>
      </c>
      <c r="P4641" s="23" t="n"/>
      <c r="Q4641" s="23" t="n"/>
      <c r="R4641" s="25" t="inlineStr">
        <is>
          <t>"В книге известного писателя, старосты мемориального прихода собора Петра и Павла в Петербурге Бориса Алмазова в популярной форме рассказывается о православных святых, причисленных Священным синодом к Санкт-Петербургскому собору. И если первоначально было канонизировано 45, то теперь собор насчитывает более 134 человек, и с открытием новых документов и знаний число это продолжает расти.
Жизненный подвиг и мученическая кончина многих святых еще никогда так подробно не освещались в светской литературе. Особое внимание уделено церковным расколам и гонениям, начавшимся в революционные дни 1917 года и продолжавшимся в советское время. О разрушении монастырей и храмов, о расстреле царствующей семьи, о десятках новомучеников, погибших в застенках НКВД и на Соловках, вы также узнаете из этого издания.
Жизнь каждого святого неразрывно связана с историей нашей родины, поэтому предлагаемая книга будет интересна не только просто верующим православным людям, но и всем, кто хочет знать историю своей страны. В издании использованы новые архивные материалы, ставшие доступными исследователям в последнее время."</t>
        </is>
      </c>
      <c r="S4641" s="26">
        <f>HYPERLINK("http://www.cnpol.ru/covers/22108.jpg","фото на сайте")</f>
        <v/>
      </c>
    </row>
    <row r="4642" ht="50.1" customHeight="1" s="3">
      <c r="A4642" s="23" t="inlineStr">
        <is>
          <t>Н</t>
        </is>
      </c>
      <c r="B4642" s="24" t="inlineStr">
        <is>
          <t>21745</t>
        </is>
      </c>
      <c r="C4642" s="23" t="inlineStr">
        <is>
          <t>СПБ</t>
        </is>
      </c>
      <c r="D4642" s="23" t="inlineStr">
        <is>
          <t>Краско А.В.</t>
        </is>
      </c>
      <c r="E4642" s="23" t="inlineStr">
        <is>
          <t>Петербургское купечество: страницы семейных историй</t>
        </is>
      </c>
      <c r="F4642" s="23" t="inlineStr">
        <is>
          <t>        </t>
        </is>
      </c>
      <c r="G4642" s="27" t="n">
        <v>1184</v>
      </c>
      <c r="H4642" s="23" t="n">
        <v>10</v>
      </c>
      <c r="I4642" s="23" t="n">
        <v>5</v>
      </c>
      <c r="J4642" s="23" t="inlineStr">
        <is>
          <t>978-5-9524-6199-4</t>
        </is>
      </c>
      <c r="K4642" s="23" t="inlineStr">
        <is>
          <t>84x108 1/32</t>
        </is>
      </c>
      <c r="L4642" s="23" t="inlineStr">
        <is>
          <t>тв</t>
        </is>
      </c>
      <c r="M4642" s="23" t="n">
        <v>416</v>
      </c>
      <c r="N4642" s="23" t="n">
        <v>2025</v>
      </c>
      <c r="O4642" s="23" t="n">
        <v>377</v>
      </c>
      <c r="P4642" s="23" t="n"/>
      <c r="Q4642" s="23" t="n"/>
      <c r="R4642" s="25" t="inlineStr">
        <is>
          <t>Книга посвящена истории одиннадцати наиболее богатых и влиятельных купеческих семейств Санкт-Петербурга XIX и XX веков, связанных друг с другом родством: Елисеевых, Целибеевых, Полежаевых, Тарасовых, Овсянниковых, Смуровых, Растеряевых, Дурдиных, Леляновых, Новинских, Авериных._x000D_
На основании глубоких архивных изысканий автор впервые прослеживает судьбы незаурядных людей, их вклад в благотворительность и меценатство. Помимо рассказа о наиболее известных представителях этих семейств, имена которых достаточно известны, повествуется и о судьбах их родственников, проживших свой век не менее интересно и содержательно._x000D_
Книга снабжена родословными схемами упомянутых семейств. Издание содержит множество старинных малоизвестных фотографий, в большинстве своем публикуемых впервые.</t>
        </is>
      </c>
      <c r="S4642" s="26">
        <f>HYPERLINK("http://www.cnpol.ru/covers/21745.jpg","фото на сайте")</f>
        <v/>
      </c>
    </row>
    <row r="4643" ht="50.1" customHeight="1" s="3">
      <c r="A4643" s="23" t="inlineStr">
        <is>
          <t>Д</t>
        </is>
      </c>
      <c r="B4643" s="24" t="inlineStr">
        <is>
          <t>22225</t>
        </is>
      </c>
      <c r="C4643" s="23" t="inlineStr">
        <is>
          <t>СПБ</t>
        </is>
      </c>
      <c r="D4643" s="23" t="inlineStr">
        <is>
          <t>Краско А.В.</t>
        </is>
      </c>
      <c r="E4643" s="23" t="inlineStr">
        <is>
          <t>Петербургское купечество: страницы семейных историй</t>
        </is>
      </c>
      <c r="F4643" s="23" t="inlineStr">
        <is>
          <t>        </t>
        </is>
      </c>
      <c r="G4643" s="27" t="n">
        <v>1184</v>
      </c>
      <c r="H4643" s="23" t="n">
        <v>10</v>
      </c>
      <c r="I4643" s="23" t="n">
        <v>10</v>
      </c>
      <c r="J4643" s="23" t="inlineStr">
        <is>
          <t>978-5-9524-6199-4</t>
        </is>
      </c>
      <c r="K4643" s="23" t="inlineStr">
        <is>
          <t>84x108 1/32</t>
        </is>
      </c>
      <c r="L4643" s="23" t="inlineStr">
        <is>
          <t>тв</t>
        </is>
      </c>
      <c r="M4643" s="23" t="n">
        <v>416</v>
      </c>
      <c r="N4643" s="23" t="n">
        <v>2025</v>
      </c>
      <c r="O4643" s="23" t="n">
        <v>453</v>
      </c>
      <c r="P4643" s="23" t="n"/>
      <c r="Q4643" s="23" t="n"/>
      <c r="R4643" s="25" t="inlineStr">
        <is>
          <t>Книга посвящена истории одиннадцати наиболее богатых и влиятельных купеческих семейств Санкт-Петербурга XIX и XX веков, связанных друг с другом родством: Елисеевых, Целибеевых, Полежаевых, Тарасовых, Овсянниковых, Смуровых, Растеряевых, Дурдиных, Леляновых, Новинских, Авериных._x000D_
На основании глубоких архивных изысканий автор впервые прослеживает судьбы незаурядных людей, их вклад в благотворительность и меценатство. Помимо рассказа о наиболее известных представителях этих семейств, имена которых достаточно известны, повествуется и о судьбах их родственников, проживших свой век не менее интересно и содержательно._x000D_
Книга снабжена родословными схемами упомянутых семейств. Издание содержит множество старинных малоизвестных фотографий, в большинстве своем публикуемых впервые.</t>
        </is>
      </c>
      <c r="S4643" s="26">
        <f>HYPERLINK("http://www.cnpol.ru/covers/22225.jpg","фото на сайте")</f>
        <v/>
      </c>
    </row>
    <row r="4644" ht="50.1" customHeight="1" s="3">
      <c r="A4644" s="23" t="inlineStr">
        <is>
          <t>Н</t>
        </is>
      </c>
      <c r="B4644" s="24" t="inlineStr">
        <is>
          <t>22247</t>
        </is>
      </c>
      <c r="C4644" s="23" t="inlineStr">
        <is>
          <t>СПБ</t>
        </is>
      </c>
      <c r="D4644" s="23" t="inlineStr">
        <is>
          <t>Домбровский А.В.</t>
        </is>
      </c>
      <c r="E4644" s="23" t="inlineStr">
        <is>
          <t>Петроградская сторона, или Отсюда начинался город. Прогулки по Петербургу</t>
        </is>
      </c>
      <c r="F4644" s="23" t="inlineStr">
        <is>
          <t>        </t>
        </is>
      </c>
      <c r="G4644" s="27" t="n">
        <v>1405</v>
      </c>
      <c r="H4644" s="23" t="n">
        <v>10</v>
      </c>
      <c r="I4644" s="23" t="n">
        <v>10</v>
      </c>
      <c r="J4644" s="23" t="inlineStr">
        <is>
          <t>978-5-227-11328-3</t>
        </is>
      </c>
      <c r="K4644" s="23" t="inlineStr">
        <is>
          <t>84x108 1/32</t>
        </is>
      </c>
      <c r="L4644" s="23" t="inlineStr">
        <is>
          <t>тв</t>
        </is>
      </c>
      <c r="M4644" s="23" t="n">
        <v>542</v>
      </c>
      <c r="N4644" s="23" t="n">
        <v>2026</v>
      </c>
      <c r="O4644" s="23" t="n">
        <v>563</v>
      </c>
      <c r="P4644" s="23" t="n"/>
      <c r="Q4644" s="23" t="n"/>
      <c r="R4644" s="25" t="inlineStr">
        <is>
          <t>Предлагаем вашему вниманию четвертую книгу Алексея Домбровского из серии «Центр империи». Мы совершим очередную прогулку по городу Святого Петра, на этот раз по Петроградской стороне — району, с которого начинался великий город. Мы неспешно пройдем по Троицкой площади, Петровской и Петроградской набережным, прочтем историю легендарного крейсера «Аврора». Посетим крепость на Заячьем острове и первую типографию, постоим на Иоанновском мосту, заглянем на Монетный двор, полюбуемся Петропавловским собором. Побродим по Александровскому парку и познакомимся с историей Ленинградского зоосада. Прогуляемся по Каменноостровскому и Кронверкскому проспектам и по прилегающим к ним улицам и переулкам. Автор подробно рассказывает историю возникновения и развития Петроградской стороны. Нас ждут людские судьбы, исторические события и живая история города...</t>
        </is>
      </c>
      <c r="S4644" s="26">
        <f>HYPERLINK("http://www.cnpol.ru/covers/22247.jpg","фото на сайте")</f>
        <v/>
      </c>
    </row>
    <row r="4645" ht="50.1" customHeight="1" s="3">
      <c r="A4645" s="23" t="inlineStr">
        <is>
          <t>Н</t>
        </is>
      </c>
      <c r="B4645" s="24" t="inlineStr">
        <is>
          <t>21805</t>
        </is>
      </c>
      <c r="C4645" s="23" t="inlineStr">
        <is>
          <t>СПБ</t>
        </is>
      </c>
      <c r="D4645" s="23" t="inlineStr">
        <is>
          <t>Чепель А.И.</t>
        </is>
      </c>
      <c r="E4645" s="23" t="inlineStr">
        <is>
          <t>Петроградская сторона. Улица Ленина. По бывшим Матвеевской и Широкой</t>
        </is>
      </c>
      <c r="F4645" s="23" t="inlineStr">
        <is>
          <t>        </t>
        </is>
      </c>
      <c r="G4645" s="27" t="n">
        <v>1063</v>
      </c>
      <c r="H4645" s="23" t="n">
        <v>10</v>
      </c>
      <c r="I4645" s="23" t="n">
        <v>5</v>
      </c>
      <c r="J4645" s="23" t="inlineStr">
        <is>
          <t>978-5-227-11156-2</t>
        </is>
      </c>
      <c r="K4645" s="23" t="inlineStr">
        <is>
          <t>84x108 1/32</t>
        </is>
      </c>
      <c r="L4645" s="23" t="inlineStr">
        <is>
          <t>тв</t>
        </is>
      </c>
      <c r="M4645" s="23" t="n">
        <v>351</v>
      </c>
      <c r="N4645" s="23" t="n">
        <v>2025</v>
      </c>
      <c r="O4645" s="23" t="n">
        <v>399</v>
      </c>
      <c r="P4645" s="23" t="n"/>
      <c r="Q4645" s="23" t="n"/>
      <c r="R4645" s="25" t="inlineStr">
        <is>
          <t>В книге пойдет речь об архитектуре и истории домов и участков, на которых эти дома построены; об архитекторах, возводивших эти здания; о домовладельцах, задумывавших строительство на своих участках и нанимавших для этих целей профессионалов; о жильцах, обитавших в существующих и канувших в Лету домах._x000D_
Структура издания проста. Две части посвящены двум прежним магистралям, составляющим сейчас улицу Ленина, — Матвеевской и Широкой. Каждая из частей состоит из двух разделов, рассказывающих о четной и нечетной стороне улицы. Мы не упоминаем прежние адреса, только современные, чтобы не заблудиться в «размытом» старом адресном перечне. Зачастую в рамках очерка повествование не будет ограничиваться только домом, а уйдет немного дальше — при условии, что человек, владевший зданием, строивший его или живший здесь, оставил заметный след в других частях города.</t>
        </is>
      </c>
      <c r="S4645" s="26">
        <f>HYPERLINK("http://www.cnpol.ru/covers/21805.jpg","фото на сайте")</f>
        <v/>
      </c>
    </row>
    <row r="4646" ht="50.1" customHeight="1" s="3">
      <c r="A4646" s="23" t="inlineStr">
        <is>
          <t>Н</t>
        </is>
      </c>
      <c r="B4646" s="24" t="inlineStr">
        <is>
          <t>21767</t>
        </is>
      </c>
      <c r="C4646" s="23" t="inlineStr">
        <is>
          <t>СПБ</t>
        </is>
      </c>
      <c r="D4646" s="23" t="inlineStr">
        <is>
          <t>Первушина Е.В.</t>
        </is>
      </c>
      <c r="E4646" s="23" t="inlineStr">
        <is>
          <t>По Петербургу на метро. Подземные маршруты Северной столицы</t>
        </is>
      </c>
      <c r="F4646" s="23" t="inlineStr">
        <is>
          <t>        </t>
        </is>
      </c>
      <c r="G4646" s="23" t="n">
        <v>994</v>
      </c>
      <c r="H4646" s="23" t="n">
        <v>10</v>
      </c>
      <c r="I4646" s="23" t="n">
        <v>10</v>
      </c>
      <c r="J4646" s="23" t="inlineStr">
        <is>
          <t>978-5-227-11119-7</t>
        </is>
      </c>
      <c r="K4646" s="23" t="inlineStr">
        <is>
          <t>84x108 1/32</t>
        </is>
      </c>
      <c r="L4646" s="23" t="inlineStr">
        <is>
          <t>тв</t>
        </is>
      </c>
      <c r="M4646" s="23" t="n">
        <v>348</v>
      </c>
      <c r="N4646" s="23" t="n">
        <v>2025</v>
      </c>
      <c r="O4646" s="23" t="n">
        <v>428</v>
      </c>
      <c r="P4646" s="23" t="n"/>
      <c r="Q4646" s="23" t="n"/>
      <c r="R4646" s="25" t="inlineStr">
        <is>
          <t>Большинство горожан ежедневно не задумываясь пользуются метрополитеном. Елена Первушина призывает пристально вглядеться в привычное, рассказывает о том, как постепенно создавалась и ширилась сеть метро Северной столицы и какие новые станции в ближайшем будущем появятся на карте города. Читатели узнают имена всех архитекторов и художников, вложивших свой труд в строительство и неповторимое оформление петербургской подземки, а также много интересного о том, что окружает станции на поверхности._x000D_
Компактное издание, насыщенное информацией, будет весьма полезным справочным пособием для многих любознательных петербуржцев и любителей отечественной истории.</t>
        </is>
      </c>
      <c r="S4646" s="26">
        <f>HYPERLINK("http://www.cnpol.ru/covers/21767.jpg","фото на сайте")</f>
        <v/>
      </c>
    </row>
    <row r="4647" ht="50.1" customHeight="1" s="3">
      <c r="A4647" s="23" t="inlineStr">
        <is>
          <t>Н</t>
        </is>
      </c>
      <c r="B4647" s="24" t="inlineStr">
        <is>
          <t>22052</t>
        </is>
      </c>
      <c r="C4647" s="23" t="inlineStr">
        <is>
          <t>СПБ</t>
        </is>
      </c>
      <c r="D4647" s="23" t="inlineStr">
        <is>
          <t>Алмазов Б.А.</t>
        </is>
      </c>
      <c r="E4647" s="23" t="inlineStr">
        <is>
          <t>Повести каменных горожан. Очерки о декоративной скульптуре Санкт-Петербурга</t>
        </is>
      </c>
      <c r="F4647" s="23" t="inlineStr">
        <is>
          <t>        </t>
        </is>
      </c>
      <c r="G4647" s="27" t="n">
        <v>1478</v>
      </c>
      <c r="H4647" s="23" t="n">
        <v>10</v>
      </c>
      <c r="I4647" s="23" t="n">
        <v>5</v>
      </c>
      <c r="J4647" s="23" t="inlineStr">
        <is>
          <t>978-5-227-11282-8</t>
        </is>
      </c>
      <c r="K4647" s="23" t="inlineStr">
        <is>
          <t>70x100 1/16</t>
        </is>
      </c>
      <c r="L4647" s="23" t="inlineStr">
        <is>
          <t>тв</t>
        </is>
      </c>
      <c r="M4647" s="23" t="n">
        <v>431</v>
      </c>
      <c r="N4647" s="23" t="n">
        <v>2026</v>
      </c>
      <c r="O4647" s="23" t="n">
        <v>702</v>
      </c>
      <c r="P4647" s="23" t="n"/>
      <c r="Q4647" s="23" t="n"/>
      <c r="R4647" s="25" t="inlineStr">
        <is>
          <t>Это богато иллюстрированное издание познакомит вас с необычными жителями Петербурга: каменными памятниками декоративной скульптуры. Следуя за рассказом автора, вы сможете разглядеть на стенах города то, чего не замечали раньше: маски и маскароны, древних богов, невероятное разнообразие птиц, зверей и растений, узнаете значение символов, вплетенных в архитектуру Северной столицы.</t>
        </is>
      </c>
      <c r="S4647" s="26">
        <f>HYPERLINK("http://www.cnpol.ru/covers/22052.jpg","фото на сайте")</f>
        <v/>
      </c>
    </row>
    <row r="4648" ht="50.1" customHeight="1" s="3">
      <c r="A4648" s="23" t="inlineStr">
        <is>
          <t>Н</t>
        </is>
      </c>
      <c r="B4648" s="24" t="inlineStr">
        <is>
          <t>22051</t>
        </is>
      </c>
      <c r="C4648" s="23" t="inlineStr">
        <is>
          <t>СПБ</t>
        </is>
      </c>
      <c r="D4648" s="23" t="inlineStr">
        <is>
          <t>Перевезенцева Н.А</t>
        </is>
      </c>
      <c r="E4648" s="23" t="inlineStr">
        <is>
          <t>Правдивые истории о жизни старых районов Петербурга. Колодцы времени</t>
        </is>
      </c>
      <c r="F4648" s="23" t="inlineStr">
        <is>
          <t>        </t>
        </is>
      </c>
      <c r="G4648" s="27" t="n">
        <v>1009</v>
      </c>
      <c r="H4648" s="23" t="n">
        <v>10</v>
      </c>
      <c r="I4648" s="23" t="n">
        <v>10</v>
      </c>
      <c r="J4648" s="23" t="inlineStr">
        <is>
          <t>978-5-227-11287-3</t>
        </is>
      </c>
      <c r="K4648" s="23" t="inlineStr">
        <is>
          <t>84x108 1/32</t>
        </is>
      </c>
      <c r="L4648" s="23" t="inlineStr">
        <is>
          <t>тв</t>
        </is>
      </c>
      <c r="M4648" s="23" t="n">
        <v>319</v>
      </c>
      <c r="N4648" s="23" t="n">
        <v>2026</v>
      </c>
      <c r="O4648" s="23" t="n">
        <v>376</v>
      </c>
      <c r="P4648" s="23" t="n"/>
      <c r="Q4648" s="23" t="n"/>
      <c r="R4648" s="25" t="inlineStr">
        <is>
          <t>"Более чем трёхсотлетняя история Петербурга полна разгаданных и неразгаданных тайн, предчувствий, предзнаменований, вещих снов и пророчеств. Всё это не могло не остаться, тайно или явно, запечатлённым в самом облике города — в его улицах, домах, площадях. Это своеобразные «колодцы времени», заглянув в которые мы увидим не только своё отражение, но и людей, когда-то живших здесь, и те знаковые события, которые, может быть, управляют нами и сейчас. Некоторые из них обросли легендами, превратились в мифы, стали называться «петербургскими тайнами».
Новая книга петербургской писательницы Наталии Перевезенцевой даёт читателю возможность просто пройтись по городу и вспомнить не только историю некоторых мест Петербурга, но и давно ушедших людей, судьбы которых до сих пор почему-то волнуют нас, заставляют задуматься о собственной жизни."</t>
        </is>
      </c>
      <c r="S4648" s="26">
        <f>HYPERLINK("http://www.cnpol.ru/covers/22051.jpg","фото на сайте")</f>
        <v/>
      </c>
    </row>
    <row r="4649" ht="50.1" customHeight="1" s="3">
      <c r="A4649" s="23" t="inlineStr">
        <is>
          <t>Д</t>
        </is>
      </c>
      <c r="B4649" s="24" t="inlineStr">
        <is>
          <t>21768</t>
        </is>
      </c>
      <c r="C4649" s="23" t="inlineStr">
        <is>
          <t>СПБ</t>
        </is>
      </c>
      <c r="D4649" s="23" t="inlineStr">
        <is>
          <t>Беляева Г.И.</t>
        </is>
      </c>
      <c r="E4649" s="23" t="inlineStr">
        <is>
          <t>Прогулки по Старой Коломне. История развития живописного района Северной Венеции</t>
        </is>
      </c>
      <c r="F4649" s="23" t="inlineStr">
        <is>
          <t>        </t>
        </is>
      </c>
      <c r="G4649" s="27" t="n">
        <v>1581</v>
      </c>
      <c r="H4649" s="23" t="n">
        <v>10</v>
      </c>
      <c r="I4649" s="23" t="n">
        <v>5</v>
      </c>
      <c r="J4649" s="23" t="inlineStr">
        <is>
          <t>978-5-227-11143-2</t>
        </is>
      </c>
      <c r="K4649" s="23" t="inlineStr">
        <is>
          <t>84x108 1/32</t>
        </is>
      </c>
      <c r="L4649" s="23" t="inlineStr">
        <is>
          <t>тв</t>
        </is>
      </c>
      <c r="M4649" s="23" t="n">
        <v>639</v>
      </c>
      <c r="N4649" s="23" t="n">
        <v>2025</v>
      </c>
      <c r="O4649" s="23" t="n">
        <v>632</v>
      </c>
      <c r="P4649" s="23" t="n"/>
      <c r="Q4649" s="23" t="n"/>
      <c r="R4649" s="25" t="inlineStr">
        <is>
          <t>Эта уникальная книга-путеводитель по всем улицам Коломны — итог многолетних поисков и собирания автором печатных и архивных материалов. Она воссоздает живописную картину бывшей петербургской окраины, венецианского уголка между Невой, Фонтанкой и Крюковым каналом. Улицы старой Коломны, на которых располагались Министерство внутренних дел, Императорское Человеколюбивое общество, больница Святого Николая Чудотворца и Морской Николо-Богоявленский кафедральный собор, претерпели множество переименований и стали свидетелями многих перемен._x000D_
Загадочный район площадей, колоколен и каналов постепенно превратился в культурный и промышленный центр. Его история причудливым образом переплелась с биографией известных поэтов, писателей, исторических деятелей, художников и композиторов, архитекторов и актеров разных эпох, чьи имена составляют золотой фонд культуры России. Издание адресовано всем, кто любит Петербург, интересуется его историей.</t>
        </is>
      </c>
      <c r="S4649" s="26">
        <f>HYPERLINK("http://www.cnpol.ru/covers/21768.jpg","фото на сайте")</f>
        <v/>
      </c>
    </row>
    <row r="4650" ht="50.1" customHeight="1" s="3">
      <c r="A4650" s="23" t="inlineStr">
        <is>
          <t>Н</t>
        </is>
      </c>
      <c r="B4650" s="24" t="inlineStr">
        <is>
          <t>21871</t>
        </is>
      </c>
      <c r="C4650" s="23" t="inlineStr">
        <is>
          <t>СПБ</t>
        </is>
      </c>
      <c r="D4650" s="23" t="inlineStr">
        <is>
          <t>Векслер А.Ф.</t>
        </is>
      </c>
      <c r="E4650" s="23" t="inlineStr">
        <is>
          <t>Рождественский квартал Петербурга</t>
        </is>
      </c>
      <c r="F4650" s="23" t="inlineStr">
        <is>
          <t>        </t>
        </is>
      </c>
      <c r="G4650" s="27" t="n">
        <v>1359</v>
      </c>
      <c r="H4650" s="23" t="n">
        <v>10</v>
      </c>
      <c r="I4650" s="23" t="n">
        <v>7</v>
      </c>
      <c r="J4650" s="23" t="inlineStr">
        <is>
          <t>978-5-9524-6486-5</t>
        </is>
      </c>
      <c r="K4650" s="23" t="inlineStr">
        <is>
          <t>84x108 1/32</t>
        </is>
      </c>
      <c r="L4650" s="23" t="inlineStr">
        <is>
          <t>тв</t>
        </is>
      </c>
      <c r="M4650" s="23" t="n">
        <v>511</v>
      </c>
      <c r="N4650" s="23" t="n">
        <v>2017</v>
      </c>
      <c r="O4650" s="23" t="n">
        <v>532</v>
      </c>
      <c r="P4650" s="23" t="n"/>
      <c r="Q4650" s="23" t="n"/>
      <c r="R4650" s="25" t="inlineStr">
        <is>
          <t>Вышедшая ранее книга Аркадия Векслера и Тамары Крашенинниковой «Суворовский проспект, Тверская и Таврическая улицы» начала рассказ о территории невского левобережья, ограниченной Смольной и Синопской набережными и четной стороной Старо-Невского проспекта. В ней была изложена история главной магистрали этой территории — Суворовского проспекта и улиц, расположенных к западу и северу от него. Этой книгой авторы завершают историю западной части «Смольнинского мыса» очерками о Кавалергардской улице, Смольной набережной, Смольном проспекте и связанных с ними улицах, переулках, проездах, площадях и садах. Нас ждет повествование об Очаковской, Одесской и Ставропольской улицах, улице Смольного, Калужском переулке и Мариинском проезде, садах Смольного, Саде на Неве и оставшемся только в памяти старожилов «Бобкином» саде. Вас ждут рассказы об истории улиц и зданий, архитекторах их создавших, обитателях домов именитых и не очень...</t>
        </is>
      </c>
      <c r="S4650" s="26">
        <f>HYPERLINK("http://www.cnpol.ru/covers/21871.jpg","фото на сайте")</f>
        <v/>
      </c>
    </row>
    <row r="4651" ht="50.1" customHeight="1" s="3">
      <c r="A4651" s="23" t="n"/>
      <c r="B4651" s="24" t="inlineStr">
        <is>
          <t>16033</t>
        </is>
      </c>
      <c r="C4651" s="23" t="inlineStr">
        <is>
          <t>СПБ</t>
        </is>
      </c>
      <c r="D4651" s="23" t="inlineStr">
        <is>
          <t>Ерофеев А.Д., Владимирович А.Г.</t>
        </is>
      </c>
      <c r="E4651" s="23" t="inlineStr">
        <is>
          <t>Скверы, сады и парки Петербурга. Зелёное убранство Северной столицы</t>
        </is>
      </c>
      <c r="F4651" s="23" t="inlineStr">
        <is>
          <t>        </t>
        </is>
      </c>
      <c r="G4651" s="23" t="n">
        <v>927</v>
      </c>
      <c r="H4651" s="23" t="n">
        <v>10</v>
      </c>
      <c r="I4651" s="23" t="n">
        <v>10</v>
      </c>
      <c r="J4651" s="23" t="inlineStr">
        <is>
          <t>978-5-227-05998-7</t>
        </is>
      </c>
      <c r="K4651" s="23" t="inlineStr">
        <is>
          <t>84x108 1/32</t>
        </is>
      </c>
      <c r="L4651" s="23" t="inlineStr">
        <is>
          <t>тв</t>
        </is>
      </c>
      <c r="M4651" s="23" t="n">
        <v>415</v>
      </c>
      <c r="N4651" s="23" t="n">
        <v>2015</v>
      </c>
      <c r="O4651" s="23" t="n">
        <v>434</v>
      </c>
      <c r="P4651" s="23" t="n"/>
      <c r="Q4651" s="23" t="n"/>
      <c r="R4651" s="25" t="n"/>
      <c r="S4651" s="26">
        <f>HYPERLINK("http://www.cnpol.ru/covers/16033.jpg","фото на сайте")</f>
        <v/>
      </c>
    </row>
    <row r="4652" ht="50.1" customHeight="1" s="3">
      <c r="A4652" s="23" t="n"/>
      <c r="B4652" s="24" t="inlineStr">
        <is>
          <t>19658</t>
        </is>
      </c>
      <c r="C4652" s="23" t="inlineStr">
        <is>
          <t>СПБ</t>
        </is>
      </c>
      <c r="D4652" s="23" t="inlineStr">
        <is>
          <t>Векслер А.Ф.</t>
        </is>
      </c>
      <c r="E4652" s="23" t="inlineStr">
        <is>
          <t>Старо-Невский проспект</t>
        </is>
      </c>
      <c r="F4652" s="23" t="inlineStr">
        <is>
          <t>        </t>
        </is>
      </c>
      <c r="G4652" s="27" t="n">
        <v>1291</v>
      </c>
      <c r="H4652" s="23" t="n">
        <v>10</v>
      </c>
      <c r="I4652" s="23" t="n">
        <v>10</v>
      </c>
      <c r="J4652" s="23" t="inlineStr">
        <is>
          <t>978-5-227-09477-3</t>
        </is>
      </c>
      <c r="K4652" s="23" t="inlineStr">
        <is>
          <t>84x108 1/32</t>
        </is>
      </c>
      <c r="L4652" s="23" t="inlineStr">
        <is>
          <t>тв</t>
        </is>
      </c>
      <c r="M4652" s="23" t="n">
        <v>476</v>
      </c>
      <c r="N4652" s="23" t="n">
        <v>2021</v>
      </c>
      <c r="O4652" s="23" t="n">
        <v>594</v>
      </c>
      <c r="P4652" s="23" t="n"/>
      <c r="Q4652" s="23" t="n"/>
      <c r="R4652" s="25" t="n"/>
      <c r="S4652" s="26">
        <f>HYPERLINK("http://www.cnpol.ru/covers/19658.jpg","фото на сайте")</f>
        <v/>
      </c>
    </row>
    <row r="4653" ht="50.1" customHeight="1" s="3">
      <c r="A4653" s="23" t="n"/>
      <c r="B4653" s="24" t="inlineStr">
        <is>
          <t>13539</t>
        </is>
      </c>
      <c r="C4653" s="23" t="inlineStr">
        <is>
          <t>СПБ</t>
        </is>
      </c>
      <c r="D4653" s="23" t="inlineStr">
        <is>
          <t>Зуев Г.И.</t>
        </is>
      </c>
      <c r="E4653" s="23" t="inlineStr">
        <is>
          <t>Там, где Крюков канал...</t>
        </is>
      </c>
      <c r="F4653" s="23" t="inlineStr">
        <is>
          <t>        </t>
        </is>
      </c>
      <c r="G4653" s="23" t="n">
        <v>851</v>
      </c>
      <c r="H4653" s="23" t="n">
        <v>10</v>
      </c>
      <c r="I4653" s="23" t="n">
        <v>14</v>
      </c>
      <c r="J4653" s="23" t="inlineStr">
        <is>
          <t>978-5-227-03548-6</t>
        </is>
      </c>
      <c r="K4653" s="23" t="inlineStr">
        <is>
          <t>84x100 1/32</t>
        </is>
      </c>
      <c r="L4653" s="23" t="inlineStr">
        <is>
          <t>тв</t>
        </is>
      </c>
      <c r="M4653" s="23" t="n">
        <v>413</v>
      </c>
      <c r="N4653" s="23" t="n">
        <v>2012</v>
      </c>
      <c r="O4653" s="23" t="n">
        <v>464</v>
      </c>
      <c r="P4653" s="23" t="n"/>
      <c r="Q4653" s="23" t="n"/>
      <c r="R4653" s="25" t="n"/>
      <c r="S4653" s="26">
        <f>HYPERLINK("http://www.cnpol.ru/covers/13539.jpg","фото на сайте")</f>
        <v/>
      </c>
    </row>
    <row r="4654" ht="50.1" customHeight="1" s="3">
      <c r="A4654" s="23" t="n"/>
      <c r="B4654" s="24" t="inlineStr">
        <is>
          <t>20784</t>
        </is>
      </c>
      <c r="C4654" s="23" t="inlineStr">
        <is>
          <t>СПБ</t>
        </is>
      </c>
      <c r="D4654" s="23" t="inlineStr">
        <is>
          <t>Краско А.В.</t>
        </is>
      </c>
      <c r="E4654" s="23" t="inlineStr">
        <is>
          <t>Три века городской усадьбы графов Шереметьевых. Люди и события</t>
        </is>
      </c>
      <c r="F4654" s="23" t="inlineStr">
        <is>
          <t>        </t>
        </is>
      </c>
      <c r="G4654" s="27" t="n">
        <v>1238</v>
      </c>
      <c r="H4654" s="23" t="n">
        <v>10</v>
      </c>
      <c r="I4654" s="23" t="n">
        <v>10</v>
      </c>
      <c r="J4654" s="23" t="inlineStr">
        <is>
          <t>978-5-227-10396-3</t>
        </is>
      </c>
      <c r="K4654" s="23" t="inlineStr">
        <is>
          <t>84x108 1/32</t>
        </is>
      </c>
      <c r="L4654" s="23" t="inlineStr">
        <is>
          <t>тв</t>
        </is>
      </c>
      <c r="M4654" s="23" t="n">
        <v>446</v>
      </c>
      <c r="N4654" s="23" t="n">
        <v>2023</v>
      </c>
      <c r="O4654" s="23" t="n">
        <v>520</v>
      </c>
      <c r="P4654" s="23" t="n"/>
      <c r="Q4654" s="23" t="n"/>
      <c r="R4654" s="25" t="inlineStr">
        <is>
          <t>Книга посвящена представителям одного из самых древних и именитых русских родов — Шереметевым. В ней обстоятельно и захватывающе интересно повествуется о значительном и многогранном вкладе этой семьи в государственную и культурную жизнь России._x000D_
Рассказано здесь об истории появления родовой усадьбы на берегу Фонтанки в Санкт-Петербурге, а также о том, что происходило с домом Шереметевых на протяжении трех веков его существования._x000D_
Алла Краско — удивительно талантливый рассказчик. При чтении создается впечатление, что ты находишься на экскурсии, настолько живо подан материал. Сведения, собранные автором, очень основательны, так как получены из тысяч архивных документов. Издание богато иллюстрировано и будет интересно историкам, краеведам и всем, кого интересует прошлое Северной столицы.</t>
        </is>
      </c>
      <c r="S4654" s="26">
        <f>HYPERLINK("http://www.cnpol.ru/covers/20784.jpg","фото на сайте")</f>
        <v/>
      </c>
    </row>
    <row r="4655" ht="50.1" customHeight="1" s="3">
      <c r="A4655" s="23" t="n"/>
      <c r="B4655" s="24" t="inlineStr">
        <is>
          <t>12490</t>
        </is>
      </c>
      <c r="C4655" s="23" t="inlineStr">
        <is>
          <t>СПБ</t>
        </is>
      </c>
      <c r="D4655" s="23" t="inlineStr">
        <is>
          <t>Зуев Г.И.</t>
        </is>
      </c>
      <c r="E4655" s="23" t="inlineStr">
        <is>
          <t>У трех Суздальских озер</t>
        </is>
      </c>
      <c r="F4655" s="23" t="inlineStr">
        <is>
          <t>        </t>
        </is>
      </c>
      <c r="G4655" s="27" t="n">
        <v>1117</v>
      </c>
      <c r="H4655" s="23" t="n">
        <v>10</v>
      </c>
      <c r="I4655" s="23" t="n">
        <v>8</v>
      </c>
      <c r="J4655" s="23" t="inlineStr">
        <is>
          <t>978-5-227-02576-0</t>
        </is>
      </c>
      <c r="K4655" s="23" t="inlineStr">
        <is>
          <t>60x90 1/16</t>
        </is>
      </c>
      <c r="L4655" s="23" t="inlineStr">
        <is>
          <t>тв</t>
        </is>
      </c>
      <c r="M4655" s="23" t="n">
        <v>474</v>
      </c>
      <c r="N4655" s="23" t="n">
        <v>2011</v>
      </c>
      <c r="O4655" s="23" t="n">
        <v>686</v>
      </c>
      <c r="P4655" s="23" t="n"/>
      <c r="Q4655" s="23" t="n"/>
      <c r="R4655" s="25" t="n"/>
      <c r="S4655" s="26">
        <f>HYPERLINK("http://www.cnpol.ru/covers/12490.jpg","фото на сайте")</f>
        <v/>
      </c>
    </row>
    <row r="4656" ht="50.1" customHeight="1" s="3">
      <c r="A4656" s="23" t="n"/>
      <c r="B4656" s="24" t="inlineStr">
        <is>
          <t>20872</t>
        </is>
      </c>
      <c r="C4656" s="23" t="inlineStr">
        <is>
          <t>СПБ</t>
        </is>
      </c>
      <c r="D4656" s="23" t="inlineStr">
        <is>
          <t>Аксельрод В.И., Манькова А.А.</t>
        </is>
      </c>
      <c r="E4656" s="23" t="inlineStr">
        <is>
          <t>Улица Рубинштейна и вокруг нее. Графский и Щербаков переулки</t>
        </is>
      </c>
      <c r="F4656" s="23" t="inlineStr">
        <is>
          <t>        </t>
        </is>
      </c>
      <c r="G4656" s="27" t="n">
        <v>1339</v>
      </c>
      <c r="H4656" s="23" t="n">
        <v>10</v>
      </c>
      <c r="I4656" s="23" t="n">
        <v>8</v>
      </c>
      <c r="J4656" s="23" t="inlineStr">
        <is>
          <t>978-5-227-09600-5</t>
        </is>
      </c>
      <c r="K4656" s="23" t="inlineStr">
        <is>
          <t>84x108 1/32</t>
        </is>
      </c>
      <c r="L4656" s="23" t="inlineStr">
        <is>
          <t>тв</t>
        </is>
      </c>
      <c r="M4656" s="23" t="n">
        <v>543</v>
      </c>
      <c r="N4656" s="23" t="n">
        <v>2023</v>
      </c>
      <c r="O4656" s="23" t="n">
        <v>558</v>
      </c>
      <c r="P4656" s="23" t="n"/>
      <c r="Q4656" s="23" t="n"/>
      <c r="R4656" s="25" t="inlineStr">
        <is>
          <t>Эта книга — продолжение серии своеобразных путеводителей по улицам, площадям и набережным Петербурга. Сегодня речь пойдет об улице Рубинштейна и примыкающих к ней Графском и Щербаковом переулках. Публикации, посвященные им, не многочисленны, между тем их история очень интересна и связана с многими поколениями петербуржцев, принадлежавших к разным сословиям, национальностям и профессиям, живших, служивших или бывавших здесь: военных и чиновников, купцов и мещан, литераторов и артистов, художников и архитекторов… Перед вами пройдут истории судеб более двухсот пятидесяти известных людей, а авторы попытаются раскрыть тайны, которые хранят местные дома. Возникновение этой небольшой улицы, протянувшейся на 700 метров от Невского проспекта до пересечения с Загородным проспектом и улицей Ломоносова, относится еще ко времени императрицы Анны Иоанновны! На рубеже веков улица Рубинштейна была и остается одним из центров театральной и музыкальной жизни Северной столицы. Сегодня улица продолжает жить и развиваться, прогуливаясь по ней, мы как будто вместе с вами оказываемся в европейском городе с разной архитектурой и кухнями многих стран.</t>
        </is>
      </c>
      <c r="S4656" s="26">
        <f>HYPERLINK("http://www.cnpol.ru/covers/20872.jpg","фото на сайте")</f>
        <v/>
      </c>
    </row>
    <row r="4657" ht="50.1" customHeight="1" s="3">
      <c r="A4657" s="23" t="n"/>
      <c r="B4657" s="24" t="inlineStr">
        <is>
          <t>19763</t>
        </is>
      </c>
      <c r="C4657" s="23" t="inlineStr">
        <is>
          <t>СПБ</t>
        </is>
      </c>
      <c r="D4657" s="23" t="inlineStr">
        <is>
          <t>Аксельрод В.И., Исаченко В.Г.</t>
        </is>
      </c>
      <c r="E4657" s="23" t="inlineStr">
        <is>
          <t>Улица Чехова</t>
        </is>
      </c>
      <c r="F4657" s="23" t="inlineStr">
        <is>
          <t>        </t>
        </is>
      </c>
      <c r="G4657" s="23" t="n">
        <v>915</v>
      </c>
      <c r="H4657" s="23" t="n">
        <v>10</v>
      </c>
      <c r="I4657" s="23" t="n">
        <v>14</v>
      </c>
      <c r="J4657" s="23" t="inlineStr">
        <is>
          <t>978-5-227-09476-6</t>
        </is>
      </c>
      <c r="K4657" s="23" t="inlineStr">
        <is>
          <t>84x108 1/32</t>
        </is>
      </c>
      <c r="L4657" s="23" t="inlineStr">
        <is>
          <t>тв</t>
        </is>
      </c>
      <c r="M4657" s="23" t="n">
        <v>267</v>
      </c>
      <c r="N4657" s="23" t="n">
        <v>2021</v>
      </c>
      <c r="O4657" s="23" t="n">
        <v>364</v>
      </c>
      <c r="P4657" s="23" t="n"/>
      <c r="Q4657" s="23" t="n"/>
      <c r="R4657" s="25" t="n"/>
      <c r="S4657" s="26">
        <f>HYPERLINK("http://www.cnpol.ru/covers/19763.jpg","фото на сайте")</f>
        <v/>
      </c>
    </row>
    <row r="4658" ht="50.1" customHeight="1" s="3">
      <c r="A4658" s="23" t="n"/>
      <c r="B4658" s="24" t="inlineStr">
        <is>
          <t>18747</t>
        </is>
      </c>
      <c r="C4658" s="23" t="inlineStr">
        <is>
          <t>СПБ</t>
        </is>
      </c>
      <c r="D4658" s="23" t="inlineStr">
        <is>
          <t>Краско А.В.</t>
        </is>
      </c>
      <c r="E4658" s="23" t="inlineStr">
        <is>
          <t>Фонтанный дом его сиятельства графа Шереметева. Жизнь и быт обитателей и служителей</t>
        </is>
      </c>
      <c r="F4658" s="23" t="inlineStr">
        <is>
          <t>        </t>
        </is>
      </c>
      <c r="G4658" s="23" t="n">
        <v>888</v>
      </c>
      <c r="H4658" s="23" t="n">
        <v>10</v>
      </c>
      <c r="I4658" s="23" t="n">
        <v>10</v>
      </c>
      <c r="J4658" s="23" t="inlineStr">
        <is>
          <t>978-5-227-08283-1</t>
        </is>
      </c>
      <c r="K4658" s="23" t="inlineStr">
        <is>
          <t>84x108 1/32</t>
        </is>
      </c>
      <c r="L4658" s="23" t="inlineStr">
        <is>
          <t>тв</t>
        </is>
      </c>
      <c r="M4658" s="23" t="n">
        <v>384</v>
      </c>
      <c r="N4658" s="23" t="n">
        <v>2019</v>
      </c>
      <c r="O4658" s="23" t="n">
        <v>414</v>
      </c>
      <c r="P4658" s="23" t="n"/>
      <c r="Q4658" s="23" t="n"/>
      <c r="R4658" s="25" t="n"/>
      <c r="S4658" s="26">
        <f>HYPERLINK("http://www.cnpol.ru/covers/18747.jpg","фото на сайте")</f>
        <v/>
      </c>
    </row>
    <row r="4659" ht="50.1" customHeight="1" s="3">
      <c r="A4659" s="23" t="n"/>
      <c r="B4659" s="24" t="inlineStr">
        <is>
          <t>16089</t>
        </is>
      </c>
      <c r="C4659" s="23" t="inlineStr">
        <is>
          <t>СПБ</t>
        </is>
      </c>
      <c r="D4659" s="23" t="inlineStr">
        <is>
          <t>Никитин Д.Е. (Архимандрит Августин)</t>
        </is>
      </c>
      <c r="E4659" s="23" t="inlineStr">
        <is>
          <t>Храмы Невского проспекта. Из истории инославных и правослвной общин Петербурга</t>
        </is>
      </c>
      <c r="F4659" s="23" t="inlineStr">
        <is>
          <t>        </t>
        </is>
      </c>
      <c r="G4659" s="23" t="n">
        <v>998</v>
      </c>
      <c r="H4659" s="23" t="n">
        <v>10</v>
      </c>
      <c r="I4659" s="23" t="n">
        <v>8</v>
      </c>
      <c r="J4659" s="23" t="inlineStr">
        <is>
          <t>978-5-227-06018-1</t>
        </is>
      </c>
      <c r="K4659" s="23" t="inlineStr">
        <is>
          <t>84x108 1/32</t>
        </is>
      </c>
      <c r="L4659" s="23" t="inlineStr">
        <is>
          <t>тв</t>
        </is>
      </c>
      <c r="M4659" s="23" t="n">
        <v>512</v>
      </c>
      <c r="N4659" s="23" t="n">
        <v>2015</v>
      </c>
      <c r="O4659" s="23" t="n">
        <v>492</v>
      </c>
      <c r="P4659" s="23" t="n"/>
      <c r="Q4659" s="23" t="n"/>
      <c r="R4659" s="25" t="n"/>
      <c r="S4659" s="26">
        <f>HYPERLINK("http://www.cnpol.ru/covers/16089.jpg","фото на сайте")</f>
        <v/>
      </c>
    </row>
    <row r="4660" ht="50.1" customHeight="1" s="3">
      <c r="A4660" s="23" t="n"/>
      <c r="B4660" s="24" t="inlineStr">
        <is>
          <t>18217</t>
        </is>
      </c>
      <c r="C4660" s="23" t="inlineStr">
        <is>
          <t>СПБ</t>
        </is>
      </c>
      <c r="D4660" s="23" t="inlineStr">
        <is>
          <t>Семенова Г.</t>
        </is>
      </c>
      <c r="E4660" s="23" t="inlineStr">
        <is>
          <t>Царское Село:Знакомое и незнакомое</t>
        </is>
      </c>
      <c r="F4660" s="23" t="inlineStr">
        <is>
          <t>        </t>
        </is>
      </c>
      <c r="G4660" s="27" t="n">
        <v>1145</v>
      </c>
      <c r="H4660" s="23" t="n">
        <v>10</v>
      </c>
      <c r="I4660" s="23" t="n">
        <v>10</v>
      </c>
      <c r="J4660" s="23" t="inlineStr">
        <is>
          <t>978-5-227-08189-6</t>
        </is>
      </c>
      <c r="K4660" s="23" t="inlineStr">
        <is>
          <t>84x108 1/32</t>
        </is>
      </c>
      <c r="L4660" s="23" t="inlineStr">
        <is>
          <t>тв</t>
        </is>
      </c>
      <c r="M4660" s="23" t="n">
        <v>672</v>
      </c>
      <c r="N4660" s="23" t="n">
        <v>2018</v>
      </c>
      <c r="O4660" s="23" t="n">
        <v>784</v>
      </c>
      <c r="P4660" s="23" t="n"/>
      <c r="Q4660" s="23" t="n"/>
      <c r="R4660" s="25" t="n"/>
      <c r="S4660" s="26">
        <f>HYPERLINK("http://www.cnpol.ru/covers/18217.jpg","фото на сайте")</f>
        <v/>
      </c>
    </row>
    <row r="4661" ht="50.1" customHeight="1" s="3">
      <c r="A4661" s="23" t="n"/>
      <c r="B4661" s="24" t="inlineStr">
        <is>
          <t>4053</t>
        </is>
      </c>
      <c r="C4661" s="23" t="inlineStr">
        <is>
          <t>СПБ 300</t>
        </is>
      </c>
      <c r="D4661" s="23" t="inlineStr">
        <is>
          <t>Цылов</t>
        </is>
      </c>
      <c r="E4661" s="23" t="inlineStr">
        <is>
          <t>Атлас тринадцати частей Санкт Петербурга</t>
        </is>
      </c>
      <c r="F4661" s="23" t="inlineStr">
        <is>
          <t>        </t>
        </is>
      </c>
      <c r="G4661" s="27" t="n">
        <v>7790</v>
      </c>
      <c r="H4661" s="23" t="n">
        <v>10</v>
      </c>
      <c r="I4661" s="23" t="n">
        <v>2</v>
      </c>
      <c r="J4661" s="23" t="inlineStr">
        <is>
          <t>5-9524-0416-2</t>
        </is>
      </c>
      <c r="K4661" s="23" t="inlineStr">
        <is>
          <t>70x90 1/12</t>
        </is>
      </c>
      <c r="L4661" s="23" t="inlineStr">
        <is>
          <t>тв</t>
        </is>
      </c>
      <c r="M4661" s="23" t="n">
        <v>862</v>
      </c>
      <c r="N4661" s="23" t="n">
        <v>2003</v>
      </c>
      <c r="O4661" s="23" t="n">
        <v>1910</v>
      </c>
      <c r="P4661" s="23" t="n"/>
      <c r="Q4661" s="23" t="n"/>
      <c r="R4661" s="25" t="inlineStr">
        <is>
          <t>Уникальное собрание подробных изображений набережных, улиц, переулков, казенных зданий и жилых домов, садов и парков Санкт-Петербурга, составленное Николаем Цыловым в 1849 году._x000D_
# В атласе содержится: Общий план города._x000D_
# Планы всех 13-ти городских частей, с указанием даже самых незначительных переулков, кроме того показаны кварталы на которые разделяется каждая часть города._x000D_
# Подробные планы всех набережных, площадей, улиц со всеми домами и с указанием их владельцев._x000D_
Для более удобного поиска нужных построек атлас снабжен алфавитным указателем, содержащий в себе фамилии домовладельцев, названия улиц.</t>
        </is>
      </c>
      <c r="S4661" s="26">
        <f>HYPERLINK("http://www.cnpol.ru/covers/4053.jpg","фото на сайте")</f>
        <v/>
      </c>
    </row>
    <row r="4662" ht="50.1" customHeight="1" s="3">
      <c r="A4662" s="23" t="n"/>
      <c r="B4662" s="24" t="inlineStr">
        <is>
          <t>10245</t>
        </is>
      </c>
      <c r="C4662" s="23" t="inlineStr">
        <is>
          <t>СПБ 300</t>
        </is>
      </c>
      <c r="D4662" s="23" t="inlineStr">
        <is>
          <t>Векслер А.Ф.</t>
        </is>
      </c>
      <c r="E4662" s="23" t="inlineStr">
        <is>
          <t>Греческий проспект</t>
        </is>
      </c>
      <c r="F4662" s="23" t="inlineStr">
        <is>
          <t>        </t>
        </is>
      </c>
      <c r="G4662" s="23" t="n">
        <v>704</v>
      </c>
      <c r="H4662" s="23" t="n">
        <v>10</v>
      </c>
      <c r="I4662" s="23" t="n">
        <v>16</v>
      </c>
      <c r="J4662" s="23" t="inlineStr">
        <is>
          <t>978-5-9524-3351-9</t>
        </is>
      </c>
      <c r="K4662" s="23" t="inlineStr">
        <is>
          <t>84x108 1/32</t>
        </is>
      </c>
      <c r="L4662" s="23" t="inlineStr">
        <is>
          <t>тв</t>
        </is>
      </c>
      <c r="M4662" s="23" t="n">
        <v>266</v>
      </c>
      <c r="N4662" s="23" t="n">
        <v>2008</v>
      </c>
      <c r="O4662" s="23" t="n">
        <v>352</v>
      </c>
      <c r="P4662" s="23" t="n"/>
      <c r="Q4662" s="23" t="n"/>
      <c r="R4662" s="25" t="inlineStr">
        <is>
          <t>Греческий проспект - улица в Санкт-Петербурге протяженностью всего около километра, но сколько знаменитых архитекторов трудились над созданием ее неповторимого облика. С творческими биографиями этих зодчих самых разных направлений вас познакомит один из соавторов книги В.Г.Исаченко. А о человеческих судьбах обитателей этих домов расскажет А.Ф.Векслер.</t>
        </is>
      </c>
      <c r="S4662" s="26">
        <f>HYPERLINK("http://www.cnpol.ru/covers/10245.jpg","фото на сайте")</f>
        <v/>
      </c>
    </row>
    <row r="4663" ht="50.1" customHeight="1" s="3">
      <c r="A4663" s="23" t="n"/>
      <c r="B4663" s="24" t="inlineStr">
        <is>
          <t>4554</t>
        </is>
      </c>
      <c r="C4663" s="23" t="inlineStr">
        <is>
          <t>СПБ 300</t>
        </is>
      </c>
      <c r="D4663" s="23" t="inlineStr">
        <is>
          <t>Шерих</t>
        </is>
      </c>
      <c r="E4663" s="23" t="inlineStr">
        <is>
          <t>Из Петрограда в Ленинград 1924</t>
        </is>
      </c>
      <c r="F4663" s="23" t="inlineStr">
        <is>
          <t>        </t>
        </is>
      </c>
      <c r="G4663" s="23" t="n">
        <v>508</v>
      </c>
      <c r="H4663" s="23" t="n">
        <v>10</v>
      </c>
      <c r="I4663" s="23" t="n">
        <v>12</v>
      </c>
      <c r="J4663" s="23" t="inlineStr">
        <is>
          <t>5-9524-0772-2</t>
        </is>
      </c>
      <c r="K4663" s="23" t="inlineStr">
        <is>
          <t>70x90 1/12</t>
        </is>
      </c>
      <c r="L4663" s="23" t="inlineStr">
        <is>
          <t>тв</t>
        </is>
      </c>
      <c r="M4663" s="23" t="n">
        <v>239</v>
      </c>
      <c r="N4663" s="23" t="n">
        <v>2004</v>
      </c>
      <c r="O4663" s="23" t="n">
        <v>322</v>
      </c>
      <c r="P4663" s="23" t="n"/>
      <c r="Q4663" s="23" t="n"/>
      <c r="R4663" s="25" t="inlineStr">
        <is>
          <t>26 января 1924 года Петроград стал Ленинградом. А чем еще был отмечен в жизни города 1924 год? Сильнейшим наводнением и гибелью знаменитой балерины, трудовыми свершениями и громкими судебными процессами... Это был год, когда по городу маршировали пионеры и "спартаковцы", когда лыжников можно было встретить даже на главных улицах города, а апельсины стали любимым лакомством горожан. Книга известного историка и журналиста основана на документальном материале. Перед читателем предстанет пестрая и разнообразная картина жизни Петрограда-Ленинграда в одном отдельно взятом году.</t>
        </is>
      </c>
      <c r="S4663" s="26">
        <f>HYPERLINK("http://www.cnpol.ru/covers/4554.jpg","фото на сайте")</f>
        <v/>
      </c>
    </row>
    <row r="4664" ht="50.1" customHeight="1" s="3">
      <c r="A4664" s="23" t="n"/>
      <c r="B4664" s="24" t="inlineStr">
        <is>
          <t>10359</t>
        </is>
      </c>
      <c r="C4664" s="23" t="inlineStr">
        <is>
          <t>СПБ 300</t>
        </is>
      </c>
      <c r="D4664" s="23" t="inlineStr">
        <is>
          <t>Дубин</t>
        </is>
      </c>
      <c r="E4664" s="23" t="inlineStr">
        <is>
          <t>Улица Рылеева</t>
        </is>
      </c>
      <c r="F4664" s="23" t="inlineStr">
        <is>
          <t>        </t>
        </is>
      </c>
      <c r="G4664" s="23" t="n">
        <v>822</v>
      </c>
      <c r="H4664" s="23" t="n">
        <v>10</v>
      </c>
      <c r="I4664" s="23" t="n">
        <v>14</v>
      </c>
      <c r="J4664" s="23" t="inlineStr">
        <is>
          <t>978-5-9524-3555-1</t>
        </is>
      </c>
      <c r="K4664" s="23" t="inlineStr">
        <is>
          <t>84x108 1/32</t>
        </is>
      </c>
      <c r="L4664" s="23" t="inlineStr">
        <is>
          <t>тв</t>
        </is>
      </c>
      <c r="M4664" s="23" t="n">
        <v>302</v>
      </c>
      <c r="N4664" s="23" t="n">
        <v>2008</v>
      </c>
      <c r="O4664" s="23" t="n">
        <v>376</v>
      </c>
      <c r="P4664" s="23" t="n"/>
      <c r="Q4664" s="23" t="n"/>
      <c r="R4664" s="25" t="n"/>
      <c r="S4664" s="26">
        <f>HYPERLINK("http://www.cnpol.ru/covers/10359.jpg","фото на сайте")</f>
        <v/>
      </c>
    </row>
    <row r="4665" ht="50.1" customHeight="1" s="3">
      <c r="A4665" s="23" t="inlineStr">
        <is>
          <t>Н</t>
        </is>
      </c>
      <c r="B4665" s="24" t="inlineStr">
        <is>
          <t>21415</t>
        </is>
      </c>
      <c r="C4665" s="23" t="inlineStr">
        <is>
          <t>СПБ ГОЛОСА</t>
        </is>
      </c>
      <c r="D4665" s="23" t="inlineStr">
        <is>
          <t>Кубрякова Е.В.</t>
        </is>
      </c>
      <c r="E4665" s="23" t="inlineStr">
        <is>
          <t>Голоса из окон. Путешествие в историю Петербурга. Дома как свидетели судеб</t>
        </is>
      </c>
      <c r="F4665" s="23" t="inlineStr">
        <is>
          <t>        </t>
        </is>
      </c>
      <c r="G4665" s="27" t="n">
        <v>1116</v>
      </c>
      <c r="H4665" s="23" t="n">
        <v>10</v>
      </c>
      <c r="I4665" s="23" t="n">
        <v>8</v>
      </c>
      <c r="J4665" s="23" t="inlineStr">
        <is>
          <t>978-5-227-10840-1</t>
        </is>
      </c>
      <c r="K4665" s="23" t="inlineStr">
        <is>
          <t>70x100 1/16</t>
        </is>
      </c>
      <c r="L4665" s="23" t="inlineStr">
        <is>
          <t>тв</t>
        </is>
      </c>
      <c r="M4665" s="23" t="n">
        <v>335</v>
      </c>
      <c r="N4665" s="23" t="n">
        <v>2024</v>
      </c>
      <c r="O4665" s="23" t="n">
        <v>152</v>
      </c>
      <c r="P4665" s="23" t="n"/>
      <c r="Q4665" s="23" t="n"/>
      <c r="R4665" s="25" t="inlineStr">
        <is>
          <t>Стиль изложения информации, выбранный автором, уникален: сначала берется цитата из известного произведения или мемуаров, и Екатерина дополняет его своими измышлениями и информацией из надежных источников, приобщая таким образом своих читателей к истории родного города._x000D_
Давайте заглянем в окна, в которые всматривался одержимый азартом герой пушкинской «Пиковой дамы» Германн, узнаем, куда торопился домой Достоевский, чтобы, попросив у хозяйки свечу, запереться в своей комнате и продолжить творить. Прочтем, куда для знакомства с родителями молодой  поэт Дмитрий Мережковский привел свою юную жену Зинаиду Гиппиус…_x000D_
А задумывались ли вы, идя по городу привычным маршрутом, что где-то здесь, в параллельной петербургской реальности, проходит другая жизнь — истории людей, которые в этих самых стенах любили, страдали, чувствовали? _x000D_
Ступеньки, по которым вы поднимаетесь, слышат стук стертых каблуков Ахматовой, а за тот же камень, о который вы споткнулись сейчас, спотыкается убегающий от своих убийц Распутин... _x000D_
Стены старых петербургских домов сохранили образы своих героев, реальных и вымышленных, а мы, спустя десятки и сотни лет, стоит лишь потянуть за зыбкую нить времени, сможем услышать их голоса, доносящиеся из распахнутых окон.</t>
        </is>
      </c>
      <c r="S4665" s="26">
        <f>HYPERLINK("http://www.cnpol.ru/covers/21415.jpg","фото на сайте")</f>
        <v/>
      </c>
    </row>
    <row r="4666" ht="50.1" customHeight="1" s="3">
      <c r="A4666" s="23" t="n"/>
      <c r="B4666" s="24" t="inlineStr">
        <is>
          <t>20620</t>
        </is>
      </c>
      <c r="C4666" s="23" t="inlineStr">
        <is>
          <t>СПБ ГОЛОСА</t>
        </is>
      </c>
      <c r="D4666" s="23" t="inlineStr">
        <is>
          <t>Кубрякова Е.В.</t>
        </is>
      </c>
      <c r="E4666" s="23" t="inlineStr">
        <is>
          <t>Зазеркалье Петербурга. Путешествие в историю</t>
        </is>
      </c>
      <c r="F4666" s="23" t="inlineStr">
        <is>
          <t>        </t>
        </is>
      </c>
      <c r="G4666" s="23" t="n">
        <v>402</v>
      </c>
      <c r="H4666" s="23" t="n">
        <v>10</v>
      </c>
      <c r="I4666" s="23" t="n">
        <v>16</v>
      </c>
      <c r="J4666" s="23" t="inlineStr">
        <is>
          <t>978-5-9524-5514-6</t>
        </is>
      </c>
      <c r="K4666" s="23" t="inlineStr">
        <is>
          <t>75х108 1/32</t>
        </is>
      </c>
      <c r="L4666" s="23" t="inlineStr">
        <is>
          <t>Интегр</t>
        </is>
      </c>
      <c r="M4666" s="23" t="n">
        <v>256</v>
      </c>
      <c r="N4666" s="23" t="n">
        <v>2023</v>
      </c>
      <c r="O4666" s="23" t="n">
        <v>204</v>
      </c>
      <c r="P4666" s="23" t="n"/>
      <c r="Q4666" s="23" t="n"/>
      <c r="R4666" s="25" t="n"/>
      <c r="S4666" s="26">
        <f>HYPERLINK("http://www.cnpol.ru/covers/20620.jpg","фото на сайте")</f>
        <v/>
      </c>
    </row>
    <row r="4667" ht="50.1" customHeight="1" s="3">
      <c r="A4667" s="23" t="n"/>
      <c r="B4667" s="24" t="inlineStr">
        <is>
          <t>13935</t>
        </is>
      </c>
      <c r="C4667" s="23" t="inlineStr">
        <is>
          <t>СПБ ДЕТЯМ</t>
        </is>
      </c>
      <c r="D4667" s="23" t="inlineStr">
        <is>
          <t>Векслер А.Ф.</t>
        </is>
      </c>
      <c r="E4667" s="23" t="inlineStr">
        <is>
          <t>22 площади Санкт Петербурга</t>
        </is>
      </c>
      <c r="F4667" s="23" t="inlineStr">
        <is>
          <t>        </t>
        </is>
      </c>
      <c r="G4667" s="23" t="n">
        <v>330</v>
      </c>
      <c r="H4667" s="23" t="n">
        <v>10</v>
      </c>
      <c r="I4667" s="23" t="n">
        <v>24</v>
      </c>
      <c r="J4667" s="23" t="inlineStr">
        <is>
          <t>978-5-227-03885-2</t>
        </is>
      </c>
      <c r="K4667" s="23" t="inlineStr">
        <is>
          <t>84x108 1/32 (обл)</t>
        </is>
      </c>
      <c r="L4667" s="23" t="inlineStr">
        <is>
          <t>мяг</t>
        </is>
      </c>
      <c r="M4667" s="23" t="n">
        <v>80</v>
      </c>
      <c r="N4667" s="23" t="n">
        <v>2012</v>
      </c>
      <c r="O4667" s="23" t="n">
        <v>170</v>
      </c>
      <c r="P4667" s="23" t="n"/>
      <c r="Q4667" s="23" t="n"/>
      <c r="R4667" s="25" t="inlineStr">
        <is>
          <t>Четвертая книга серии посвящена площадям Петербурга. Сколько всего в городе площадей? Какую роль они играют в организации городского пространства? Откуда появляются их названия и какие с ними случаются метаморфозы? Об этом, а также об истории нескольких небольших площадей, расположенных в разных районах города, вы узнаете из новой книги Аркадия Векслера. Читайте!</t>
        </is>
      </c>
      <c r="S4667" s="26">
        <f>HYPERLINK("http://www.cnpol.ru/covers/13935.jpg","фото на сайте")</f>
        <v/>
      </c>
    </row>
    <row r="4668" ht="50.1" customHeight="1" s="3">
      <c r="A4668" s="23" t="n"/>
      <c r="B4668" s="24" t="inlineStr">
        <is>
          <t>14622</t>
        </is>
      </c>
      <c r="C4668" s="23" t="inlineStr">
        <is>
          <t>СПБ ДЕТЯМ</t>
        </is>
      </c>
      <c r="D4668" s="23" t="inlineStr">
        <is>
          <t>Денисенко Е.</t>
        </is>
      </c>
      <c r="E4668" s="23" t="inlineStr">
        <is>
          <t>Александровский парк. Увлекательная экскурсия по Северной столице.</t>
        </is>
      </c>
      <c r="F4668" s="23" t="inlineStr">
        <is>
          <t>        </t>
        </is>
      </c>
      <c r="G4668" s="23" t="n">
        <v>330</v>
      </c>
      <c r="H4668" s="23" t="n">
        <v>10</v>
      </c>
      <c r="I4668" s="23" t="n">
        <v>24</v>
      </c>
      <c r="J4668" s="23" t="inlineStr">
        <is>
          <t>978-5-227-04572-0</t>
        </is>
      </c>
      <c r="K4668" s="23" t="inlineStr">
        <is>
          <t>84x108 1/16</t>
        </is>
      </c>
      <c r="L4668" s="23" t="inlineStr">
        <is>
          <t>мяг</t>
        </is>
      </c>
      <c r="M4668" s="23" t="n">
        <v>71</v>
      </c>
      <c r="N4668" s="23" t="n">
        <v>2013</v>
      </c>
      <c r="O4668" s="23" t="n">
        <v>115</v>
      </c>
      <c r="P4668" s="23" t="n"/>
      <c r="Q4668" s="23" t="n"/>
      <c r="R4668" s="25" t="inlineStr">
        <is>
          <t>Эта книга является логическим продолжением опубликованной ранее работы И.В. Зимина «Александровский дворец в Царском Селе». Обращение к истории Александровского парка с его многочисленными сооружениями и павильонами обусловлено тем, что парк и дворец составляют единое пространство загородной императорской резиденции и изучать историю одного вне истории другого ­неправомерно. История Александровского парка имеет более глубокие корни в прошлом, нежели история Александровского дворца. Все императоры и императрицы, с начала XVIII в. жившие в Царском Селе, с любовью и усердием обустраивали свои резиденции и парки. В результате на территории Александровского парка возник причудливый сплав архитектурных фантазий и предпочтений, в которых проявился не только талант архитекторов, но и отблеск личных увлечений российских монархов…</t>
        </is>
      </c>
      <c r="S4668" s="26">
        <f>HYPERLINK("http://www.cnpol.ru/covers/14622.jpg","фото на сайте")</f>
        <v/>
      </c>
    </row>
    <row r="4669" ht="50.1" customHeight="1" s="3">
      <c r="A4669" s="23" t="n"/>
      <c r="B4669" s="24" t="inlineStr">
        <is>
          <t>13393</t>
        </is>
      </c>
      <c r="C4669" s="23" t="inlineStr">
        <is>
          <t>СПБ ДЕТЯМ</t>
        </is>
      </c>
      <c r="D4669" s="23" t="inlineStr">
        <is>
          <t>Векслер А.Ф.</t>
        </is>
      </c>
      <c r="E4669" s="23" t="inlineStr">
        <is>
          <t>Александровский сад. Увлекательная экскурсия по Северной столице</t>
        </is>
      </c>
      <c r="F4669" s="23" t="inlineStr">
        <is>
          <t>        </t>
        </is>
      </c>
      <c r="G4669" s="23" t="n">
        <v>330</v>
      </c>
      <c r="H4669" s="23" t="n">
        <v>10</v>
      </c>
      <c r="I4669" s="23" t="n">
        <v>35</v>
      </c>
      <c r="J4669" s="23" t="inlineStr">
        <is>
          <t>978-5-227-03375-8</t>
        </is>
      </c>
      <c r="K4669" s="23" t="inlineStr">
        <is>
          <t>84x108 1/16</t>
        </is>
      </c>
      <c r="L4669" s="23" t="inlineStr">
        <is>
          <t>мяг</t>
        </is>
      </c>
      <c r="M4669" s="23" t="n">
        <v>39</v>
      </c>
      <c r="N4669" s="23" t="n">
        <v>2012</v>
      </c>
      <c r="O4669" s="23" t="n">
        <v>110</v>
      </c>
      <c r="P4669" s="23" t="n"/>
      <c r="Q4669" s="23" t="n"/>
      <c r="R4669" s="25" t="inlineStr">
        <is>
          <t>В восьмой книге серии мы с вами совершим прогулку по Александровскому парку, причём путешествовать будем не только в пространстве, но и во времени, ведь облик этого старинного парка изменялся постоянно, меняется он и сейчас. Сюда стоит приехать, и не раз, потому что он всегда разный — в весенней нежной зелени, в летнем цветочном уборе, в буйстве осенних красок, в морозном инее, когда сквозь причудливое переплетение ветвей лучше видны окружающие парк знаменитые на весь мир памятники архитектуры и рядовая застройка Петербурга. Города, который без Александровского парка уже нельзя себе представить.</t>
        </is>
      </c>
      <c r="S4669" s="26">
        <f>HYPERLINK("http://www.cnpol.ru/covers/13393.jpg","фото на сайте")</f>
        <v/>
      </c>
    </row>
    <row r="4670" ht="50.1" customHeight="1" s="3">
      <c r="A4670" s="23" t="n"/>
      <c r="B4670" s="24" t="inlineStr">
        <is>
          <t>13414</t>
        </is>
      </c>
      <c r="C4670" s="23" t="inlineStr">
        <is>
          <t>СПБ ДЕТЯМ</t>
        </is>
      </c>
      <c r="D4670" s="23" t="inlineStr">
        <is>
          <t>Лелина</t>
        </is>
      </c>
      <c r="E4670" s="23" t="inlineStr">
        <is>
          <t>Петропавловская крепость</t>
        </is>
      </c>
      <c r="F4670" s="23" t="inlineStr">
        <is>
          <t>        </t>
        </is>
      </c>
      <c r="G4670" s="23" t="n">
        <v>330</v>
      </c>
      <c r="H4670" s="23" t="n">
        <v>10</v>
      </c>
      <c r="I4670" s="23" t="n">
        <v>20</v>
      </c>
      <c r="J4670" s="23" t="inlineStr">
        <is>
          <t>978-5-227-03388-8</t>
        </is>
      </c>
      <c r="K4670" s="23" t="inlineStr">
        <is>
          <t>84x108 1/32 (обл)</t>
        </is>
      </c>
      <c r="L4670" s="23" t="inlineStr">
        <is>
          <t>мяг</t>
        </is>
      </c>
      <c r="M4670" s="23" t="n">
        <v>77</v>
      </c>
      <c r="N4670" s="23" t="n">
        <v>2012</v>
      </c>
      <c r="O4670" s="23" t="n">
        <v>160</v>
      </c>
      <c r="P4670" s="23" t="n"/>
      <c r="Q4670" s="23" t="n"/>
      <c r="R4670" s="25" t="n"/>
      <c r="S4670" s="26">
        <f>HYPERLINK("http://www.cnpol.ru/covers/13414.jpg","фото на сайте")</f>
        <v/>
      </c>
    </row>
    <row r="4671" ht="50.1" customHeight="1" s="3">
      <c r="A4671" s="23" t="n"/>
      <c r="B4671" s="24" t="inlineStr">
        <is>
          <t>14422</t>
        </is>
      </c>
      <c r="C4671" s="23" t="inlineStr">
        <is>
          <t>СПБ ДЕТЯМ</t>
        </is>
      </c>
      <c r="D4671" s="23" t="inlineStr">
        <is>
          <t>Ерофеев А.</t>
        </is>
      </c>
      <c r="E4671" s="23" t="inlineStr">
        <is>
          <t>Триумфальные арки</t>
        </is>
      </c>
      <c r="F4671" s="23" t="inlineStr">
        <is>
          <t>        </t>
        </is>
      </c>
      <c r="G4671" s="23" t="n">
        <v>330</v>
      </c>
      <c r="H4671" s="23" t="n">
        <v>10</v>
      </c>
      <c r="I4671" s="23" t="n">
        <v>30</v>
      </c>
      <c r="J4671" s="23" t="inlineStr">
        <is>
          <t>978-5-227-04378-8</t>
        </is>
      </c>
      <c r="K4671" s="23" t="inlineStr">
        <is>
          <t>84x108 1/32 (обл)</t>
        </is>
      </c>
      <c r="L4671" s="23" t="inlineStr">
        <is>
          <t>мяг</t>
        </is>
      </c>
      <c r="M4671" s="23" t="n">
        <v>77</v>
      </c>
      <c r="N4671" s="23" t="n">
        <v>2013</v>
      </c>
      <c r="O4671" s="23" t="n">
        <v>168</v>
      </c>
      <c r="P4671" s="23" t="n"/>
      <c r="Q4671" s="23" t="n"/>
      <c r="R4671" s="25" t="n"/>
      <c r="S4671" s="26">
        <f>HYPERLINK("http://www.cnpol.ru/covers/14422.jpg","фото на сайте")</f>
        <v/>
      </c>
    </row>
    <row r="4672" ht="50.1" customHeight="1" s="3">
      <c r="A4672" s="23" t="n"/>
      <c r="B4672" s="24" t="inlineStr">
        <is>
          <t>18617</t>
        </is>
      </c>
      <c r="C4672" s="23" t="inlineStr">
        <is>
          <t>СПБ ЦИ</t>
        </is>
      </c>
      <c r="D4672" s="23" t="inlineStr">
        <is>
          <t>Домбровский А.В.</t>
        </is>
      </c>
      <c r="E4672" s="23" t="inlineStr">
        <is>
          <t>Дворцовая и Сенатская площади, Адмиралтейство, Сенат, Синод. Прогулки по Петербургу</t>
        </is>
      </c>
      <c r="F4672" s="23" t="inlineStr">
        <is>
          <t>        </t>
        </is>
      </c>
      <c r="G4672" s="27" t="n">
        <v>1165</v>
      </c>
      <c r="H4672" s="23" t="n">
        <v>10</v>
      </c>
      <c r="I4672" s="23" t="n">
        <v>10</v>
      </c>
      <c r="J4672" s="23" t="inlineStr">
        <is>
          <t>978-5-227-08483-5</t>
        </is>
      </c>
      <c r="K4672" s="23" t="inlineStr">
        <is>
          <t>84x108 1/32</t>
        </is>
      </c>
      <c r="L4672" s="23" t="inlineStr">
        <is>
          <t>тв</t>
        </is>
      </c>
      <c r="M4672" s="23" t="n">
        <v>512</v>
      </c>
      <c r="N4672" s="23" t="n">
        <v>2019</v>
      </c>
      <c r="O4672" s="23" t="n">
        <v>604</v>
      </c>
      <c r="P4672" s="23" t="n"/>
      <c r="Q4672" s="23" t="n"/>
      <c r="R4672" s="25" t="inlineStr">
        <is>
          <t>Продолжаем серию прогулок по городу на Неве. Итак, вас ждет очередное увлекательное путешествие, во время которого вы посетите Дворцовую площадь, Главный штаб, Штаб Гвардейского корпуса, Адмиралтейство, Александровский сад, Адмиралтейский проспект, Сенатскую площадь, памятник — символ Петербурга «Медный всадник», Сенат, Синод, Адмиралтейскую набережную и Дворцовый мост. Читатели узнают историю создания, развития и сегодняшнего дня города на Неве. Читайте о людях и событиях, архитектурных памятниках и их создателях, изучайте живую историю города и легенды, которыми она обросла…</t>
        </is>
      </c>
      <c r="S4672" s="26">
        <f>HYPERLINK("http://www.cnpol.ru/covers/18617.jpg","фото на сайте")</f>
        <v/>
      </c>
    </row>
    <row r="4673" ht="50.1" customHeight="1" s="3">
      <c r="A4673" s="23" t="n"/>
      <c r="B4673" s="24" t="inlineStr">
        <is>
          <t>18459</t>
        </is>
      </c>
      <c r="C4673" s="23" t="inlineStr">
        <is>
          <t>СПБ ЦИ</t>
        </is>
      </c>
      <c r="D4673" s="23" t="inlineStr">
        <is>
          <t>Домбровский А.В.</t>
        </is>
      </c>
      <c r="E4673" s="23" t="inlineStr">
        <is>
          <t>Зимний дворец, Дворцовая набережная и Эрмитаж. Прогулки по Петербургу</t>
        </is>
      </c>
      <c r="F4673" s="23" t="inlineStr">
        <is>
          <t>        </t>
        </is>
      </c>
      <c r="G4673" s="23" t="n">
        <v>888</v>
      </c>
      <c r="H4673" s="23" t="n">
        <v>10</v>
      </c>
      <c r="I4673" s="23" t="n">
        <v>10</v>
      </c>
      <c r="J4673" s="23" t="inlineStr">
        <is>
          <t>978-5-227-08295-4</t>
        </is>
      </c>
      <c r="K4673" s="23" t="inlineStr">
        <is>
          <t>84x108 1/32</t>
        </is>
      </c>
      <c r="L4673" s="23" t="inlineStr">
        <is>
          <t>тв</t>
        </is>
      </c>
      <c r="M4673" s="23" t="n">
        <v>384</v>
      </c>
      <c r="N4673" s="23" t="n">
        <v>2019</v>
      </c>
      <c r="O4673" s="23" t="n">
        <v>406</v>
      </c>
      <c r="P4673" s="23" t="n"/>
      <c r="Q4673" s="23" t="n"/>
      <c r="R4673" s="25" t="inlineStr">
        <is>
          <t>Мы открываем новую серию изданий о Санкт-Петербурге под общим названием «Центр Империи». Книги построены в форме рассказов-прогулок по главным достопримечательностям Северной столицы. В этих рассказах история создания, развития и сегодняшнего дня города на Неве. Нас ждут люди и события, архитектурные памятники и их создатели, живая история города и легенды, которыми она обросла…_x000D_
Итак, прогулка первая: Зимний дворец, Дворцовая набережная, Эрмитаж, Эрмитажный театр, Зимняя канавка, Эрмитажный мост…</t>
        </is>
      </c>
      <c r="S4673" s="26">
        <f>HYPERLINK("http://www.cnpol.ru/covers/18459.jpg","фото на сайте")</f>
        <v/>
      </c>
    </row>
    <row r="4674" ht="50.1" customHeight="1" s="3">
      <c r="A4674" s="23" t="n"/>
      <c r="B4674" s="24" t="inlineStr">
        <is>
          <t>19165</t>
        </is>
      </c>
      <c r="C4674" s="23" t="inlineStr">
        <is>
          <t>СПБ ЦИ</t>
        </is>
      </c>
      <c r="D4674" s="23" t="inlineStr">
        <is>
          <t>Домбровский А.В.</t>
        </is>
      </c>
      <c r="E4674" s="23" t="inlineStr">
        <is>
          <t>Невский проспект. Главная улица города</t>
        </is>
      </c>
      <c r="F4674" s="23" t="inlineStr">
        <is>
          <t>        </t>
        </is>
      </c>
      <c r="G4674" s="27" t="n">
        <v>1773</v>
      </c>
      <c r="H4674" s="23" t="n">
        <v>10</v>
      </c>
      <c r="I4674" s="23" t="n">
        <v>3</v>
      </c>
      <c r="J4674" s="23" t="inlineStr">
        <is>
          <t>978-5-227-08842-0</t>
        </is>
      </c>
      <c r="K4674" s="23" t="inlineStr">
        <is>
          <t>70x100 1/16</t>
        </is>
      </c>
      <c r="L4674" s="23" t="inlineStr">
        <is>
          <t>тв</t>
        </is>
      </c>
      <c r="M4674" s="23" t="n">
        <v>832</v>
      </c>
      <c r="N4674" s="23" t="n">
        <v>2020</v>
      </c>
      <c r="O4674" s="23" t="n">
        <v>1126</v>
      </c>
      <c r="P4674" s="23" t="n"/>
      <c r="Q4674" s="23" t="n"/>
      <c r="R4674" s="25" t="n"/>
      <c r="S4674" s="26">
        <f>HYPERLINK("http://www.cnpol.ru/covers/19165.jpg","фото на сайте")</f>
        <v/>
      </c>
    </row>
    <row r="4675" ht="50.1" customHeight="1" s="3">
      <c r="A4675" s="23" t="inlineStr">
        <is>
          <t>Д</t>
        </is>
      </c>
      <c r="B4675" s="24" t="inlineStr">
        <is>
          <t>21970</t>
        </is>
      </c>
      <c r="C4675" s="23" t="inlineStr">
        <is>
          <t>СПОРТ</t>
        </is>
      </c>
      <c r="D4675" s="23" t="inlineStr">
        <is>
          <t>Бизли Р.</t>
        </is>
      </c>
      <c r="E4675" s="23" t="inlineStr">
        <is>
          <t>Жозе Моуринью с близкого расстояния</t>
        </is>
      </c>
      <c r="F4675" s="23" t="inlineStr">
        <is>
          <t>        </t>
        </is>
      </c>
      <c r="G4675" s="27" t="n">
        <v>1152</v>
      </c>
      <c r="H4675" s="23" t="n">
        <v>10</v>
      </c>
      <c r="I4675" s="23" t="n">
        <v>6</v>
      </c>
      <c r="J4675" s="23" t="inlineStr">
        <is>
          <t>978-5-9524-6603-6</t>
        </is>
      </c>
      <c r="K4675" s="23" t="inlineStr">
        <is>
          <t>60x90 1/16</t>
        </is>
      </c>
      <c r="L4675" s="23" t="inlineStr">
        <is>
          <t>тв</t>
        </is>
      </c>
      <c r="M4675" s="23" t="n">
        <v>319</v>
      </c>
      <c r="N4675" s="23" t="n">
        <v>2025</v>
      </c>
      <c r="O4675" s="23" t="n">
        <v>285</v>
      </c>
      <c r="P4675" s="23" t="n"/>
      <c r="Q4675" s="23" t="n"/>
      <c r="R4675" s="25" t="inlineStr">
        <is>
          <t>Жозе Моуринью — один из самых харизматичных и противоречивых профессионалов в современном футболе, с именем которого связаны не только многочисленные победы, но и многочисленные скандалы. Автор книги — главный футбольный обозреватель «Ньюс оф зе уорлд» и главный спортивный корреспондент «Сан» — друг  Моуринью и его биограф. Он представляет читателю Жозе настоящего — такого, каким его знают лишь немногие близкие друзья и родные. Р. Бизли также позволяет заглянуть за кулисы самых знаменитых клубов, знакомит с подробностями непростых отношений  Моуринью с Романом Абрамовичем, Рафаэлем Бенитесом и тренером «Арсенала» Арсеном Венгером и объясняет, почему легендарный футбольный тренер всегда ставит семью и друзей выше футбола…</t>
        </is>
      </c>
      <c r="S4675" s="26">
        <f>HYPERLINK("http://www.cnpol.ru/covers/21970.jpg","фото на сайте")</f>
        <v/>
      </c>
    </row>
    <row r="4676" ht="50.1" customHeight="1" s="3">
      <c r="A4676" s="23" t="n"/>
      <c r="B4676" s="24" t="inlineStr">
        <is>
          <t>18116</t>
        </is>
      </c>
      <c r="C4676" s="23" t="inlineStr">
        <is>
          <t>СПОРТ</t>
        </is>
      </c>
      <c r="D4676" s="23" t="inlineStr">
        <is>
          <t>Старостин Н.П</t>
        </is>
      </c>
      <c r="E4676" s="23" t="inlineStr">
        <is>
          <t>Звезды большого футбола</t>
        </is>
      </c>
      <c r="F4676" s="23" t="inlineStr">
        <is>
          <t>        </t>
        </is>
      </c>
      <c r="G4676" s="23" t="n">
        <v>615</v>
      </c>
      <c r="H4676" s="23" t="n">
        <v>10</v>
      </c>
      <c r="I4676" s="23" t="n">
        <v>14</v>
      </c>
      <c r="J4676" s="23" t="inlineStr">
        <is>
          <t>978-5-227-07843-8</t>
        </is>
      </c>
      <c r="K4676" s="23" t="inlineStr">
        <is>
          <t>84x108 1/32</t>
        </is>
      </c>
      <c r="L4676" s="23" t="inlineStr">
        <is>
          <t>тв</t>
        </is>
      </c>
      <c r="M4676" s="23" t="n">
        <v>320</v>
      </c>
      <c r="N4676" s="23" t="n">
        <v>2018</v>
      </c>
      <c r="O4676" s="23" t="n">
        <v>274</v>
      </c>
      <c r="P4676" s="23" t="n"/>
      <c r="Q4676" s="23" t="n"/>
      <c r="R4676" s="25" t="inlineStr">
        <is>
          <t>Большой футбол совсем не так прост, как иногда кажется восторженным болельщикам. У него свои законы, своя история, национальные традиции и, наконец, творческий опыт, без ознакомления с которым не всегда понятно настоящее и не столь ясно будущее отечественного футбола. Н.П. Старостин, основатель футбольного клуба «Спартак», с невероятной точностью отметил практически все тренды только начинавшего тогда внедряться современного футбола. А соображения, высказанные о неблагополучном положении дел в футболе, очень актуальны и сейчас, ведь практически ничего не изменилось.</t>
        </is>
      </c>
      <c r="S4676" s="26">
        <f>HYPERLINK("http://www.cnpol.ru/covers/18116.jpg","фото на сайте")</f>
        <v/>
      </c>
    </row>
    <row r="4677" ht="50.1" customHeight="1" s="3">
      <c r="A4677" s="23" t="n"/>
      <c r="B4677" s="24" t="inlineStr">
        <is>
          <t>17483</t>
        </is>
      </c>
      <c r="C4677" s="23" t="inlineStr">
        <is>
          <t>СПОРТ</t>
        </is>
      </c>
      <c r="D4677" s="23" t="inlineStr">
        <is>
          <t>Артамонов В.И.</t>
        </is>
      </c>
      <c r="E4677" s="23" t="inlineStr">
        <is>
          <t>Инга Артамонова. Смерть на взлете. Яркая жизнь и трагическая гибель четырехкартной чемпионки мира</t>
        </is>
      </c>
      <c r="F4677" s="23" t="inlineStr">
        <is>
          <t>        </t>
        </is>
      </c>
      <c r="G4677" s="23" t="n">
        <v>593</v>
      </c>
      <c r="H4677" s="23" t="n">
        <v>10</v>
      </c>
      <c r="I4677" s="23" t="n">
        <v>12</v>
      </c>
      <c r="J4677" s="23" t="inlineStr">
        <is>
          <t>978-5-227-07481-2</t>
        </is>
      </c>
      <c r="K4677" s="23" t="inlineStr">
        <is>
          <t>84x108 1/32</t>
        </is>
      </c>
      <c r="L4677" s="23" t="inlineStr">
        <is>
          <t>тв</t>
        </is>
      </c>
      <c r="M4677" s="23" t="n">
        <v>352</v>
      </c>
      <c r="N4677" s="23" t="n">
        <v>2017</v>
      </c>
      <c r="O4677" s="23" t="n">
        <v>348</v>
      </c>
      <c r="P4677" s="23" t="n"/>
      <c r="Q4677" s="23" t="n"/>
      <c r="R4677" s="25" t="inlineStr">
        <is>
          <t>История любви очень разных людей, реальные исторические факты, разработки учёных, воспоминания о войне, блокаде нераз­рывно переплелись в новом произведении автора в одно ­неразделимое целое…</t>
        </is>
      </c>
      <c r="S4677" s="26">
        <f>HYPERLINK("http://www.cnpol.ru/covers/17483.jpg","фото на сайте")</f>
        <v/>
      </c>
    </row>
    <row r="4678" ht="50.1" customHeight="1" s="3">
      <c r="A4678" s="23" t="n"/>
      <c r="B4678" s="24" t="inlineStr">
        <is>
          <t>20813</t>
        </is>
      </c>
      <c r="C4678" s="23" t="inlineStr">
        <is>
          <t>СПОРТ</t>
        </is>
      </c>
      <c r="D4678" s="23" t="inlineStr">
        <is>
          <t>Кайоли Л.</t>
        </is>
      </c>
      <c r="E4678" s="23" t="inlineStr">
        <is>
          <t>Месси. Исключительная биография. Обновленное и дополненное издание</t>
        </is>
      </c>
      <c r="F4678" s="23" t="inlineStr">
        <is>
          <t>        </t>
        </is>
      </c>
      <c r="G4678" s="23" t="n">
        <v>806</v>
      </c>
      <c r="H4678" s="23" t="n">
        <v>10</v>
      </c>
      <c r="I4678" s="23" t="n">
        <v>8</v>
      </c>
      <c r="J4678" s="23" t="inlineStr">
        <is>
          <t>978-5-227-10465-6</t>
        </is>
      </c>
      <c r="K4678" s="23" t="inlineStr">
        <is>
          <t>84x108 1/32</t>
        </is>
      </c>
      <c r="L4678" s="23" t="inlineStr">
        <is>
          <t>тв</t>
        </is>
      </c>
      <c r="M4678" s="23" t="n">
        <v>495</v>
      </c>
      <c r="N4678" s="23" t="n">
        <v>2023</v>
      </c>
      <c r="O4678" s="23" t="n">
        <v>485</v>
      </c>
      <c r="P4678" s="23" t="n"/>
      <c r="Q4678" s="23" t="n"/>
      <c r="R4678" s="25" t="inlineStr">
        <is>
          <t>Известный спортивный журналист Лука Кайоли посвятил свою книгу Лионелю Месси, одному из самых почитаемых футболистов в истории, семикратному обладателю «Золотого мяча» и шестикратному — «Золотой бутсы», чемпиону мира и Олимпийских игр. В книге много интересных подробностей из личной жизни и футбольной карьеры мировой легенды. Новое, значительно доработанное издание автор дополнил самыми яркими моментами последних десяти лет спортивной биографии невероятно результативного, хладнокровного и безошибочно последовательного футболиста.</t>
        </is>
      </c>
      <c r="S4678" s="26">
        <f>HYPERLINK("http://www.cnpol.ru/covers/20813.jpg","фото на сайте")</f>
        <v/>
      </c>
    </row>
    <row r="4679" ht="50.1" customHeight="1" s="3">
      <c r="A4679" s="23" t="n"/>
      <c r="B4679" s="24" t="inlineStr">
        <is>
          <t>17370</t>
        </is>
      </c>
      <c r="C4679" s="23" t="inlineStr">
        <is>
          <t>СПОРТ</t>
        </is>
      </c>
      <c r="D4679" s="23" t="inlineStr">
        <is>
          <t>Раззаков Ф.И</t>
        </is>
      </c>
      <c r="E4679" s="23" t="inlineStr">
        <is>
          <t>Футбол, который мы потеряли. Непродажные звезды эпохи СССР</t>
        </is>
      </c>
      <c r="F4679" s="23" t="inlineStr">
        <is>
          <t>        </t>
        </is>
      </c>
      <c r="G4679" s="23" t="n">
        <v>615</v>
      </c>
      <c r="H4679" s="23" t="n">
        <v>10</v>
      </c>
      <c r="I4679" s="23" t="n">
        <v>10</v>
      </c>
      <c r="J4679" s="23" t="inlineStr">
        <is>
          <t>978-5-227-06639-8</t>
        </is>
      </c>
      <c r="K4679" s="23" t="inlineStr">
        <is>
          <t>84x108 1/32</t>
        </is>
      </c>
      <c r="L4679" s="23" t="inlineStr">
        <is>
          <t>тв</t>
        </is>
      </c>
      <c r="M4679" s="23" t="n">
        <v>416</v>
      </c>
      <c r="N4679" s="23" t="n">
        <v>2017</v>
      </c>
      <c r="O4679" s="23" t="n">
        <v>310</v>
      </c>
      <c r="P4679" s="23" t="n"/>
      <c r="Q4679" s="23" t="n"/>
      <c r="R4679" s="25" t="n"/>
      <c r="S4679" s="26">
        <f>HYPERLINK("http://www.cnpol.ru/covers/17370.jpg","фото на сайте")</f>
        <v/>
      </c>
    </row>
    <row r="4680" ht="50.1" customHeight="1" s="3">
      <c r="A4680" s="23" t="n"/>
      <c r="B4680" s="24" t="inlineStr">
        <is>
          <t>12441</t>
        </is>
      </c>
      <c r="C4680" s="23" t="inlineStr">
        <is>
          <t>СР+</t>
        </is>
      </c>
      <c r="D4680" s="23" t="inlineStr">
        <is>
          <t>Баррет Л.</t>
        </is>
      </c>
      <c r="E4680" s="23" t="inlineStr">
        <is>
          <t>Ангел для дочери</t>
        </is>
      </c>
      <c r="F4680" s="23" t="inlineStr">
        <is>
          <t>        </t>
        </is>
      </c>
      <c r="G4680" s="23" t="n">
        <v>97</v>
      </c>
      <c r="H4680" s="23" t="n">
        <v>10</v>
      </c>
      <c r="I4680" s="23" t="n">
        <v>36</v>
      </c>
      <c r="J4680" s="23" t="inlineStr">
        <is>
          <t>978-5-227-02555-5</t>
        </is>
      </c>
      <c r="K4680" s="23" t="inlineStr">
        <is>
          <t>70x90 1/32</t>
        </is>
      </c>
      <c r="L4680" s="23" t="inlineStr">
        <is>
          <t>мяг</t>
        </is>
      </c>
      <c r="M4680" s="23" t="n">
        <v>254</v>
      </c>
      <c r="N4680" s="23" t="n">
        <v>2011</v>
      </c>
      <c r="O4680" s="23" t="n">
        <v>106</v>
      </c>
      <c r="P4680" s="23" t="n"/>
      <c r="Q4680" s="23" t="n"/>
      <c r="R4680" s="25" t="inlineStr">
        <is>
          <t>Каким отцом будет известный футболист? Знаменитый игрок Дэн Дэлито даже не подозревал, что у него есть дочка, пока на пороге его дома не появилась Алексис Браун с племянницей Мишель в прогулочной коляске. Мать девочки погибла сразу после родов, оставив ребенка на попечении сестры. Алексис и Дэну предстоит вместе заботиться о Мишель, но смогут ли они научиться доверять друг другу?</t>
        </is>
      </c>
      <c r="S4680" s="26">
        <f>HYPERLINK("http://www.cnpol.ru/covers/12441.jpg","фото на сайте")</f>
        <v/>
      </c>
    </row>
    <row r="4681" ht="50.1" customHeight="1" s="3">
      <c r="A4681" s="23" t="n"/>
      <c r="B4681" s="24" t="inlineStr">
        <is>
          <t>11937</t>
        </is>
      </c>
      <c r="C4681" s="23" t="inlineStr">
        <is>
          <t>СР+</t>
        </is>
      </c>
      <c r="D4681" s="23" t="inlineStr">
        <is>
          <t>Джейкобс Х.</t>
        </is>
      </c>
      <c r="E4681" s="23" t="inlineStr">
        <is>
          <t>Особенная семья</t>
        </is>
      </c>
      <c r="F4681" s="23" t="inlineStr">
        <is>
          <t>        </t>
        </is>
      </c>
      <c r="G4681" s="23" t="n">
        <v>97</v>
      </c>
      <c r="H4681" s="23" t="n">
        <v>10</v>
      </c>
      <c r="I4681" s="23" t="n">
        <v>32</v>
      </c>
      <c r="J4681" s="23" t="inlineStr">
        <is>
          <t>978-5-227-02160-1</t>
        </is>
      </c>
      <c r="K4681" s="23" t="inlineStr">
        <is>
          <t>70x90 1/32</t>
        </is>
      </c>
      <c r="L4681" s="23" t="inlineStr">
        <is>
          <t>мяг</t>
        </is>
      </c>
      <c r="M4681" s="23" t="n">
        <v>254</v>
      </c>
      <c r="N4681" s="23" t="n">
        <v>2010</v>
      </c>
      <c r="O4681" s="23" t="n">
        <v>112</v>
      </c>
      <c r="P4681" s="23" t="n"/>
      <c r="Q4681" s="23" t="n"/>
      <c r="R4681" s="25" t="n"/>
      <c r="S4681" s="26">
        <f>HYPERLINK("http://www.cnpol.ru/covers/11937.jpg","фото на сайте")</f>
        <v/>
      </c>
    </row>
    <row r="4682" ht="50.1" customHeight="1" s="3">
      <c r="A4682" s="23" t="n"/>
      <c r="B4682" s="24" t="inlineStr">
        <is>
          <t>12015</t>
        </is>
      </c>
      <c r="C4682" s="23" t="inlineStr">
        <is>
          <t>СР+</t>
        </is>
      </c>
      <c r="D4682" s="23" t="inlineStr">
        <is>
          <t>Кармайкл С. Д.</t>
        </is>
      </c>
      <c r="E4682" s="23" t="inlineStr">
        <is>
          <t>Сладостное поражение</t>
        </is>
      </c>
      <c r="F4682" s="23" t="inlineStr">
        <is>
          <t>        </t>
        </is>
      </c>
      <c r="G4682" s="23" t="n">
        <v>97</v>
      </c>
      <c r="H4682" s="23" t="n">
        <v>10</v>
      </c>
      <c r="I4682" s="23" t="n">
        <v>32</v>
      </c>
      <c r="J4682" s="23" t="inlineStr">
        <is>
          <t>978-5-227-02172-4</t>
        </is>
      </c>
      <c r="K4682" s="23" t="inlineStr">
        <is>
          <t>70x90 1/32</t>
        </is>
      </c>
      <c r="L4682" s="23" t="inlineStr">
        <is>
          <t>мяг</t>
        </is>
      </c>
      <c r="M4682" s="23" t="n">
        <v>254</v>
      </c>
      <c r="N4682" s="23" t="n">
        <v>2010</v>
      </c>
      <c r="O4682" s="23" t="n">
        <v>108</v>
      </c>
      <c r="P4682" s="23" t="n"/>
      <c r="Q4682" s="23" t="n"/>
      <c r="R4682" s="25" t="n"/>
      <c r="S4682" s="26">
        <f>HYPERLINK("http://www.cnpol.ru/covers/12015.jpg","фото на сайте")</f>
        <v/>
      </c>
    </row>
    <row r="4683" ht="50.1" customHeight="1" s="3">
      <c r="A4683" s="23" t="n"/>
      <c r="B4683" s="24" t="inlineStr">
        <is>
          <t>20471</t>
        </is>
      </c>
      <c r="C4683" s="23" t="inlineStr">
        <is>
          <t>СРД</t>
        </is>
      </c>
      <c r="D4683" s="23" t="inlineStr">
        <is>
          <t>Горский А.В</t>
        </is>
      </c>
      <c r="E4683" s="23" t="inlineStr">
        <is>
          <t>Город псов</t>
        </is>
      </c>
      <c r="F4683" s="23" t="inlineStr">
        <is>
          <t>        </t>
        </is>
      </c>
      <c r="G4683" s="23" t="n">
        <v>743</v>
      </c>
      <c r="H4683" s="23" t="n">
        <v>10</v>
      </c>
      <c r="I4683" s="23" t="n">
        <v>12</v>
      </c>
      <c r="J4683" s="23" t="inlineStr">
        <is>
          <t>978-5-227-09625-8</t>
        </is>
      </c>
      <c r="K4683" s="23" t="inlineStr">
        <is>
          <t>84x108 1/32</t>
        </is>
      </c>
      <c r="L4683" s="23" t="inlineStr">
        <is>
          <t>тв</t>
        </is>
      </c>
      <c r="M4683" s="23" t="n">
        <v>415</v>
      </c>
      <c r="N4683" s="23" t="n">
        <v>2022</v>
      </c>
      <c r="O4683" s="23" t="n">
        <v>436</v>
      </c>
      <c r="P4683" s="23" t="n"/>
      <c r="Q4683" s="23" t="n"/>
      <c r="R4683" s="25" t="inlineStr">
        <is>
          <t>Лето — сезон отпусков. Счастливчики уезжают на теплые моря, а неудачники остаются на службе, и риск получить в производство безнадежное дело увеличивается многократно. Следователь Илья Лунин в своем областном следственном комитете плотно застрял в категории середнячка без перспектив. Вот и на этот раз ему поручили два сложных дела. На семью, остановившуюся на пикник, совершено жестокое нападение. Жена и дочь погибли, а умирающий глава семьи случайно обнаружен другими проезжающими мимо путешественниками. Свидетелей нет, улик тоже нет. Но и это еще не все. Последние полтора года в области происходят жестокие убийства женщин. Поначалу все они рассматривались как единичные преступления, и только сейчас становится ясно: все они — дело рук одного и того же преступника. _x000D_
«Город псов» — первая книга из цикла о следователе Илье Олеговиче Лунине. Она о том времени, когда Лунин открыл в себе способность распутывать сложные криминальные загадки и в его жизни появилась Рокси!</t>
        </is>
      </c>
      <c r="S4683" s="26">
        <f>HYPERLINK("http://www.cnpol.ru/covers/20471.jpg","фото на сайте")</f>
        <v/>
      </c>
    </row>
    <row r="4684" ht="50.1" customHeight="1" s="3">
      <c r="A4684" s="23" t="n"/>
      <c r="B4684" s="24" t="inlineStr">
        <is>
          <t>12921</t>
        </is>
      </c>
      <c r="C4684" s="23" t="inlineStr">
        <is>
          <t>СРД</t>
        </is>
      </c>
      <c r="D4684" s="23" t="inlineStr">
        <is>
          <t>Катериничев П.В.</t>
        </is>
      </c>
      <c r="E4684" s="23" t="inlineStr">
        <is>
          <t>Корсар. Наваждение</t>
        </is>
      </c>
      <c r="F4684" s="23" t="inlineStr">
        <is>
          <t>        </t>
        </is>
      </c>
      <c r="G4684" s="23" t="n">
        <v>534</v>
      </c>
      <c r="H4684" s="23" t="n">
        <v>10</v>
      </c>
      <c r="I4684" s="23" t="n">
        <v>12</v>
      </c>
      <c r="J4684" s="23" t="inlineStr">
        <is>
          <t>978-5-227-02907-2</t>
        </is>
      </c>
      <c r="K4684" s="23" t="inlineStr">
        <is>
          <t>84x108 1/32</t>
        </is>
      </c>
      <c r="L4684" s="23" t="inlineStr">
        <is>
          <t>тв</t>
        </is>
      </c>
      <c r="M4684" s="23" t="n">
        <v>384</v>
      </c>
      <c r="N4684" s="23" t="n">
        <v>2011</v>
      </c>
      <c r="O4684" s="23" t="n">
        <v>354</v>
      </c>
      <c r="P4684" s="23" t="n"/>
      <c r="Q4684" s="23" t="n"/>
      <c r="R4684" s="25" t="inlineStr">
        <is>
          <t>Однажды утром писатель Дмитрий Корсар отправился в Дом книги на презентацию своей только что вышедшей книги «Грибница». Но в магазине его не ждали, да и книгу сперва не нашли. А потом выяснилось, что книга есть, но называется она «Гробница». Пока Корсар выяснял, в чем дело, по телевизору, установленному в торговом зале, объявили, что «…только что погиб известный культуролог и аналитик по проблемам древних и загадочных культур и цивилизаций Дмитрий Корсар…», и показали прикрытое простыней тело...</t>
        </is>
      </c>
      <c r="S4684" s="26">
        <f>HYPERLINK("http://www.cnpol.ru/covers/12921.jpg","фото на сайте")</f>
        <v/>
      </c>
    </row>
    <row r="4685" ht="50.1" customHeight="1" s="3">
      <c r="A4685" s="23" t="n"/>
      <c r="B4685" s="24" t="inlineStr">
        <is>
          <t>19556</t>
        </is>
      </c>
      <c r="C4685" s="23" t="inlineStr">
        <is>
          <t>СРД</t>
        </is>
      </c>
      <c r="D4685" s="23" t="inlineStr">
        <is>
          <t>Горский А.В</t>
        </is>
      </c>
      <c r="E4685" s="23" t="inlineStr">
        <is>
          <t>Охота на Лунина</t>
        </is>
      </c>
      <c r="F4685" s="23" t="inlineStr">
        <is>
          <t>        </t>
        </is>
      </c>
      <c r="G4685" s="23" t="n">
        <v>731</v>
      </c>
      <c r="H4685" s="23" t="n">
        <v>10</v>
      </c>
      <c r="I4685" s="23" t="n">
        <v>12</v>
      </c>
      <c r="J4685" s="23" t="inlineStr">
        <is>
          <t>978-5-227-09395-0</t>
        </is>
      </c>
      <c r="K4685" s="23" t="inlineStr">
        <is>
          <t>84x108 1/32</t>
        </is>
      </c>
      <c r="L4685" s="23" t="inlineStr">
        <is>
          <t>тв</t>
        </is>
      </c>
      <c r="M4685" s="23" t="n">
        <v>352</v>
      </c>
      <c r="N4685" s="23" t="n">
        <v>2021</v>
      </c>
      <c r="O4685" s="23" t="n">
        <v>356</v>
      </c>
      <c r="P4685" s="23" t="n"/>
      <c r="Q4685" s="23" t="n"/>
      <c r="R4685" s="25" t="n"/>
      <c r="S4685" s="26">
        <f>HYPERLINK("http://www.cnpol.ru/covers/19556.jpg","фото на сайте")</f>
        <v/>
      </c>
    </row>
    <row r="4686" ht="50.1" customHeight="1" s="3">
      <c r="A4686" s="23" t="n"/>
      <c r="B4686" s="24" t="inlineStr">
        <is>
          <t>19788</t>
        </is>
      </c>
      <c r="C4686" s="23" t="inlineStr">
        <is>
          <t>СРД</t>
        </is>
      </c>
      <c r="D4686" s="23" t="inlineStr">
        <is>
          <t>Горский А.В</t>
        </is>
      </c>
      <c r="E4686" s="23" t="inlineStr">
        <is>
          <t>Полнолуние</t>
        </is>
      </c>
      <c r="F4686" s="23" t="inlineStr">
        <is>
          <t>        </t>
        </is>
      </c>
      <c r="G4686" s="23" t="n">
        <v>743</v>
      </c>
      <c r="H4686" s="23" t="n">
        <v>10</v>
      </c>
      <c r="I4686" s="23" t="n">
        <v>8</v>
      </c>
      <c r="J4686" s="23" t="inlineStr">
        <is>
          <t>978-5-227-09583-1</t>
        </is>
      </c>
      <c r="K4686" s="23" t="inlineStr">
        <is>
          <t>84x108 1/32</t>
        </is>
      </c>
      <c r="L4686" s="23" t="inlineStr">
        <is>
          <t>тв</t>
        </is>
      </c>
      <c r="M4686" s="23" t="n">
        <v>416</v>
      </c>
      <c r="N4686" s="23" t="n">
        <v>2021</v>
      </c>
      <c r="O4686" s="23" t="n">
        <v>360</v>
      </c>
      <c r="P4686" s="23" t="n"/>
      <c r="Q4686" s="23" t="n"/>
      <c r="R4686" s="25" t="n"/>
      <c r="S4686" s="26">
        <f>HYPERLINK("http://www.cnpol.ru/covers/19788.jpg","фото на сайте")</f>
        <v/>
      </c>
    </row>
    <row r="4687" ht="50.1" customHeight="1" s="3">
      <c r="A4687" s="23" t="n"/>
      <c r="B4687" s="24" t="inlineStr">
        <is>
          <t>19509</t>
        </is>
      </c>
      <c r="C4687" s="23" t="inlineStr">
        <is>
          <t>СРД</t>
        </is>
      </c>
      <c r="D4687" s="23" t="inlineStr">
        <is>
          <t>Горский А.В</t>
        </is>
      </c>
      <c r="E4687" s="23" t="inlineStr">
        <is>
          <t>Я, Лунин…</t>
        </is>
      </c>
      <c r="F4687" s="23" t="inlineStr">
        <is>
          <t>        </t>
        </is>
      </c>
      <c r="G4687" s="23" t="n">
        <v>731</v>
      </c>
      <c r="H4687" s="23" t="n">
        <v>10</v>
      </c>
      <c r="I4687" s="23" t="n">
        <v>12</v>
      </c>
      <c r="J4687" s="23" t="inlineStr">
        <is>
          <t>978-5-227-09299-1</t>
        </is>
      </c>
      <c r="K4687" s="23" t="inlineStr">
        <is>
          <t>84x108 1/32</t>
        </is>
      </c>
      <c r="L4687" s="23" t="inlineStr">
        <is>
          <t>тв</t>
        </is>
      </c>
      <c r="M4687" s="23" t="n">
        <v>352</v>
      </c>
      <c r="N4687" s="23" t="n">
        <v>2020</v>
      </c>
      <c r="O4687" s="23" t="n">
        <v>378</v>
      </c>
      <c r="P4687" s="23" t="n"/>
      <c r="Q4687" s="23" t="n"/>
      <c r="R4687" s="25" t="n"/>
      <c r="S4687" s="26">
        <f>HYPERLINK("http://www.cnpol.ru/covers/19509.jpg","фото на сайте")</f>
        <v/>
      </c>
    </row>
    <row r="4688" ht="50.1" customHeight="1" s="3">
      <c r="A4688" s="23" t="n"/>
      <c r="B4688" s="24" t="inlineStr">
        <is>
          <t>4323</t>
        </is>
      </c>
      <c r="C4688" s="23" t="inlineStr">
        <is>
          <t>СРК</t>
        </is>
      </c>
      <c r="D4688" s="23" t="inlineStr">
        <is>
          <t>Похлебкин В.В.</t>
        </is>
      </c>
      <c r="E4688" s="23" t="inlineStr">
        <is>
          <t>Занимательная кулинария</t>
        </is>
      </c>
      <c r="F4688" s="23" t="inlineStr">
        <is>
          <t>        </t>
        </is>
      </c>
      <c r="G4688" s="23" t="n">
        <v>154</v>
      </c>
      <c r="H4688" s="23" t="n">
        <v>10</v>
      </c>
      <c r="I4688" s="23" t="n">
        <v>22</v>
      </c>
      <c r="J4688" s="23" t="inlineStr">
        <is>
          <t>5-9524-0627-0</t>
        </is>
      </c>
      <c r="K4688" s="23" t="inlineStr">
        <is>
          <t>84х90 1/32</t>
        </is>
      </c>
      <c r="L4688" s="23" t="inlineStr">
        <is>
          <t>тв</t>
        </is>
      </c>
      <c r="M4688" s="23" t="inlineStr">
        <is>
          <t>    </t>
        </is>
      </c>
      <c r="N4688" s="23" t="inlineStr">
        <is>
          <t>    </t>
        </is>
      </c>
      <c r="O4688" s="23" t="n">
        <v>218</v>
      </c>
      <c r="P4688" s="23" t="n"/>
      <c r="Q4688" s="23" t="n"/>
      <c r="R4688" s="25" t="inlineStr">
        <is>
          <t>В книге рассказывается об удивительных свойствах обычных продуктов и оригинальных способах приготовления разнообразных блюд, а также даны полезные советы по обустройству домашней кухни и важнейшие правила хранения и обработки продуктов. Интересные рецепты солений и маринадов, блюд из овощей и фруктов, закусок и соусов на любой вкус...</t>
        </is>
      </c>
      <c r="S4688" s="26">
        <f>HYPERLINK("http://www.cnpol.ru/covers/4323.jpg","фото на сайте")</f>
        <v/>
      </c>
    </row>
    <row r="4689" ht="50.1" customHeight="1" s="3">
      <c r="A4689" s="23" t="n"/>
      <c r="B4689" s="24" t="inlineStr">
        <is>
          <t>1904</t>
        </is>
      </c>
      <c r="C4689" s="23" t="inlineStr">
        <is>
          <t>ССЗ</t>
        </is>
      </c>
      <c r="D4689" s="23" t="inlineStr">
        <is>
          <t>Зиновьев</t>
        </is>
      </c>
      <c r="E4689" s="23" t="inlineStr">
        <is>
          <t>Желтый дом 2</t>
        </is>
      </c>
      <c r="F4689" s="23" t="n">
        <v>4</v>
      </c>
      <c r="G4689" s="23" t="n">
        <v>358</v>
      </c>
      <c r="H4689" s="23" t="n">
        <v>10</v>
      </c>
      <c r="I4689" s="23" t="n">
        <v>10</v>
      </c>
      <c r="J4689" s="23" t="inlineStr">
        <is>
          <t>5-227-00714-4</t>
        </is>
      </c>
      <c r="K4689" s="23" t="inlineStr">
        <is>
          <t>84x108 1/32</t>
        </is>
      </c>
      <c r="L4689" s="23" t="inlineStr">
        <is>
          <t>тв</t>
        </is>
      </c>
      <c r="M4689" s="23" t="n">
        <v>510</v>
      </c>
      <c r="N4689" s="23" t="n">
        <v>2000</v>
      </c>
      <c r="O4689" s="23" t="n">
        <v>490</v>
      </c>
      <c r="P4689" s="23" t="n"/>
      <c r="Q4689" s="23" t="n"/>
      <c r="R4689" s="25" t="inlineStr">
        <is>
          <t>В своей "романтической повести" Александр Зиновьев дает сатирическое описание деятельности гуманитарных институтов Академии наук как самых идеологизированных учреждений советского общества брежневских времен. В четвертый том собрания сочинения АлександраЗиновьева входят третья и четвертая части книги.</t>
        </is>
      </c>
      <c r="S4689" s="26">
        <f>HYPERLINK("http://www.cnpol.ru/covers/1904.jpg","фото на сайте")</f>
        <v/>
      </c>
    </row>
    <row r="4690" ht="50.1" customHeight="1" s="3">
      <c r="A4690" s="23" t="n"/>
      <c r="B4690" s="24" t="inlineStr">
        <is>
          <t>6489</t>
        </is>
      </c>
      <c r="C4690" s="23" t="inlineStr">
        <is>
          <t>СТ+</t>
        </is>
      </c>
      <c r="D4690" s="23" t="inlineStr">
        <is>
          <t>Борисова В.</t>
        </is>
      </c>
      <c r="E4690" s="23" t="inlineStr">
        <is>
          <t>Бегство короля</t>
        </is>
      </c>
      <c r="F4690" s="23" t="inlineStr">
        <is>
          <t>        </t>
        </is>
      </c>
      <c r="G4690" s="23" t="n">
        <v>408</v>
      </c>
      <c r="H4690" s="23" t="n">
        <v>10</v>
      </c>
      <c r="I4690" s="23" t="n">
        <v>14</v>
      </c>
      <c r="J4690" s="23" t="inlineStr">
        <is>
          <t>978-5-9524-2183-0</t>
        </is>
      </c>
      <c r="K4690" s="23" t="inlineStr">
        <is>
          <t>84x108 1/32</t>
        </is>
      </c>
      <c r="L4690" s="23" t="inlineStr">
        <is>
          <t>тв</t>
        </is>
      </c>
      <c r="M4690" s="23" t="n">
        <v>270</v>
      </c>
      <c r="N4690" s="23" t="n">
        <v>2008</v>
      </c>
      <c r="O4690" s="23" t="n">
        <v>284</v>
      </c>
      <c r="P4690" s="23" t="n"/>
      <c r="Q4690" s="23" t="n"/>
      <c r="R4690" s="25" t="inlineStr">
        <is>
          <t>Максим Сабуров, молодой писатель, любимый читателями за лихо закрученные сюжеты и издательством за бесперебойность, с которой он поставляет свою продукцию, закончил новый роман. Но очередная рукопись преподнесла Максиму "сюрприз". Некие темные, но могущественные силы, похоже, готовы были сделать все, чтобы роман скромного писателя не был напечатан.</t>
        </is>
      </c>
      <c r="S4690" s="26">
        <f>HYPERLINK("http://www.cnpol.ru/covers/6489.jpg","фото на сайте")</f>
        <v/>
      </c>
    </row>
    <row r="4691" ht="50.1" customHeight="1" s="3">
      <c r="A4691" s="23" t="n"/>
      <c r="B4691" s="24" t="inlineStr">
        <is>
          <t>7146</t>
        </is>
      </c>
      <c r="C4691" s="23" t="inlineStr">
        <is>
          <t>СТРЕЛА</t>
        </is>
      </c>
      <c r="D4691" s="23" t="inlineStr">
        <is>
          <t>Бишоп Энн</t>
        </is>
      </c>
      <c r="E4691" s="23" t="inlineStr">
        <is>
          <t>Кузина королевы</t>
        </is>
      </c>
      <c r="F4691" s="23" t="inlineStr">
        <is>
          <t>        </t>
        </is>
      </c>
      <c r="G4691" s="23" t="n">
        <v>97</v>
      </c>
      <c r="H4691" s="23" t="n">
        <v>10</v>
      </c>
      <c r="I4691" s="23" t="n">
        <v>30</v>
      </c>
      <c r="J4691" s="23" t="inlineStr">
        <is>
          <t>5-9524-2240-3</t>
        </is>
      </c>
      <c r="K4691" s="23" t="inlineStr">
        <is>
          <t>70x90 1/32</t>
        </is>
      </c>
      <c r="L4691" s="23" t="inlineStr">
        <is>
          <t>мяг</t>
        </is>
      </c>
      <c r="M4691" s="23" t="n">
        <v>207</v>
      </c>
      <c r="N4691" s="23" t="n">
        <v>2008</v>
      </c>
      <c r="O4691" s="23" t="n">
        <v>76</v>
      </c>
      <c r="P4691" s="23" t="n"/>
      <c r="Q4691" s="23" t="n"/>
      <c r="R4691" s="25" t="inlineStr">
        <is>
          <t>Кузина английской королевы Пенелопа Деверо выходит замуж без любви. Счастье ускользнуло от нее, не оставив и лучика надежды. Однако встреча, предначертанная судьбой, меняет всю ее жизнь. Настоящая любовь дает прекрасной Пенелопе силы бороться за свое счастье...</t>
        </is>
      </c>
      <c r="S4691" s="26">
        <f>HYPERLINK("http://www.cnpol.ru/covers/7146.jpg","фото на сайте")</f>
        <v/>
      </c>
    </row>
    <row r="4692" ht="50.1" customHeight="1" s="3">
      <c r="A4692" s="23" t="n"/>
      <c r="B4692" s="24" t="inlineStr">
        <is>
          <t>7279</t>
        </is>
      </c>
      <c r="C4692" s="23" t="inlineStr">
        <is>
          <t>СТРЕЛА</t>
        </is>
      </c>
      <c r="D4692" s="23" t="inlineStr">
        <is>
          <t>Феллоуз</t>
        </is>
      </c>
      <c r="E4692" s="23" t="inlineStr">
        <is>
          <t>Леонора</t>
        </is>
      </c>
      <c r="F4692" s="23" t="inlineStr">
        <is>
          <t>        </t>
        </is>
      </c>
      <c r="G4692" s="23" t="n">
        <v>97</v>
      </c>
      <c r="H4692" s="23" t="n">
        <v>10</v>
      </c>
      <c r="I4692" s="23" t="n">
        <v>30</v>
      </c>
      <c r="J4692" s="23" t="inlineStr">
        <is>
          <t>5-9524-2340-X</t>
        </is>
      </c>
      <c r="K4692" s="23" t="inlineStr">
        <is>
          <t>70x90 1/32</t>
        </is>
      </c>
      <c r="L4692" s="23" t="inlineStr">
        <is>
          <t>мяг</t>
        </is>
      </c>
      <c r="M4692" s="23" t="n">
        <v>191</v>
      </c>
      <c r="N4692" s="23" t="n">
        <v>2007</v>
      </c>
      <c r="O4692" s="23" t="n">
        <v>84</v>
      </c>
      <c r="P4692" s="23" t="n"/>
      <c r="Q4692" s="23" t="n"/>
      <c r="R4692" s="25" t="inlineStr">
        <is>
          <t>Леди Констанс нелегко выдать замуж старшую дочь. Леонора отнюдь не красавица, у нее незначительное приданое, вдобавок она остра на язык и независима. Девушка сумела постоять за себя, дав более чем достойный отпор разбойнику, однажды ночью остановившему ее карету. Но она и не догадывалась, что их встреча предначертана судьбой...</t>
        </is>
      </c>
      <c r="S4692" s="26">
        <f>HYPERLINK("http://www.cnpol.ru/covers/7279.jpg","фото на сайте")</f>
        <v/>
      </c>
    </row>
    <row r="4693" ht="50.1" customHeight="1" s="3">
      <c r="A4693" s="23" t="n"/>
      <c r="B4693" s="24" t="inlineStr">
        <is>
          <t>7363</t>
        </is>
      </c>
      <c r="C4693" s="23" t="inlineStr">
        <is>
          <t>СТРЕЛА</t>
        </is>
      </c>
      <c r="D4693" s="23" t="inlineStr">
        <is>
          <t>Бишоп Энн</t>
        </is>
      </c>
      <c r="E4693" s="23" t="inlineStr">
        <is>
          <t>Невесты и куртизанки</t>
        </is>
      </c>
      <c r="F4693" s="23" t="inlineStr">
        <is>
          <t>        </t>
        </is>
      </c>
      <c r="G4693" s="23" t="n">
        <v>97</v>
      </c>
      <c r="H4693" s="23" t="n">
        <v>10</v>
      </c>
      <c r="I4693" s="23" t="n">
        <v>30</v>
      </c>
      <c r="J4693" s="23" t="inlineStr">
        <is>
          <t>5-9524-2413-9</t>
        </is>
      </c>
      <c r="K4693" s="23" t="inlineStr">
        <is>
          <t>70x90 1/32</t>
        </is>
      </c>
      <c r="L4693" s="23" t="inlineStr">
        <is>
          <t>мяг</t>
        </is>
      </c>
      <c r="M4693" s="23" t="n">
        <v>190</v>
      </c>
      <c r="N4693" s="23" t="n">
        <v>2007</v>
      </c>
      <c r="O4693" s="23" t="n">
        <v>80</v>
      </c>
      <c r="P4693" s="23" t="n"/>
      <c r="Q4693" s="23" t="n"/>
      <c r="R4693" s="25" t="n"/>
      <c r="S4693" s="26">
        <f>HYPERLINK("http://www.cnpol.ru/covers/7363.jpg","фото на сайте")</f>
        <v/>
      </c>
    </row>
    <row r="4694" ht="50.1" customHeight="1" s="3">
      <c r="A4694" s="23" t="n"/>
      <c r="B4694" s="24" t="inlineStr">
        <is>
          <t>7147</t>
        </is>
      </c>
      <c r="C4694" s="23" t="inlineStr">
        <is>
          <t>СТРЕЛА</t>
        </is>
      </c>
      <c r="D4694" s="23" t="inlineStr">
        <is>
          <t>Ансворт</t>
        </is>
      </c>
      <c r="E4694" s="23" t="inlineStr">
        <is>
          <t>Нежданная невеста</t>
        </is>
      </c>
      <c r="F4694" s="23" t="inlineStr">
        <is>
          <t>        </t>
        </is>
      </c>
      <c r="G4694" s="23" t="n">
        <v>97</v>
      </c>
      <c r="H4694" s="23" t="n">
        <v>10</v>
      </c>
      <c r="I4694" s="23" t="n">
        <v>30</v>
      </c>
      <c r="J4694" s="23" t="inlineStr">
        <is>
          <t>5-9524-2250-0</t>
        </is>
      </c>
      <c r="K4694" s="23" t="inlineStr">
        <is>
          <t>70x90 1/32</t>
        </is>
      </c>
      <c r="L4694" s="23" t="inlineStr">
        <is>
          <t>мяг</t>
        </is>
      </c>
      <c r="M4694" s="23" t="n">
        <v>191</v>
      </c>
      <c r="N4694" s="23" t="n">
        <v>2008</v>
      </c>
      <c r="O4694" s="23" t="n">
        <v>86</v>
      </c>
      <c r="P4694" s="23" t="n"/>
      <c r="Q4694" s="23" t="n"/>
      <c r="R4694" s="25" t="n"/>
      <c r="S4694" s="26">
        <f>HYPERLINK("http://www.cnpol.ru/covers/7147.jpg","фото на сайте")</f>
        <v/>
      </c>
    </row>
    <row r="4695" ht="50.1" customHeight="1" s="3">
      <c r="A4695" s="23" t="n"/>
      <c r="B4695" s="24" t="inlineStr">
        <is>
          <t>7520</t>
        </is>
      </c>
      <c r="C4695" s="23" t="inlineStr">
        <is>
          <t>СТРЕЛА</t>
        </is>
      </c>
      <c r="D4695" s="23" t="inlineStr">
        <is>
          <t>Эдвардс</t>
        </is>
      </c>
      <c r="E4695" s="23" t="inlineStr">
        <is>
          <t>Похититель сердец</t>
        </is>
      </c>
      <c r="F4695" s="23" t="inlineStr">
        <is>
          <t>        </t>
        </is>
      </c>
      <c r="G4695" s="23" t="n">
        <v>97</v>
      </c>
      <c r="H4695" s="23" t="n">
        <v>10</v>
      </c>
      <c r="I4695" s="23" t="n">
        <v>30</v>
      </c>
      <c r="J4695" s="23" t="inlineStr">
        <is>
          <t>5-9524-2496-1</t>
        </is>
      </c>
      <c r="K4695" s="23" t="inlineStr">
        <is>
          <t>70x90 1/32</t>
        </is>
      </c>
      <c r="L4695" s="23" t="inlineStr">
        <is>
          <t>мяг</t>
        </is>
      </c>
      <c r="M4695" s="23" t="n">
        <v>174</v>
      </c>
      <c r="N4695" s="23" t="n">
        <v>2008</v>
      </c>
      <c r="O4695" s="23" t="n">
        <v>78</v>
      </c>
      <c r="P4695" s="23" t="n"/>
      <c r="Q4695" s="23" t="n"/>
      <c r="R4695" s="25" t="n"/>
      <c r="S4695" s="26">
        <f>HYPERLINK("http://www.cnpol.ru/covers/7520.jpg","фото на сайте")</f>
        <v/>
      </c>
    </row>
    <row r="4696" ht="50.1" customHeight="1" s="3">
      <c r="A4696" s="23" t="n"/>
      <c r="B4696" s="24" t="inlineStr">
        <is>
          <t>7603</t>
        </is>
      </c>
      <c r="C4696" s="23" t="inlineStr">
        <is>
          <t>СТРЕЛА</t>
        </is>
      </c>
      <c r="D4696" s="23" t="inlineStr">
        <is>
          <t>Гиббс</t>
        </is>
      </c>
      <c r="E4696" s="23" t="inlineStr">
        <is>
          <t>Признание в любви</t>
        </is>
      </c>
      <c r="F4696" s="23" t="inlineStr">
        <is>
          <t>        </t>
        </is>
      </c>
      <c r="G4696" s="23" t="n">
        <v>97</v>
      </c>
      <c r="H4696" s="23" t="n">
        <v>10</v>
      </c>
      <c r="I4696" s="23" t="n">
        <v>30</v>
      </c>
      <c r="J4696" s="23" t="inlineStr">
        <is>
          <t>5-9524-2544-5</t>
        </is>
      </c>
      <c r="K4696" s="23" t="inlineStr">
        <is>
          <t>70x90 1/32</t>
        </is>
      </c>
      <c r="L4696" s="23" t="inlineStr">
        <is>
          <t>мяг</t>
        </is>
      </c>
      <c r="M4696" s="23" t="n">
        <v>190</v>
      </c>
      <c r="N4696" s="23" t="n">
        <v>2008</v>
      </c>
      <c r="O4696" s="23" t="n">
        <v>82</v>
      </c>
      <c r="P4696" s="23" t="n"/>
      <c r="Q4696" s="23" t="n"/>
      <c r="R4696" s="25" t="n"/>
      <c r="S4696" s="26">
        <f>HYPERLINK("http://www.cnpol.ru/covers/7603.jpg","фото на сайте")</f>
        <v/>
      </c>
    </row>
    <row r="4697" ht="50.1" customHeight="1" s="3">
      <c r="A4697" s="23" t="n"/>
      <c r="B4697" s="24" t="inlineStr">
        <is>
          <t>6444</t>
        </is>
      </c>
      <c r="C4697" s="23" t="inlineStr">
        <is>
          <t>СТРЕЛА</t>
        </is>
      </c>
      <c r="D4697" s="23" t="inlineStr">
        <is>
          <t>Лофтс</t>
        </is>
      </c>
      <c r="E4697" s="23" t="inlineStr">
        <is>
          <t>Телец для Венеры</t>
        </is>
      </c>
      <c r="F4697" s="23" t="inlineStr">
        <is>
          <t>        </t>
        </is>
      </c>
      <c r="G4697" s="23" t="n">
        <v>97</v>
      </c>
      <c r="H4697" s="23" t="n">
        <v>10</v>
      </c>
      <c r="I4697" s="23" t="n">
        <v>30</v>
      </c>
      <c r="J4697" s="23" t="inlineStr">
        <is>
          <t>5-9524-2186-5</t>
        </is>
      </c>
      <c r="K4697" s="23" t="inlineStr">
        <is>
          <t>70x90 1/32</t>
        </is>
      </c>
      <c r="L4697" s="23" t="inlineStr">
        <is>
          <t>мяг</t>
        </is>
      </c>
      <c r="M4697" s="23" t="n">
        <v>207</v>
      </c>
      <c r="N4697" s="23" t="n">
        <v>2007</v>
      </c>
      <c r="O4697" s="23" t="n">
        <v>82</v>
      </c>
      <c r="P4697" s="23" t="n"/>
      <c r="Q4697" s="23" t="n"/>
      <c r="R4697" s="25" t="n"/>
      <c r="S4697" s="26">
        <f>HYPERLINK("http://www.cnpol.ru/covers/6444.jpg","фото на сайте")</f>
        <v/>
      </c>
    </row>
    <row r="4698" ht="50.1" customHeight="1" s="3">
      <c r="A4698" s="23" t="inlineStr">
        <is>
          <t>Д</t>
        </is>
      </c>
      <c r="B4698" s="24" t="inlineStr">
        <is>
          <t>21633</t>
        </is>
      </c>
      <c r="C4698" s="23" t="inlineStr">
        <is>
          <t>СТЭТХЕМ</t>
        </is>
      </c>
      <c r="D4698" s="23" t="inlineStr">
        <is>
          <t>Стэтхем Д.</t>
        </is>
      </c>
      <c r="E4698" s="23" t="inlineStr">
        <is>
          <t>Пацанские цитаты Джейсона Стэтхема — 2. Обалдеваю от своих цитат!</t>
        </is>
      </c>
      <c r="F4698" s="23" t="n">
        <v>2</v>
      </c>
      <c r="G4698" s="23" t="n">
        <v>645</v>
      </c>
      <c r="H4698" s="23" t="n">
        <v>10</v>
      </c>
      <c r="I4698" s="23" t="n">
        <v>20</v>
      </c>
      <c r="J4698" s="23" t="inlineStr">
        <is>
          <t>978-5-9524-6192-5</t>
        </is>
      </c>
      <c r="K4698" s="23" t="inlineStr">
        <is>
          <t>70x108 1/32</t>
        </is>
      </c>
      <c r="L4698" s="23" t="inlineStr">
        <is>
          <t>тв</t>
        </is>
      </c>
      <c r="M4698" s="23" t="n">
        <v>159</v>
      </c>
      <c r="N4698" s="23" t="n">
        <v>2025</v>
      </c>
      <c r="O4698" s="23" t="n">
        <v>178</v>
      </c>
      <c r="P4698" s="23" t="n"/>
      <c r="Q4698" s="23" t="n"/>
      <c r="R4698" s="25" t="inlineStr">
        <is>
          <t>Так как интерес россиян к фейковым цитатам Джейсона Стэтхема не спадает, мы с удовольствием продолжаем радовать читателей его легендарными высказываниями из соцсетей. Пацанские цитаты этого обаятельного, многогранного, брутального английского актёра-мультимиллионера способны поднять настроение любому мужчине с чувством юмора. И, хотя многие «перлы» достаточно жёсткие, бесстрашные боевые девчонки тоже могут найти здесь много забавного, смешного и даже мудрого. Мы по-прежнему не оспариваем авторство, главное, что эти записи веселят, поднимают жизненный тонус, порой учат хорошему, а иногда шокируют…</t>
        </is>
      </c>
      <c r="S4698" s="26">
        <f>HYPERLINK("http://www.cnpol.ru/covers/21633.jpg","фото на сайте")</f>
        <v/>
      </c>
    </row>
    <row r="4699" ht="50.1" customHeight="1" s="3">
      <c r="A4699" s="23" t="inlineStr">
        <is>
          <t>Д</t>
        </is>
      </c>
      <c r="B4699" s="24" t="inlineStr">
        <is>
          <t>22083</t>
        </is>
      </c>
      <c r="C4699" s="23" t="inlineStr">
        <is>
          <t>СТЭТХЕМ</t>
        </is>
      </c>
      <c r="D4699" s="23" t="inlineStr">
        <is>
          <t>Стэтхем Д.</t>
        </is>
      </c>
      <c r="E4699" s="23" t="inlineStr">
        <is>
          <t>Пацанские цитаты Джейсона Стэтхема. Да не говорил я этой фигни!</t>
        </is>
      </c>
      <c r="F4699" s="23" t="inlineStr">
        <is>
          <t>        </t>
        </is>
      </c>
      <c r="G4699" s="23" t="n">
        <v>645</v>
      </c>
      <c r="H4699" s="23" t="n">
        <v>10</v>
      </c>
      <c r="I4699" s="23" t="n">
        <v>16</v>
      </c>
      <c r="J4699" s="23" t="inlineStr">
        <is>
          <t>978-5-9524-6492-6</t>
        </is>
      </c>
      <c r="K4699" s="23" t="inlineStr">
        <is>
          <t>70x108 1/32</t>
        </is>
      </c>
      <c r="L4699" s="23" t="inlineStr">
        <is>
          <t>тв</t>
        </is>
      </c>
      <c r="M4699" s="23" t="n">
        <v>159</v>
      </c>
      <c r="N4699" s="23" t="n">
        <v>2026</v>
      </c>
      <c r="O4699" s="23" t="n">
        <v>180</v>
      </c>
      <c r="P4699" s="23" t="n"/>
      <c r="Q4699" s="23" t="n"/>
      <c r="R4699" s="25" t="inlineStr">
        <is>
          <t>Популярность высказываний Джейсона Стэтхема в России феноменальна! Это веселит и удивляет даже самого Джейсона Стэтхема, актёра, который прекрасно относится к русским и совершенно не против того, что стал мемом на просторах Интернета нашей огромной страны. Брутальный смельчак, спасающий всех и вся, красавец-мачо, хороший семьянин и просто парень из соседнего двора — такова многогранная личность этого востребованного английского актёра-мультимиллионера. А ещё он прекрасно играет в шахматы, футбол и выполняет умопомрачительные трюки без дублёров. Вишенкой на торте стали бесконечные яркие высказывания, которые якобы принадлежат Стэтхему. Не станем оспаривать их авторство, главное, что они веселят, поднимают жизненный тонус, порой учат хорошему, а иногда шокируют…</t>
        </is>
      </c>
      <c r="S4699" s="26">
        <f>HYPERLINK("http://www.cnpol.ru/covers/22083.jpg","фото на сайте")</f>
        <v/>
      </c>
    </row>
    <row r="4700" ht="50.1" customHeight="1" s="3">
      <c r="A4700" s="23" t="n"/>
      <c r="B4700" s="24" t="inlineStr">
        <is>
          <t>20008</t>
        </is>
      </c>
      <c r="C4700" s="23" t="inlineStr">
        <is>
          <t>СУПЕР</t>
        </is>
      </c>
      <c r="D4700" s="23" t="inlineStr">
        <is>
          <t>Казакевич А.</t>
        </is>
      </c>
      <c r="E4700" s="23" t="inlineStr">
        <is>
          <t>Зачем жить. Объясняющая книга</t>
        </is>
      </c>
      <c r="F4700" s="23" t="inlineStr">
        <is>
          <t>        </t>
        </is>
      </c>
      <c r="G4700" s="23" t="n">
        <v>319</v>
      </c>
      <c r="H4700" s="23" t="n">
        <v>10</v>
      </c>
      <c r="I4700" s="23" t="n">
        <v>12</v>
      </c>
      <c r="J4700" s="23" t="inlineStr">
        <is>
          <t>978-5-227-09731-6</t>
        </is>
      </c>
      <c r="K4700" s="23" t="inlineStr">
        <is>
          <t>84x108 1/32 (обл)</t>
        </is>
      </c>
      <c r="L4700" s="23" t="inlineStr">
        <is>
          <t>мяг</t>
        </is>
      </c>
      <c r="M4700" s="23" t="n">
        <v>415</v>
      </c>
      <c r="N4700" s="23" t="n">
        <v>2022</v>
      </c>
      <c r="O4700" s="23" t="n">
        <v>250</v>
      </c>
      <c r="P4700" s="23" t="n"/>
      <c r="Q4700" s="23" t="n"/>
      <c r="R4700" s="25" t="inlineStr">
        <is>
          <t>Мы судим обо всём, исходя из своего опыта. Но каким бы богатым он ни был, ему не сравниться с опытом нескольких людей и тем более всего человечества… Чтобы ответить на вечные вопросы — «кто я?» и «зачем жить?» — нужны особые знания. Автор соединил важные знания о человеке, Боге и Мироздании в цельную картину и просто и понятно рассказал о сложном и важном, чтобы каждый читатель смог сам найти для себя ответ на вечные вопросы: кто он, откуда и зачем._x000D_
Цель написания книги — стремление принести людям максимальную пользу, желание возвысить их сознание, понимание себя и окружающей жизни. Александр Казакевич уверяет, что читатели вовсе не обязаны с ним соглашаться и верить всему, что здесь прочтут. Вы всегда имеете право на своё мнение. Просто пропустите эту книгу через фильтр вашего сердца и возьмите для себя только то, что посчитаете правильным. Примите в ней только то, что гармонично дополнит ваши знания о себе, мире и Боге, только те идеи, мысли и факты, которые совпадут по звучанию с музыкой вашей души.</t>
        </is>
      </c>
      <c r="S4700" s="26">
        <f>HYPERLINK("http://www.cnpol.ru/covers/20008.jpg","фото на сайте")</f>
        <v/>
      </c>
    </row>
    <row r="4701" ht="50.1" customHeight="1" s="3">
      <c r="A4701" s="23" t="n"/>
      <c r="B4701" s="24" t="inlineStr">
        <is>
          <t>15924</t>
        </is>
      </c>
      <c r="C4701" s="23" t="inlineStr">
        <is>
          <t>СУПЕР</t>
        </is>
      </c>
      <c r="D4701" s="23" t="inlineStr">
        <is>
          <t>Казакевич А.</t>
        </is>
      </c>
      <c r="E4701" s="23" t="inlineStr">
        <is>
          <t>Как легко обрести любовь 4 эффективных шага</t>
        </is>
      </c>
      <c r="F4701" s="23" t="inlineStr">
        <is>
          <t>        </t>
        </is>
      </c>
      <c r="G4701" s="23" t="n">
        <v>319</v>
      </c>
      <c r="H4701" s="23" t="n">
        <v>10</v>
      </c>
      <c r="I4701" s="23" t="n">
        <v>16</v>
      </c>
      <c r="J4701" s="23" t="inlineStr">
        <is>
          <t>978-5-227-05578-1</t>
        </is>
      </c>
      <c r="K4701" s="23" t="inlineStr">
        <is>
          <t>84x108 1/32 (обл)</t>
        </is>
      </c>
      <c r="L4701" s="23" t="inlineStr">
        <is>
          <t>мяг</t>
        </is>
      </c>
      <c r="M4701" s="23" t="n">
        <v>474</v>
      </c>
      <c r="N4701" s="23" t="n">
        <v>2015</v>
      </c>
      <c r="O4701" s="23" t="n">
        <v>232</v>
      </c>
      <c r="P4701" s="23" t="n"/>
      <c r="Q4701" s="23" t="n"/>
      <c r="R4701" s="25" t="inlineStr">
        <is>
          <t>В книге Александра Казакевича — известного белорусского писателя, редактора, журналиста и педагога — вы найдете ответы на извечные вопросы, которые встают перед каждым человеком: что такое любовь и как обрести свое счастье? Вы сможете наполнить смыслом каждое прожитое мгновение, научитесь не бояться действовать и уверенно идти к тому, чего вы хотите, и увидите, что вокруг вас есть более интересные и важные цели, чем накопление материальных богатств! Следуя прямым и косвенным подсказкам, которые приводит автор, каждый из вас сможет найти свою дорогу к счастью.</t>
        </is>
      </c>
      <c r="S4701" s="26">
        <f>HYPERLINK("http://www.cnpol.ru/covers/15924.jpg","фото на сайте")</f>
        <v/>
      </c>
    </row>
    <row r="4702" ht="50.1" customHeight="1" s="3">
      <c r="A4702" s="23" t="n"/>
      <c r="B4702" s="24" t="inlineStr">
        <is>
          <t>18326</t>
        </is>
      </c>
      <c r="C4702" s="23" t="inlineStr">
        <is>
          <t>СУПЕР</t>
        </is>
      </c>
      <c r="D4702" s="23" t="inlineStr">
        <is>
          <t>Казакевич А.</t>
        </is>
      </c>
      <c r="E4702" s="23" t="inlineStr">
        <is>
          <t>Наставляющая книга. Живи в радость</t>
        </is>
      </c>
      <c r="F4702" s="23" t="inlineStr">
        <is>
          <t>        </t>
        </is>
      </c>
      <c r="G4702" s="23" t="n">
        <v>319</v>
      </c>
      <c r="H4702" s="23" t="n">
        <v>10</v>
      </c>
      <c r="I4702" s="23" t="n">
        <v>12</v>
      </c>
      <c r="J4702" s="23" t="inlineStr">
        <is>
          <t>978-5-227-08275-6</t>
        </is>
      </c>
      <c r="K4702" s="23" t="inlineStr">
        <is>
          <t>84x108 1/32 (обл)</t>
        </is>
      </c>
      <c r="L4702" s="23" t="inlineStr">
        <is>
          <t>мяг</t>
        </is>
      </c>
      <c r="M4702" s="23" t="n">
        <v>448</v>
      </c>
      <c r="N4702" s="23" t="n">
        <v>2018</v>
      </c>
      <c r="O4702" s="23" t="n">
        <v>262</v>
      </c>
      <c r="P4702" s="23" t="n"/>
      <c r="Q4702" s="23" t="n"/>
      <c r="R4702" s="25" t="n"/>
      <c r="S4702" s="26">
        <f>HYPERLINK("http://www.cnpol.ru/covers/18326.jpg","фото на сайте")</f>
        <v/>
      </c>
    </row>
    <row r="4703" ht="50.1" customHeight="1" s="3">
      <c r="A4703" s="23" t="n"/>
      <c r="B4703" s="24" t="inlineStr">
        <is>
          <t>18104</t>
        </is>
      </c>
      <c r="C4703" s="23" t="inlineStr">
        <is>
          <t>СУПЕР</t>
        </is>
      </c>
      <c r="D4703" s="23" t="inlineStr">
        <is>
          <t>Казакевич А.</t>
        </is>
      </c>
      <c r="E4703" s="23" t="inlineStr">
        <is>
          <t>Окрыляющая книга. Живи легко</t>
        </is>
      </c>
      <c r="F4703" s="23" t="inlineStr">
        <is>
          <t>        </t>
        </is>
      </c>
      <c r="G4703" s="23" t="n">
        <v>319</v>
      </c>
      <c r="H4703" s="23" t="n">
        <v>10</v>
      </c>
      <c r="I4703" s="23" t="n">
        <v>12</v>
      </c>
      <c r="J4703" s="23" t="inlineStr">
        <is>
          <t>978-5-227-08078-3</t>
        </is>
      </c>
      <c r="K4703" s="23" t="inlineStr">
        <is>
          <t>84x108 1/32 (обл)</t>
        </is>
      </c>
      <c r="L4703" s="23" t="inlineStr">
        <is>
          <t>мяг</t>
        </is>
      </c>
      <c r="M4703" s="23" t="n">
        <v>352</v>
      </c>
      <c r="N4703" s="23" t="n">
        <v>2018</v>
      </c>
      <c r="O4703" s="23" t="n">
        <v>214</v>
      </c>
      <c r="P4703" s="23" t="n"/>
      <c r="Q4703" s="23" t="n"/>
      <c r="R4703" s="25" t="n"/>
      <c r="S4703" s="26">
        <f>HYPERLINK("http://www.cnpol.ru/covers/18104.jpg","фото на сайте")</f>
        <v/>
      </c>
    </row>
    <row r="4704" ht="50.1" customHeight="1" s="3">
      <c r="A4704" s="23" t="inlineStr">
        <is>
          <t>Д</t>
        </is>
      </c>
      <c r="B4704" s="24" t="inlineStr">
        <is>
          <t>21480</t>
        </is>
      </c>
      <c r="C4704" s="23" t="inlineStr">
        <is>
          <t>СУПЕР Р</t>
        </is>
      </c>
      <c r="D4704" s="23" t="inlineStr">
        <is>
          <t>Меньшикова К.Е.</t>
        </is>
      </c>
      <c r="E4704" s="23" t="inlineStr">
        <is>
          <t>Искусство управления реальностью. Ты можешь всё</t>
        </is>
      </c>
      <c r="F4704" s="23" t="inlineStr">
        <is>
          <t>        </t>
        </is>
      </c>
      <c r="G4704" s="23" t="n">
        <v>284</v>
      </c>
      <c r="H4704" s="23" t="n">
        <v>10</v>
      </c>
      <c r="I4704" s="23" t="n">
        <v>18</v>
      </c>
      <c r="J4704" s="23" t="inlineStr">
        <is>
          <t>978-5-227-10898-2</t>
        </is>
      </c>
      <c r="K4704" s="23" t="inlineStr">
        <is>
          <t>84x108 1/32 (обл)</t>
        </is>
      </c>
      <c r="L4704" s="23" t="inlineStr">
        <is>
          <t>мяг</t>
        </is>
      </c>
      <c r="M4704" s="23" t="n">
        <v>159</v>
      </c>
      <c r="N4704" s="23" t="n">
        <v>2025</v>
      </c>
      <c r="O4704" s="23" t="n">
        <v>103</v>
      </c>
      <c r="P4704" s="23" t="n"/>
      <c r="Q4704" s="23" t="n"/>
      <c r="R4704" s="25" t="inlineStr">
        <is>
          <t>Во все времена люди искали возможность управлять обстоятельствами своей жизни. Потому что не хотели зависеть от их внезапности и непредсказуемости. Потому что хотели если не создавать их, то хотя бы предугадывать. Именно поэтому «магия» как понятие, как искусство и мастерство управления реальностью так привлекает мужчин и женщин, чьи амбиции достаточно высоки для того, чтобы не удовлетворяться действительностью. Ты же не хочешь зависеть от обстоятельств? Ты хочешь изменять их по своему желанию и сам управлять своей реальностью? Тогда читай эту книгу! Благодаря знаниям и инструкциям, впервые открытым на этих страницах для широкого круга непосвященных, любой читатель, наделенный достаточными амбициями и упорством, получит инструменты и средства для того, чтобы изменять этот мир по собственной воле.</t>
        </is>
      </c>
      <c r="S4704" s="26">
        <f>HYPERLINK("http://www.cnpol.ru/covers/21480.jpg","фото на сайте")</f>
        <v/>
      </c>
    </row>
    <row r="4705" ht="50.1" customHeight="1" s="3">
      <c r="A4705" s="23" t="inlineStr">
        <is>
          <t>Д</t>
        </is>
      </c>
      <c r="B4705" s="24" t="inlineStr">
        <is>
          <t>21951</t>
        </is>
      </c>
      <c r="C4705" s="23" t="inlineStr">
        <is>
          <t>СУПЕР Р</t>
        </is>
      </c>
      <c r="D4705" s="23" t="inlineStr">
        <is>
          <t>Меньшикова К.Е.</t>
        </is>
      </c>
      <c r="E4705" s="23" t="inlineStr">
        <is>
          <t>Ключ к познанию себя, или В чем твоя уникальность. Психотип и энергетика человека</t>
        </is>
      </c>
      <c r="F4705" s="23" t="inlineStr">
        <is>
          <t>        </t>
        </is>
      </c>
      <c r="G4705" s="23" t="n">
        <v>284</v>
      </c>
      <c r="H4705" s="23" t="n">
        <v>10</v>
      </c>
      <c r="I4705" s="23" t="n">
        <v>12</v>
      </c>
      <c r="J4705" s="23" t="inlineStr">
        <is>
          <t>978-5-227-11210-1</t>
        </is>
      </c>
      <c r="K4705" s="23" t="inlineStr">
        <is>
          <t>84x108 1/32 (обл)</t>
        </is>
      </c>
      <c r="L4705" s="23" t="inlineStr">
        <is>
          <t>мяг</t>
        </is>
      </c>
      <c r="M4705" s="23" t="n">
        <v>192</v>
      </c>
      <c r="N4705" s="23" t="n">
        <v>2026</v>
      </c>
      <c r="O4705" s="23" t="n">
        <v>116</v>
      </c>
      <c r="P4705" s="23" t="n"/>
      <c r="Q4705" s="23" t="n"/>
      <c r="R4705" s="25" t="inlineStr">
        <is>
          <t>о или поздно каждый человек задает себе этот простой, но в то же время очень сложный вопрос. Кто Я? Эта книга поможет тебе разобраться в самом себе, в других людях и в ваших сложных, запутанных отношениях. Ксения Меньшикова покажет, как найти ответ на основной вопрос и больше никогда-никогда не проживать чужую жизнь и не повторять чужую судьбу. Ведь твоя уникальная ниша, твой жизненный путь принадлежит только тебе…</t>
        </is>
      </c>
      <c r="S4705" s="26">
        <f>HYPERLINK("http://www.cnpol.ru/covers/21951.jpg","фото на сайте")</f>
        <v/>
      </c>
    </row>
    <row r="4706" ht="50.1" customHeight="1" s="3">
      <c r="A4706" s="23" t="inlineStr">
        <is>
          <t>Д</t>
        </is>
      </c>
      <c r="B4706" s="24" t="inlineStr">
        <is>
          <t>22040</t>
        </is>
      </c>
      <c r="C4706" s="23" t="inlineStr">
        <is>
          <t>СУПЕР Р</t>
        </is>
      </c>
      <c r="D4706" s="23" t="inlineStr">
        <is>
          <t>Меньшикова К.Е.</t>
        </is>
      </c>
      <c r="E4706" s="23" t="inlineStr">
        <is>
          <t>Настоящая женщина. Самый лучший психотренинг за последние 20 лет</t>
        </is>
      </c>
      <c r="F4706" s="23" t="inlineStr">
        <is>
          <t>        </t>
        </is>
      </c>
      <c r="G4706" s="23" t="n">
        <v>284</v>
      </c>
      <c r="H4706" s="23" t="n">
        <v>10</v>
      </c>
      <c r="I4706" s="23" t="n">
        <v>12</v>
      </c>
      <c r="J4706" s="23" t="inlineStr">
        <is>
          <t>978-5-227-11264-4</t>
        </is>
      </c>
      <c r="K4706" s="23" t="inlineStr">
        <is>
          <t>84x108 1/32 (обл)</t>
        </is>
      </c>
      <c r="L4706" s="23" t="inlineStr">
        <is>
          <t>мяг</t>
        </is>
      </c>
      <c r="M4706" s="23" t="n">
        <v>249</v>
      </c>
      <c r="N4706" s="23" t="n">
        <v>2026</v>
      </c>
      <c r="O4706" s="23" t="n">
        <v>153</v>
      </c>
      <c r="P4706" s="23" t="n"/>
      <c r="Q4706" s="23" t="n"/>
      <c r="R4706" s="25" t="inlineStr">
        <is>
          <t>Книга Ксении Меньшиковой — это необыкновенно полезный сборник советов на каждый день, который поможет изменить ход происходящих с вами событий, научит жить вкусно и ярко, солнечно и интересно, навсегда избавиться от скуки и разочарований и начать вращать мир вокруг единственно важного человека в жизни — самой себя._x000D_
Книга разделена на 12 этапов, каждый из которых содержит в себе 30 дней. Думаете, что нужно начинать с первого января? Вовсе нет! Каждый день достоин того, чтобы стать первым в вашей новой жизни!</t>
        </is>
      </c>
      <c r="S4706" s="26">
        <f>HYPERLINK("http://www.cnpol.ru/covers/22040.jpg","фото на сайте")</f>
        <v/>
      </c>
    </row>
    <row r="4707" ht="50.1" customHeight="1" s="3">
      <c r="A4707" s="23" t="inlineStr">
        <is>
          <t>Д</t>
        </is>
      </c>
      <c r="B4707" s="24" t="inlineStr">
        <is>
          <t>22161</t>
        </is>
      </c>
      <c r="C4707" s="23" t="inlineStr">
        <is>
          <t>СУПЕР Р</t>
        </is>
      </c>
      <c r="D4707" s="23" t="inlineStr">
        <is>
          <t>Меньшикова К.Е.</t>
        </is>
      </c>
      <c r="E4707" s="23" t="inlineStr">
        <is>
          <t>Подсознание может всё, или управляем энергией желаний</t>
        </is>
      </c>
      <c r="F4707" s="23" t="inlineStr">
        <is>
          <t>        </t>
        </is>
      </c>
      <c r="G4707" s="23" t="n">
        <v>284</v>
      </c>
      <c r="H4707" s="23" t="n">
        <v>10</v>
      </c>
      <c r="I4707" s="23" t="n">
        <v>12</v>
      </c>
      <c r="J4707" s="23" t="inlineStr">
        <is>
          <t>978-5-227-11305-4</t>
        </is>
      </c>
      <c r="K4707" s="23" t="inlineStr">
        <is>
          <t>84x108 1/32</t>
        </is>
      </c>
      <c r="L4707" s="23" t="inlineStr">
        <is>
          <t>мяг</t>
        </is>
      </c>
      <c r="M4707" s="23" t="n">
        <v>191</v>
      </c>
      <c r="N4707" s="23" t="n">
        <v>2026</v>
      </c>
      <c r="O4707" s="23" t="n">
        <v>117</v>
      </c>
      <c r="P4707" s="23" t="n"/>
      <c r="Q4707" s="23" t="n"/>
      <c r="R4707" s="25" t="inlineStr">
        <is>
          <t>Автор приглашает вас в увлекательное путешествие по бесконечному космосу внутреннего мира человека, знакомя читателей с особенностями нашей психоэнергетики. Эта книга посвящена свойствам астрального тела, пространству психики, в котором реализуется то, что мы привыкли называть эмоциями и желаниями. _x000D_
Благодаря теоретической информации, простым практическим советам и упражнениям, данным в этой книге, вы легко наладите осознанную  связь с таинственным миром эмоций и желаний, чтобы правильно воспользоваться  ресурсами этого пространства и ощутить его поддержку. Это гарантированно сделает вас баловнем судьбы, успешным, удачливым и даже счастливым человеком, у которого осознанные стремления совпадают с подсознательными желаниями.</t>
        </is>
      </c>
      <c r="S4707" s="26">
        <f>HYPERLINK("http://www.cnpol.ru/covers/22161.jpg","фото на сайте")</f>
        <v/>
      </c>
    </row>
    <row r="4708" ht="50.1" customHeight="1" s="3">
      <c r="A4708" s="23" t="inlineStr">
        <is>
          <t>Д</t>
        </is>
      </c>
      <c r="B4708" s="24" t="inlineStr">
        <is>
          <t>22000</t>
        </is>
      </c>
      <c r="C4708" s="23" t="inlineStr">
        <is>
          <t>СУПЕР Р</t>
        </is>
      </c>
      <c r="D4708" s="23" t="inlineStr">
        <is>
          <t>Меньшикова К.Е.</t>
        </is>
      </c>
      <c r="E4708" s="23" t="inlineStr">
        <is>
          <t>Сила рода - тайна женщины. Сакральные знания для счастливой судьбы</t>
        </is>
      </c>
      <c r="F4708" s="23" t="inlineStr">
        <is>
          <t>        </t>
        </is>
      </c>
      <c r="G4708" s="23" t="n">
        <v>284</v>
      </c>
      <c r="H4708" s="23" t="n">
        <v>10</v>
      </c>
      <c r="I4708" s="23" t="n">
        <v>12</v>
      </c>
      <c r="J4708" s="23" t="inlineStr">
        <is>
          <t>978-5-227-11213-2</t>
        </is>
      </c>
      <c r="K4708" s="23" t="inlineStr">
        <is>
          <t>84x108 1/32</t>
        </is>
      </c>
      <c r="L4708" s="23" t="inlineStr">
        <is>
          <t>мяг</t>
        </is>
      </c>
      <c r="M4708" s="23" t="n">
        <v>191</v>
      </c>
      <c r="N4708" s="23" t="n">
        <v>2026</v>
      </c>
      <c r="O4708" s="23" t="n">
        <v>120</v>
      </c>
      <c r="P4708" s="23" t="n"/>
      <c r="Q4708" s="23" t="n"/>
      <c r="R4708" s="25" t="inlineStr">
        <is>
          <t>Ксения Меньшикова раскрывает родовые тайны, которые веками находились под семью печатями... Сделала она это для того, чтобы живущие вспомнили, кто они такие, и никогда не забывали об этом, чтобы были счастливы их дети и последующие поколения. Автор кричит своим читателям: опомнитесь, мы в ответе не только за свою жизнь! Нет людей без прошлого и без родословной. За каждым из нас стоят сотни предков. Их поступки повлияли на нашу жизнь. Мы продолжаем эту цепочку и закладываем судьбу потомков, будьте бережны к ней… Ведь вы хотите, чтобы они вспоминали вас с благодарностью? _x000D_
Женщины, на вас лежит особая ответственность. Вы — созидательницы и хранительницы, в ваших руках благополучие рода! А род наделяет человека здоровьем, выносливостью и силой выжить при любых обстоятельствах._x000D_
Прочтите книгу, примените полученные знания — и тогда не будет в семейной жизни предательства и разводов, брошенных детей и стариков, ввергнутых в нищету. Не будет сомнений о своем месте в этом мире. Не будет пустых попыток соединиться с тем, с кем по закону и судьбе соединяться противопоказано. Не будет разочарования собой и своей жизнью, страха за своих детей и близких…</t>
        </is>
      </c>
      <c r="S4708" s="26">
        <f>HYPERLINK("http://www.cnpol.ru/covers/22000.jpg","фото на сайте")</f>
        <v/>
      </c>
    </row>
    <row r="4709" ht="50.1" customHeight="1" s="3">
      <c r="A4709" s="23" t="inlineStr">
        <is>
          <t>Д</t>
        </is>
      </c>
      <c r="B4709" s="24" t="inlineStr">
        <is>
          <t>21709</t>
        </is>
      </c>
      <c r="C4709" s="23" t="inlineStr">
        <is>
          <t>СУПЕР Р</t>
        </is>
      </c>
      <c r="D4709" s="23" t="inlineStr">
        <is>
          <t>Меньшикова К.Е.</t>
        </is>
      </c>
      <c r="E4709" s="23" t="inlineStr">
        <is>
          <t>Управляем энергией мысли. Овладеваем возможностями своего Ментала</t>
        </is>
      </c>
      <c r="F4709" s="23" t="inlineStr">
        <is>
          <t>        </t>
        </is>
      </c>
      <c r="G4709" s="23" t="n">
        <v>284</v>
      </c>
      <c r="H4709" s="23" t="n">
        <v>10</v>
      </c>
      <c r="I4709" s="23" t="n">
        <v>12</v>
      </c>
      <c r="J4709" s="23" t="inlineStr">
        <is>
          <t>978-5-227-11102-9</t>
        </is>
      </c>
      <c r="K4709" s="23" t="inlineStr">
        <is>
          <t>84x108 1/32 (обл)</t>
        </is>
      </c>
      <c r="L4709" s="23" t="inlineStr">
        <is>
          <t>мяг</t>
        </is>
      </c>
      <c r="M4709" s="23" t="n">
        <v>223</v>
      </c>
      <c r="N4709" s="23" t="n">
        <v>2025</v>
      </c>
      <c r="O4709" s="23" t="n">
        <v>135</v>
      </c>
      <c r="P4709" s="23" t="n"/>
      <c r="Q4709" s="23" t="n"/>
      <c r="R4709" s="25" t="inlineStr">
        <is>
          <t>Книга поможет вам понять, почему зачастую нам не удается достичь желанных целей, почему определенные события происходят именно с нами, от чего это зависит и можем ли мы повлиять на свою собственную судьбу. Вы научитесь прислушиваться к своему внутреннему миру, наконец, избавитесь от жестких ментальных конструкций, которые долгое время сковывали ваше сознание, а самое главное — научитесь мыслить правильно. Наши мысли — зеркало внутреннего мира. Через изменение мыслей можно изменить свою жизнь! Дерзайте, и, быть может, уже завтра ваша жизнь кардинально изменится…</t>
        </is>
      </c>
      <c r="S4709" s="26">
        <f>HYPERLINK("http://www.cnpol.ru/covers/21709.jpg","фото на сайте")</f>
        <v/>
      </c>
    </row>
    <row r="4710" ht="50.1" customHeight="1" s="3">
      <c r="A4710" s="23" t="inlineStr">
        <is>
          <t>Д</t>
        </is>
      </c>
      <c r="B4710" s="24" t="inlineStr">
        <is>
          <t>21835</t>
        </is>
      </c>
      <c r="C4710" s="23" t="inlineStr">
        <is>
          <t>СУПЕР Р</t>
        </is>
      </c>
      <c r="D4710" s="23" t="inlineStr">
        <is>
          <t>Меньшикова К.Е.</t>
        </is>
      </c>
      <c r="E4710" s="23" t="inlineStr">
        <is>
          <t>Хитросплетения судьбы, или В каком измерении ты живешь? Методы преобразования сознания.</t>
        </is>
      </c>
      <c r="F4710" s="23" t="inlineStr">
        <is>
          <t>        </t>
        </is>
      </c>
      <c r="G4710" s="23" t="n">
        <v>284</v>
      </c>
      <c r="H4710" s="23" t="n">
        <v>10</v>
      </c>
      <c r="I4710" s="23" t="n">
        <v>18</v>
      </c>
      <c r="J4710" s="23" t="inlineStr">
        <is>
          <t>978-5-227-11165-4</t>
        </is>
      </c>
      <c r="K4710" s="23" t="inlineStr">
        <is>
          <t>84x108 1/32 (обл)</t>
        </is>
      </c>
      <c r="L4710" s="23" t="inlineStr">
        <is>
          <t>мяг</t>
        </is>
      </c>
      <c r="M4710" s="23" t="n">
        <v>160</v>
      </c>
      <c r="N4710" s="23" t="n">
        <v>2025</v>
      </c>
      <c r="O4710" s="23" t="n">
        <v>102</v>
      </c>
      <c r="P4710" s="23" t="n"/>
      <c r="Q4710" s="23" t="n"/>
      <c r="R4710" s="25" t="inlineStr">
        <is>
          <t>Ты держишь в руках книгу, которая поможет тебе изменить свою жизнь. Она поможет правильно оценить все обстоятельства и события, которые привели к результату сегодняшнего дня. Поможет разобраться в хитросплетениях судьбы. Поможет понять причину болезни и устранить ее. Поможет понять, как реализуются мысли в этом мире и что нужно делать, чтобы желания исполнялись.</t>
        </is>
      </c>
      <c r="S4710" s="26">
        <f>HYPERLINK("http://www.cnpol.ru/covers/21835.jpg","фото на сайте")</f>
        <v/>
      </c>
    </row>
    <row r="4711" ht="50.1" customHeight="1" s="3">
      <c r="A4711" s="23" t="n"/>
      <c r="B4711" s="24" t="inlineStr">
        <is>
          <t>11584</t>
        </is>
      </c>
      <c r="C4711" s="23" t="inlineStr">
        <is>
          <t>СУПЕРКНИГА</t>
        </is>
      </c>
      <c r="D4711" s="23" t="inlineStr">
        <is>
          <t>Сафин А.</t>
        </is>
      </c>
      <c r="E4711" s="23" t="inlineStr">
        <is>
          <t>Неписаный кодекс везунчика Как стать баловнем судьбы</t>
        </is>
      </c>
      <c r="F4711" s="23" t="inlineStr">
        <is>
          <t>        </t>
        </is>
      </c>
      <c r="G4711" s="23" t="n">
        <v>115</v>
      </c>
      <c r="H4711" s="23" t="n">
        <v>10</v>
      </c>
      <c r="I4711" s="23" t="n">
        <v>40</v>
      </c>
      <c r="J4711" s="23" t="inlineStr">
        <is>
          <t>978-5-9524-4532-1</t>
        </is>
      </c>
      <c r="K4711" s="23" t="inlineStr">
        <is>
          <t>84x108 1/32 (обл)</t>
        </is>
      </c>
      <c r="L4711" s="23" t="inlineStr">
        <is>
          <t>мяг</t>
        </is>
      </c>
      <c r="M4711" s="23" t="n">
        <v>126</v>
      </c>
      <c r="N4711" s="23" t="n">
        <v>2009</v>
      </c>
      <c r="O4711" s="23" t="n">
        <v>82</v>
      </c>
      <c r="P4711" s="23" t="n"/>
      <c r="Q4711" s="23" t="n"/>
      <c r="R4711" s="25" t="n"/>
      <c r="S4711" s="26">
        <f>HYPERLINK("http://www.cnpol.ru/covers/11584.jpg","фото на сайте")</f>
        <v/>
      </c>
    </row>
    <row r="4712" ht="50.1" customHeight="1" s="3">
      <c r="A4712" s="23" t="n"/>
      <c r="B4712" s="24" t="inlineStr">
        <is>
          <t>12329</t>
        </is>
      </c>
      <c r="C4712" s="23" t="inlineStr">
        <is>
          <t>СЧАСТЬЕ</t>
        </is>
      </c>
      <c r="D4712" s="23" t="inlineStr">
        <is>
          <t>Сябитова Р.</t>
        </is>
      </c>
      <c r="E4712" s="23" t="inlineStr">
        <is>
          <t>Почему одних любят, а на других женятся. Секреты успешного замужества. Советы первой свахи России</t>
        </is>
      </c>
      <c r="F4712" s="23" t="inlineStr">
        <is>
          <t>        </t>
        </is>
      </c>
      <c r="G4712" s="23" t="n">
        <v>320</v>
      </c>
      <c r="H4712" s="23" t="n">
        <v>10</v>
      </c>
      <c r="I4712" s="23" t="n">
        <v>16</v>
      </c>
      <c r="J4712" s="23" t="inlineStr">
        <is>
          <t>978-5-227-02472-5</t>
        </is>
      </c>
      <c r="K4712" s="23" t="inlineStr">
        <is>
          <t>84x108 1/32</t>
        </is>
      </c>
      <c r="L4712" s="23" t="inlineStr">
        <is>
          <t>тв</t>
        </is>
      </c>
      <c r="M4712" s="23" t="n">
        <v>222</v>
      </c>
      <c r="N4712" s="23" t="n">
        <v>2010</v>
      </c>
      <c r="O4712" s="23" t="n">
        <v>210</v>
      </c>
      <c r="P4712" s="23" t="n"/>
      <c r="Q4712" s="23" t="n"/>
      <c r="R4712" s="25" t="n"/>
      <c r="S4712" s="26">
        <f>HYPERLINK("http://www.cnpol.ru/covers/12329.jpg","фото на сайте")</f>
        <v/>
      </c>
    </row>
    <row r="4713" ht="50.1" customHeight="1" s="3">
      <c r="A4713" s="23" t="n"/>
      <c r="B4713" s="24" t="inlineStr">
        <is>
          <t>12969</t>
        </is>
      </c>
      <c r="C4713" s="23" t="inlineStr">
        <is>
          <t>СЧАСТЬЕ</t>
        </is>
      </c>
      <c r="D4713" s="23" t="inlineStr">
        <is>
          <t>Сябитова Р.</t>
        </is>
      </c>
      <c r="E4713" s="23" t="inlineStr">
        <is>
          <t>Семейная жизнь. Инструкция по применению</t>
        </is>
      </c>
      <c r="F4713" s="23" t="inlineStr">
        <is>
          <t>        </t>
        </is>
      </c>
      <c r="G4713" s="23" t="n">
        <v>419</v>
      </c>
      <c r="H4713" s="23" t="n">
        <v>10</v>
      </c>
      <c r="I4713" s="23" t="n">
        <v>14</v>
      </c>
      <c r="J4713" s="23" t="inlineStr">
        <is>
          <t>978-5-227-02911-9</t>
        </is>
      </c>
      <c r="K4713" s="23" t="inlineStr">
        <is>
          <t>84x108 1/32</t>
        </is>
      </c>
      <c r="L4713" s="23" t="inlineStr">
        <is>
          <t>тв</t>
        </is>
      </c>
      <c r="M4713" s="23" t="n">
        <v>346</v>
      </c>
      <c r="N4713" s="23" t="n">
        <v>2011</v>
      </c>
      <c r="O4713" s="23" t="n">
        <v>304</v>
      </c>
      <c r="P4713" s="23" t="n"/>
      <c r="Q4713" s="23" t="n"/>
      <c r="R4713" s="25" t="n"/>
      <c r="S4713" s="26">
        <f>HYPERLINK("http://www.cnpol.ru/covers/12969.jpg","фото на сайте")</f>
        <v/>
      </c>
    </row>
    <row r="4714" ht="50.1" customHeight="1" s="3">
      <c r="A4714" s="23" t="inlineStr">
        <is>
          <t>Н</t>
        </is>
      </c>
      <c r="B4714" s="24" t="inlineStr">
        <is>
          <t>21701</t>
        </is>
      </c>
      <c r="C4714" s="23" t="inlineStr">
        <is>
          <t>СЭ НОВ</t>
        </is>
      </c>
      <c r="D4714" s="23" t="inlineStr">
        <is>
          <t>Долгоруков П.Д.</t>
        </is>
      </c>
      <c r="E4714" s="23" t="inlineStr">
        <is>
          <t>Великая разруха. Воспоминания основателя партии кадетов. 1916—1926</t>
        </is>
      </c>
      <c r="F4714" s="23" t="inlineStr">
        <is>
          <t>        </t>
        </is>
      </c>
      <c r="G4714" s="27" t="n">
        <v>1110</v>
      </c>
      <c r="H4714" s="23" t="n">
        <v>10</v>
      </c>
      <c r="I4714" s="23" t="n">
        <v>5</v>
      </c>
      <c r="J4714" s="23" t="inlineStr">
        <is>
          <t>978-5-227-10292-8</t>
        </is>
      </c>
      <c r="K4714" s="23" t="inlineStr">
        <is>
          <t>84x108 1/32</t>
        </is>
      </c>
      <c r="L4714" s="23" t="inlineStr">
        <is>
          <t>тв</t>
        </is>
      </c>
      <c r="M4714" s="23" t="n">
        <v>367</v>
      </c>
      <c r="N4714" s="23" t="n">
        <v>2023</v>
      </c>
      <c r="O4714" s="23" t="n">
        <v>420</v>
      </c>
      <c r="P4714" s="23" t="n"/>
      <c r="Q4714" s="23" t="n"/>
      <c r="R4714" s="25" t="inlineStr">
        <is>
          <t>Павел Дмитриевич Долгоруков — деятель земского либерального движения, один из основателей Союза Освобождения, кадетской партии. Выступал против применения насилия в революции и против самой революции. Летом 1917-го пришел к выводу о необходимости установления военной диктатуры. После Октябрьской революции участвовал в Белом движении, член «Национального центра». С 1920-го в эмиграции. В 1926-м для выяснения ситуации в СССР нелегально перешел границу, был арестован и через год расстрелян. В книгу включены воспоминания Петра Дмитриевича, его брата и многих замечательных людей того времени...</t>
        </is>
      </c>
      <c r="S4714" s="26">
        <f>HYPERLINK("http://www.cnpol.ru/covers/21701.jpg","фото на сайте")</f>
        <v/>
      </c>
    </row>
    <row r="4715" ht="50.1" customHeight="1" s="3">
      <c r="A4715" s="23" t="n"/>
      <c r="B4715" s="24" t="inlineStr">
        <is>
          <t>19913</t>
        </is>
      </c>
      <c r="C4715" s="23" t="inlineStr">
        <is>
          <t>СЭ НОВ</t>
        </is>
      </c>
      <c r="D4715" s="23" t="inlineStr">
        <is>
          <t>Бьюкенен Д.</t>
        </is>
      </c>
      <c r="E4715" s="23" t="inlineStr">
        <is>
          <t>Моя миссия в России. Воспоминания английского дипломата. 1910—1918</t>
        </is>
      </c>
      <c r="F4715" s="23" t="inlineStr">
        <is>
          <t>        </t>
        </is>
      </c>
      <c r="G4715" s="27" t="n">
        <v>1165</v>
      </c>
      <c r="H4715" s="23" t="n">
        <v>10</v>
      </c>
      <c r="I4715" s="23" t="n">
        <v>10</v>
      </c>
      <c r="J4715" s="23" t="inlineStr">
        <is>
          <t>978-5-9524-5628-0</t>
        </is>
      </c>
      <c r="K4715" s="23" t="inlineStr">
        <is>
          <t>84x108 1/32</t>
        </is>
      </c>
      <c r="L4715" s="23" t="inlineStr">
        <is>
          <t>тв</t>
        </is>
      </c>
      <c r="M4715" s="23" t="n">
        <v>399</v>
      </c>
      <c r="N4715" s="23" t="n">
        <v>2021</v>
      </c>
      <c r="O4715" s="23" t="n">
        <v>472</v>
      </c>
      <c r="P4715" s="23" t="n"/>
      <c r="Q4715" s="23" t="n"/>
      <c r="R4715" s="25" t="n"/>
      <c r="S4715" s="26">
        <f>HYPERLINK("http://www.cnpol.ru/covers/19913.jpg","фото на сайте")</f>
        <v/>
      </c>
    </row>
    <row r="4716" ht="50.1" customHeight="1" s="3">
      <c r="A4716" s="23" t="inlineStr">
        <is>
          <t>Н</t>
        </is>
      </c>
      <c r="B4716" s="24" t="inlineStr">
        <is>
          <t>21299</t>
        </is>
      </c>
      <c r="C4716" s="23" t="inlineStr">
        <is>
          <t>СЭ НОВ</t>
        </is>
      </c>
      <c r="D4716" s="23" t="inlineStr">
        <is>
          <t>Кулаев Иван Васильевич</t>
        </is>
      </c>
      <c r="E4716" s="23" t="inlineStr">
        <is>
          <t>Под счастливой звездой. Как делали миллионные состояния в России. Воспоминания сибирского золотопромышленника. 1875—1930</t>
        </is>
      </c>
      <c r="F4716" s="23" t="inlineStr">
        <is>
          <t>        </t>
        </is>
      </c>
      <c r="G4716" s="23" t="n">
        <v>766</v>
      </c>
      <c r="H4716" s="23" t="n">
        <v>10</v>
      </c>
      <c r="I4716" s="23" t="n">
        <v>16</v>
      </c>
      <c r="J4716" s="23" t="inlineStr">
        <is>
          <t>978-5-227-10293-5</t>
        </is>
      </c>
      <c r="K4716" s="23" t="inlineStr">
        <is>
          <t>84x108 1/32</t>
        </is>
      </c>
      <c r="L4716" s="23" t="inlineStr">
        <is>
          <t>тв</t>
        </is>
      </c>
      <c r="M4716" s="23" t="n">
        <v>222</v>
      </c>
      <c r="N4716" s="23" t="n">
        <v>2024</v>
      </c>
      <c r="O4716" s="23" t="n">
        <v>263</v>
      </c>
      <c r="P4716" s="23" t="n"/>
      <c r="Q4716" s="23" t="n"/>
      <c r="R4716" s="25" t="inlineStr">
        <is>
          <t>Удивительная жизнь и судьба Ивана Васильевича Кулаева может послужить примером для истинного предпринимателя. Он пытал счастья на приисках в тундре, тонул подо льдом Енисея, пережил китайское боксерское восстание, Русско-японскую и Первую мировую войну, революцию, национализацию имущества, бандитское похищение... Каждый раз начиная с нуля, он верил в свою удачу, в свою счастливую звезду. В книге воссоздана подлинная атмосфера быта, экономики и промышленности Сибири начала века.</t>
        </is>
      </c>
      <c r="S4716" s="26">
        <f>HYPERLINK("http://www.cnpol.ru/covers/21299.jpg","фото на сайте")</f>
        <v/>
      </c>
    </row>
    <row r="4717" ht="50.1" customHeight="1" s="3">
      <c r="A4717" s="23" t="inlineStr">
        <is>
          <t>Н</t>
        </is>
      </c>
      <c r="B4717" s="24" t="inlineStr">
        <is>
          <t>21724</t>
        </is>
      </c>
      <c r="C4717" s="23" t="inlineStr">
        <is>
          <t>СЭ НОВ</t>
        </is>
      </c>
      <c r="D4717" s="23" t="inlineStr">
        <is>
          <t>Уильямсон Х.</t>
        </is>
      </c>
      <c r="E4717" s="23" t="inlineStr">
        <is>
          <t>Прощание с Доном: Гражданская война в России в дневниках британского офицера. 1919—1920</t>
        </is>
      </c>
      <c r="F4717" s="23" t="inlineStr">
        <is>
          <t>        </t>
        </is>
      </c>
      <c r="G4717" s="27" t="n">
        <v>1009</v>
      </c>
      <c r="H4717" s="23" t="n">
        <v>10</v>
      </c>
      <c r="I4717" s="23" t="n">
        <v>5</v>
      </c>
      <c r="J4717" s="23" t="inlineStr">
        <is>
          <t>978-5-9524-5925-0</t>
        </is>
      </c>
      <c r="K4717" s="23" t="inlineStr">
        <is>
          <t>84x108 1/32</t>
        </is>
      </c>
      <c r="L4717" s="23" t="inlineStr">
        <is>
          <t>тв</t>
        </is>
      </c>
      <c r="M4717" s="23" t="n">
        <v>303</v>
      </c>
      <c r="N4717" s="23" t="n">
        <v>2025</v>
      </c>
      <c r="O4717" s="23" t="n">
        <v>520</v>
      </c>
      <c r="P4717" s="23" t="n"/>
      <c r="Q4717" s="23" t="n"/>
      <c r="R4717" s="25" t="inlineStr">
        <is>
          <t>Роль Англии во внутренних делах России, история так называемой интервенции и трагедия раздираемого Гражданской войной населения — вот основной предмет повествования Хадлстона Уильямсона. Записи велись по горячим следам событий. Автор рисует яркие запоминающиеся портреты Корнилова и Деникина, делает впечатляющие панорамные зарисовки фронтов и эпизодов важнейших сражений, дает характеристику организации и боевого духа Российской армии и отдельных ее представителей.</t>
        </is>
      </c>
      <c r="S4717" s="26">
        <f>HYPERLINK("http://www.cnpol.ru/covers/21724.jpg","фото на сайте")</f>
        <v/>
      </c>
    </row>
    <row r="4718" ht="50.1" customHeight="1" s="3">
      <c r="A4718" s="23" t="inlineStr">
        <is>
          <t>Н</t>
        </is>
      </c>
      <c r="B4718" s="24" t="inlineStr">
        <is>
          <t>21217</t>
        </is>
      </c>
      <c r="C4718" s="23" t="inlineStr">
        <is>
          <t>СЭГ</t>
        </is>
      </c>
      <c r="D4718" s="23" t="inlineStr">
        <is>
          <t>Бейли Г.</t>
        </is>
      </c>
      <c r="E4718" s="23" t="inlineStr">
        <is>
          <t>Забытый язык символов. Расшифровка знаков и эмблем мистических обществ Средневековья</t>
        </is>
      </c>
      <c r="F4718" s="23" t="inlineStr">
        <is>
          <t>        </t>
        </is>
      </c>
      <c r="G4718" s="27" t="n">
        <v>1546</v>
      </c>
      <c r="H4718" s="23" t="n">
        <v>10</v>
      </c>
      <c r="I4718" s="23" t="n">
        <v>8</v>
      </c>
      <c r="J4718" s="23" t="inlineStr">
        <is>
          <t>978-5-9524-6057-7</t>
        </is>
      </c>
      <c r="K4718" s="23" t="inlineStr">
        <is>
          <t>60x90 1/16</t>
        </is>
      </c>
      <c r="L4718" s="23" t="inlineStr">
        <is>
          <t>тв</t>
        </is>
      </c>
      <c r="M4718" s="23" t="n">
        <v>573</v>
      </c>
      <c r="N4718" s="23" t="n">
        <v>2024</v>
      </c>
      <c r="O4718" s="23" t="n">
        <v>657</v>
      </c>
      <c r="P4718" s="23" t="n"/>
      <c r="Q4718" s="23" t="n"/>
      <c r="R4718" s="25" t="inlineStr">
        <is>
          <t>Известный английский исследователь Гарольд Бейли в своей книге предлагает оригинальную теорию прочтения языка символов. Он считает, что символы были средством общения и взаимного ободрения для всех посвященных в тайны определенной секты._x000D_
Автор изучает сложные фигуры и символы гностиков, иероглифические рисунки масонских знаков, эмблемы печатников, торговые знаки в виде символических изображений животных и предметов, рассматривая их как важные исторические документы, проливающие свет на развитие европейской мысли и на многие неясные проблемы прошлого.</t>
        </is>
      </c>
      <c r="S4718" s="26">
        <f>HYPERLINK("http://www.cnpol.ru/covers/21217.jpg","фото на сайте")</f>
        <v/>
      </c>
    </row>
    <row r="4719" ht="50.1" customHeight="1" s="3">
      <c r="A4719" s="23" t="inlineStr">
        <is>
          <t>Н</t>
        </is>
      </c>
      <c r="B4719" s="24" t="inlineStr">
        <is>
          <t>21190</t>
        </is>
      </c>
      <c r="C4719" s="23" t="inlineStr">
        <is>
          <t>СЭГ</t>
        </is>
      </c>
      <c r="D4719" s="23" t="inlineStr">
        <is>
          <t>Кирло Х.</t>
        </is>
      </c>
      <c r="E4719" s="23" t="inlineStr">
        <is>
          <t>Словарь символов. 1000 статей о важнейших понятиях религии, литературы, архитектуры, истории</t>
        </is>
      </c>
      <c r="F4719" s="23" t="inlineStr">
        <is>
          <t>        </t>
        </is>
      </c>
      <c r="G4719" s="27" t="n">
        <v>1560</v>
      </c>
      <c r="H4719" s="23" t="n">
        <v>10</v>
      </c>
      <c r="I4719" s="23" t="n">
        <v>8</v>
      </c>
      <c r="J4719" s="23" t="inlineStr">
        <is>
          <t>978-5-9524-5757-7</t>
        </is>
      </c>
      <c r="K4719" s="23" t="inlineStr">
        <is>
          <t>60x90 1/16</t>
        </is>
      </c>
      <c r="L4719" s="23" t="inlineStr">
        <is>
          <t>тв</t>
        </is>
      </c>
      <c r="M4719" s="23" t="n">
        <v>525</v>
      </c>
      <c r="N4719" s="23" t="n">
        <v>2024</v>
      </c>
      <c r="O4719" s="23" t="n">
        <v>618</v>
      </c>
      <c r="P4719" s="23" t="n"/>
      <c r="Q4719" s="23" t="n"/>
      <c r="R4719" s="25" t="inlineStr">
        <is>
          <t>Испанский искусствовед Хуан Кирло, теоретик «Барселонской школы», познакомит вас с загадочными визуальными символами, ведущими свое начало из глубокой древности. Кирло последовательно и глубоко раскрывает значение таких символов мировой культуры, как ЧИСЛО, ВОДА, КРЕСТ, КАДУЦЕЙ и многие другие, в их историческом, социальном и ритуально-мистическом аспектах, четко отмечая границы самого понятия «символ». Уникальный иллюстрированный словарь содержит около тысячи искусствоведческих статей, описывающих символы, принятые для обозначения целого комплекса понятий в религии, мифологии, живописи, литературе и архитектуре.</t>
        </is>
      </c>
      <c r="S4719" s="26">
        <f>HYPERLINK("http://www.cnpol.ru/covers/21190.jpg","фото на сайте")</f>
        <v/>
      </c>
    </row>
    <row r="4720" ht="50.1" customHeight="1" s="3">
      <c r="A4720" s="23" t="n"/>
      <c r="B4720" s="24" t="inlineStr">
        <is>
          <t>4509</t>
        </is>
      </c>
      <c r="C4720" s="23" t="inlineStr">
        <is>
          <t>ТАЙНЫ МВ</t>
        </is>
      </c>
      <c r="D4720" s="23" t="inlineStr">
        <is>
          <t>Мурхед А.</t>
        </is>
      </c>
      <c r="E4720" s="23" t="inlineStr">
        <is>
          <t>Борьба за Дарданеллы</t>
        </is>
      </c>
      <c r="F4720" s="23" t="inlineStr">
        <is>
          <t>        </t>
        </is>
      </c>
      <c r="G4720" s="23" t="n">
        <v>389</v>
      </c>
      <c r="H4720" s="23" t="n">
        <v>10</v>
      </c>
      <c r="I4720" s="23" t="n">
        <v>12</v>
      </c>
      <c r="J4720" s="23" t="inlineStr">
        <is>
          <t>5-9524-0729-3</t>
        </is>
      </c>
      <c r="K4720" s="23" t="inlineStr">
        <is>
          <t>84x108 1/32</t>
        </is>
      </c>
      <c r="L4720" s="23" t="inlineStr">
        <is>
          <t>тв</t>
        </is>
      </c>
      <c r="M4720" s="23" t="n">
        <v>383</v>
      </c>
      <c r="N4720" s="23" t="n">
        <v>2004</v>
      </c>
      <c r="O4720" s="23" t="n">
        <v>338</v>
      </c>
      <c r="P4720" s="23" t="n"/>
      <c r="Q4720" s="23" t="n"/>
      <c r="R4720" s="25" t="inlineStr">
        <is>
          <t>В книге Алана Мурхеда рассказывается об одной из самых значительных операций Первой мировой войны под турецким городом Гелиболу (Галлиполи). За власть над Дарданеллами, Босфором и Константинополем столкнулись интересы великих держав: Англии и Франции, которым оказала сопротивление экономически отсталая, истощенная в Балканских войнах Турция при поддержке Германии. Из-за противоречий среди союзников, плохой подготовки, а также отсутствия единого командования Дарданелльская операция не достигла цели. Союзные войска понесли огромные потери. Автор анализирует причины поражения и делает обобщающие выводы о его последствиях.</t>
        </is>
      </c>
      <c r="S4720" s="26">
        <f>HYPERLINK("http://www.cnpol.ru/covers/4509.jpg","фото на сайте")</f>
        <v/>
      </c>
    </row>
    <row r="4721" ht="50.1" customHeight="1" s="3">
      <c r="A4721" s="23" t="n"/>
      <c r="B4721" s="24" t="inlineStr">
        <is>
          <t>14176</t>
        </is>
      </c>
      <c r="C4721" s="23" t="inlineStr">
        <is>
          <t>ТОДД</t>
        </is>
      </c>
      <c r="D4721" s="23" t="inlineStr">
        <is>
          <t>Тодд Ч.</t>
        </is>
      </c>
      <c r="E4721" s="23" t="inlineStr">
        <is>
          <t>Хладнокровное предательство</t>
        </is>
      </c>
      <c r="F4721" s="23" t="inlineStr">
        <is>
          <t>        </t>
        </is>
      </c>
      <c r="G4721" s="23" t="n">
        <v>672</v>
      </c>
      <c r="H4721" s="23" t="n">
        <v>10</v>
      </c>
      <c r="I4721" s="23" t="n">
        <v>14</v>
      </c>
      <c r="J4721" s="23" t="inlineStr">
        <is>
          <t>978-5-227-04234-7</t>
        </is>
      </c>
      <c r="K4721" s="23" t="inlineStr">
        <is>
          <t>84x108 1/32</t>
        </is>
      </c>
      <c r="L4721" s="23" t="inlineStr">
        <is>
          <t>тв</t>
        </is>
      </c>
      <c r="M4721" s="23" t="n">
        <v>352</v>
      </c>
      <c r="N4721" s="23" t="n">
        <v>2013</v>
      </c>
      <c r="O4721" s="23" t="n">
        <v>378</v>
      </c>
      <c r="P4721" s="23" t="n"/>
      <c r="Q4721" s="23" t="n"/>
      <c r="R4721" s="25" t="n"/>
      <c r="S4721" s="26">
        <f>HYPERLINK("http://www.cnpol.ru/covers/14176.jpg","фото на сайте")</f>
        <v/>
      </c>
    </row>
    <row r="4722" ht="50.1" customHeight="1" s="3">
      <c r="A4722" s="23" t="n"/>
      <c r="B4722" s="24" t="inlineStr">
        <is>
          <t>10944</t>
        </is>
      </c>
      <c r="C4722" s="23" t="inlineStr">
        <is>
          <t>ТОП</t>
        </is>
      </c>
      <c r="D4722" s="23" t="inlineStr">
        <is>
          <t>Джеймс П.</t>
        </is>
      </c>
      <c r="E4722" s="23" t="inlineStr">
        <is>
          <t>Алхимик кн.1</t>
        </is>
      </c>
      <c r="F4722" s="23" t="inlineStr">
        <is>
          <t>        </t>
        </is>
      </c>
      <c r="G4722" s="23" t="n">
        <v>615</v>
      </c>
      <c r="H4722" s="23" t="n">
        <v>10</v>
      </c>
      <c r="I4722" s="23" t="n">
        <v>12</v>
      </c>
      <c r="J4722" s="23" t="inlineStr">
        <is>
          <t>978-5-9524-4103-3</t>
        </is>
      </c>
      <c r="K4722" s="23" t="inlineStr">
        <is>
          <t>84x108 1/32</t>
        </is>
      </c>
      <c r="L4722" s="23" t="inlineStr">
        <is>
          <t>тв</t>
        </is>
      </c>
      <c r="M4722" s="23" t="n">
        <v>447</v>
      </c>
      <c r="N4722" s="23" t="n">
        <v>2008</v>
      </c>
      <c r="O4722" s="23" t="n">
        <v>354</v>
      </c>
      <c r="P4722" s="23" t="n"/>
      <c r="Q4722" s="23" t="n"/>
      <c r="R4722" s="25" t="inlineStr">
        <is>
          <t>Сбылась мечта Монти, дочери гениального ученого Дика Баннермана, — отец согласился на более чем заманчивое предложение одной из самых крупных фармацевтических фирм «Бендикс Шер». Теперь им не нужно ломать голову, где достать деньги на исследования. На роскошных условиях в фирму принят весь коллектив лаборатории Баннермана. Казалось бы, все складывается прекрасно, но при странных обстоятельствах один за другим стали погибать люди, и началось это сразу же после попытки Монти и ее друга Коннора Моллоя выяснить, что за страшный заряд несет в себе лекарство от бесплодия и почему женщины, принимавшие его, погибают в родах, а младенцы появляются на свет не способными к жизни уродами...</t>
        </is>
      </c>
      <c r="S4722" s="26">
        <f>HYPERLINK("http://www.cnpol.ru/covers/10944.jpg","фото на сайте")</f>
        <v/>
      </c>
    </row>
    <row r="4723" ht="50.1" customHeight="1" s="3">
      <c r="A4723" s="23" t="n"/>
      <c r="B4723" s="24" t="inlineStr">
        <is>
          <t>11083</t>
        </is>
      </c>
      <c r="C4723" s="23" t="inlineStr">
        <is>
          <t>ТОП</t>
        </is>
      </c>
      <c r="D4723" s="23" t="inlineStr">
        <is>
          <t>Хаслэм К.</t>
        </is>
      </c>
      <c r="E4723" s="23" t="inlineStr">
        <is>
          <t>Двенадцать шагов фанданго</t>
        </is>
      </c>
      <c r="F4723" s="23" t="inlineStr">
        <is>
          <t>        </t>
        </is>
      </c>
      <c r="G4723" s="23" t="n">
        <v>615</v>
      </c>
      <c r="H4723" s="23" t="n">
        <v>10</v>
      </c>
      <c r="I4723" s="23" t="n">
        <v>12</v>
      </c>
      <c r="J4723" s="23" t="inlineStr">
        <is>
          <t>978-5-9524-4227-6</t>
        </is>
      </c>
      <c r="K4723" s="23" t="inlineStr">
        <is>
          <t>84x108 1/32</t>
        </is>
      </c>
      <c r="L4723" s="23" t="inlineStr">
        <is>
          <t>тв</t>
        </is>
      </c>
      <c r="M4723" s="23" t="n">
        <v>350</v>
      </c>
      <c r="N4723" s="23" t="n">
        <v>2009</v>
      </c>
      <c r="O4723" s="23" t="n">
        <v>338</v>
      </c>
      <c r="P4723" s="23" t="n"/>
      <c r="Q4723" s="23" t="n"/>
      <c r="R4723" s="25" t="inlineStr">
        <is>
          <t>Мартин Брок — негодяй. Ему это известно, так же как и его любовнице, скандалистке Луизе. Прожигающий жизнь англичанин, он занимается сбытом кокаина на Коста-дель-Соль. Воли Мартина хватает только на то, чтобы мечтать о колоссальной сделке, которая радикально изменит его бесполезное существование. Мечта его сбывается, но пять килограммов кокаина стоят слишком дорого. Брок сполна заплатит за них смертельным ужасом, узнает, что такое самое страшное предательство и гибель близких...</t>
        </is>
      </c>
      <c r="S4723" s="26">
        <f>HYPERLINK("http://www.cnpol.ru/covers/11083.jpg","фото на сайте")</f>
        <v/>
      </c>
    </row>
    <row r="4724" ht="50.1" customHeight="1" s="3">
      <c r="A4724" s="23" t="n"/>
      <c r="B4724" s="24" t="inlineStr">
        <is>
          <t>10814</t>
        </is>
      </c>
      <c r="C4724" s="23" t="inlineStr">
        <is>
          <t>ТОП</t>
        </is>
      </c>
      <c r="D4724" s="23" t="inlineStr">
        <is>
          <t>Сяолун Цю</t>
        </is>
      </c>
      <c r="E4724" s="23" t="inlineStr">
        <is>
          <t>Когда красное становится черным</t>
        </is>
      </c>
      <c r="F4724" s="23" t="inlineStr">
        <is>
          <t>        </t>
        </is>
      </c>
      <c r="G4724" s="23" t="n">
        <v>615</v>
      </c>
      <c r="H4724" s="23" t="n">
        <v>10</v>
      </c>
      <c r="I4724" s="23" t="n">
        <v>14</v>
      </c>
      <c r="J4724" s="23" t="inlineStr">
        <is>
          <t>978-5-9524-3943-6</t>
        </is>
      </c>
      <c r="K4724" s="23" t="inlineStr">
        <is>
          <t>84x108 1/32</t>
        </is>
      </c>
      <c r="L4724" s="23" t="inlineStr">
        <is>
          <t>тв</t>
        </is>
      </c>
      <c r="M4724" s="23" t="n">
        <v>318</v>
      </c>
      <c r="N4724" s="23" t="n">
        <v>2008</v>
      </c>
      <c r="O4724" s="23" t="n">
        <v>304</v>
      </c>
      <c r="P4724" s="23" t="n"/>
      <c r="Q4724" s="23" t="n"/>
      <c r="R4724" s="25" t="inlineStr">
        <is>
          <t>В многонаселенном старом доме найден труп пожилой женщины. Замкнутая и необщительная, она не имела ни друзей, ни знакомых, поэтому обнаружить хоть какую-нибудь улику или мотив преступления было трудно. Под подозрение попадают все жильцы дома. Инспектор Чэнь с головой погружается в изучение прошлого жертвы, желая понять, в чем корни произошедшей драмы, и неожиданно вычисляет таинственного убийцу...</t>
        </is>
      </c>
      <c r="S4724" s="26">
        <f>HYPERLINK("http://www.cnpol.ru/covers/10814.jpg","фото на сайте")</f>
        <v/>
      </c>
    </row>
    <row r="4725" ht="50.1" customHeight="1" s="3">
      <c r="A4725" s="23" t="n"/>
      <c r="B4725" s="24" t="inlineStr">
        <is>
          <t>11214</t>
        </is>
      </c>
      <c r="C4725" s="23" t="inlineStr">
        <is>
          <t>ТОП</t>
        </is>
      </c>
      <c r="D4725" s="23" t="inlineStr">
        <is>
          <t>Чарли С.</t>
        </is>
      </c>
      <c r="E4725" s="23" t="inlineStr">
        <is>
          <t>Крутые парни</t>
        </is>
      </c>
      <c r="F4725" s="23" t="inlineStr">
        <is>
          <t>        </t>
        </is>
      </c>
      <c r="G4725" s="23" t="n">
        <v>615</v>
      </c>
      <c r="H4725" s="23" t="n">
        <v>10</v>
      </c>
      <c r="I4725" s="23" t="n">
        <v>16</v>
      </c>
      <c r="J4725" s="23" t="inlineStr">
        <is>
          <t>978-5-9524-4290-0</t>
        </is>
      </c>
      <c r="K4725" s="23" t="inlineStr">
        <is>
          <t>84x108 1/32</t>
        </is>
      </c>
      <c r="L4725" s="23" t="inlineStr">
        <is>
          <t>тв</t>
        </is>
      </c>
      <c r="M4725" s="23" t="n">
        <v>223</v>
      </c>
      <c r="N4725" s="23" t="n">
        <v>2009</v>
      </c>
      <c r="O4725" s="23" t="n">
        <v>248</v>
      </c>
      <c r="P4725" s="23" t="n"/>
      <c r="Q4725" s="23" t="n"/>
      <c r="R4725" s="25" t="inlineStr">
        <is>
          <t>Джимми Манджино, прозванный за необычайную физическую силу Качок, — стопроцентный боевик-гангстер. Только что освободившийся из тюрьмы, он вновь принимается за дела. Его мечта — вступить в мафию, стать своим в криминальном клане Виньери. Он готов на все за право быть членом «семьи» и поэтому не брезгует ни шантажом, ни насилием, ни убийством. Джимми Качку противостоят два честных копа — детективы нью-йоркской полиции Алекс Павлик и Джон Денафриа. Они ведут поединок с по-на¬стоя¬щему опасным, хитрым и жестоким преступником.</t>
        </is>
      </c>
      <c r="S4725" s="26">
        <f>HYPERLINK("http://www.cnpol.ru/covers/11214.jpg","фото на сайте")</f>
        <v/>
      </c>
    </row>
    <row r="4726" ht="50.1" customHeight="1" s="3">
      <c r="A4726" s="23" t="n"/>
      <c r="B4726" s="24" t="inlineStr">
        <is>
          <t>10826</t>
        </is>
      </c>
      <c r="C4726" s="23" t="inlineStr">
        <is>
          <t>ТОП</t>
        </is>
      </c>
      <c r="D4726" s="23" t="inlineStr">
        <is>
          <t>Трейси Пи Джей</t>
        </is>
      </c>
      <c r="E4726" s="23" t="inlineStr">
        <is>
          <t>Наживка</t>
        </is>
      </c>
      <c r="F4726" s="23" t="inlineStr">
        <is>
          <t>        </t>
        </is>
      </c>
      <c r="G4726" s="23" t="n">
        <v>615</v>
      </c>
      <c r="H4726" s="23" t="n">
        <v>10</v>
      </c>
      <c r="I4726" s="23" t="n">
        <v>12</v>
      </c>
      <c r="J4726" s="23" t="inlineStr">
        <is>
          <t>978-5-9524-4016-6</t>
        </is>
      </c>
      <c r="K4726" s="23" t="inlineStr">
        <is>
          <t>84x108 1/32</t>
        </is>
      </c>
      <c r="L4726" s="23" t="inlineStr">
        <is>
          <t>тв</t>
        </is>
      </c>
      <c r="M4726" s="23" t="n">
        <v>350</v>
      </c>
      <c r="N4726" s="23" t="n">
        <v>2008</v>
      </c>
      <c r="O4726" s="23" t="n">
        <v>322</v>
      </c>
      <c r="P4726" s="23" t="n"/>
      <c r="Q4726" s="23" t="n"/>
      <c r="R4726" s="25" t="n"/>
      <c r="S4726" s="26">
        <f>HYPERLINK("http://www.cnpol.ru/covers/10826.jpg","фото на сайте")</f>
        <v/>
      </c>
    </row>
    <row r="4727" ht="50.1" customHeight="1" s="3">
      <c r="A4727" s="23" t="n"/>
      <c r="B4727" s="24" t="inlineStr">
        <is>
          <t>10926</t>
        </is>
      </c>
      <c r="C4727" s="23" t="inlineStr">
        <is>
          <t>ТОП</t>
        </is>
      </c>
      <c r="D4727" s="23" t="inlineStr">
        <is>
          <t>Мейер Д.</t>
        </is>
      </c>
      <c r="E4727" s="23" t="inlineStr">
        <is>
          <t>Пик дьявола</t>
        </is>
      </c>
      <c r="F4727" s="23" t="inlineStr">
        <is>
          <t>        </t>
        </is>
      </c>
      <c r="G4727" s="23" t="n">
        <v>615</v>
      </c>
      <c r="H4727" s="23" t="n">
        <v>10</v>
      </c>
      <c r="I4727" s="23" t="n">
        <v>10</v>
      </c>
      <c r="J4727" s="23" t="inlineStr">
        <is>
          <t>978-5-9524-4077-7</t>
        </is>
      </c>
      <c r="K4727" s="23" t="inlineStr">
        <is>
          <t>84x108 1/32</t>
        </is>
      </c>
      <c r="L4727" s="23" t="inlineStr">
        <is>
          <t>тв</t>
        </is>
      </c>
      <c r="M4727" s="23" t="n">
        <v>477</v>
      </c>
      <c r="N4727" s="23" t="n">
        <v>2008</v>
      </c>
      <c r="O4727" s="23" t="n">
        <v>412</v>
      </c>
      <c r="P4727" s="23" t="n"/>
      <c r="Q4727" s="23" t="n"/>
      <c r="R4727" s="25" t="n"/>
      <c r="S4727" s="26">
        <f>HYPERLINK("http://www.cnpol.ru/covers/10926.jpg","фото на сайте")</f>
        <v/>
      </c>
    </row>
    <row r="4728" ht="50.1" customHeight="1" s="3">
      <c r="A4728" s="23" t="n"/>
      <c r="B4728" s="24" t="inlineStr">
        <is>
          <t>10922</t>
        </is>
      </c>
      <c r="C4728" s="23" t="inlineStr">
        <is>
          <t>ТОП</t>
        </is>
      </c>
      <c r="D4728" s="23" t="inlineStr">
        <is>
          <t>Трейси Пи Джей</t>
        </is>
      </c>
      <c r="E4728" s="23" t="inlineStr">
        <is>
          <t>Смертельная поездка</t>
        </is>
      </c>
      <c r="F4728" s="23" t="inlineStr">
        <is>
          <t>        </t>
        </is>
      </c>
      <c r="G4728" s="23" t="n">
        <v>615</v>
      </c>
      <c r="H4728" s="23" t="n">
        <v>10</v>
      </c>
      <c r="I4728" s="23" t="n">
        <v>14</v>
      </c>
      <c r="J4728" s="23" t="inlineStr">
        <is>
          <t>978-5-9524-4076-0</t>
        </is>
      </c>
      <c r="K4728" s="23" t="inlineStr">
        <is>
          <t>84x108 1/32</t>
        </is>
      </c>
      <c r="L4728" s="23" t="inlineStr">
        <is>
          <t>тв</t>
        </is>
      </c>
      <c r="M4728" s="23" t="n">
        <v>351</v>
      </c>
      <c r="N4728" s="23" t="n">
        <v>2008</v>
      </c>
      <c r="O4728" s="23" t="n">
        <v>346</v>
      </c>
      <c r="P4728" s="23" t="n"/>
      <c r="Q4728" s="23" t="n"/>
      <c r="R4728" s="25" t="n"/>
      <c r="S4728" s="26">
        <f>HYPERLINK("http://www.cnpol.ru/covers/10922.jpg","фото на сайте")</f>
        <v/>
      </c>
    </row>
    <row r="4729" ht="50.1" customHeight="1" s="3">
      <c r="A4729" s="23" t="n"/>
      <c r="B4729" s="24" t="inlineStr">
        <is>
          <t>10697</t>
        </is>
      </c>
      <c r="C4729" s="23" t="inlineStr">
        <is>
          <t>ТОП</t>
        </is>
      </c>
      <c r="D4729" s="23" t="inlineStr">
        <is>
          <t>Трейси Пи Джей</t>
        </is>
      </c>
      <c r="E4729" s="23" t="inlineStr">
        <is>
          <t>Смерть online</t>
        </is>
      </c>
      <c r="F4729" s="23" t="inlineStr">
        <is>
          <t>        </t>
        </is>
      </c>
      <c r="G4729" s="23" t="n">
        <v>615</v>
      </c>
      <c r="H4729" s="23" t="n">
        <v>10</v>
      </c>
      <c r="I4729" s="23" t="n">
        <v>14</v>
      </c>
      <c r="J4729" s="23" t="inlineStr">
        <is>
          <t>978-5-9524-3844-6</t>
        </is>
      </c>
      <c r="K4729" s="23" t="inlineStr">
        <is>
          <t>84x108 1/32</t>
        </is>
      </c>
      <c r="L4729" s="23" t="inlineStr">
        <is>
          <t>тв</t>
        </is>
      </c>
      <c r="M4729" s="23" t="n">
        <v>382</v>
      </c>
      <c r="N4729" s="23" t="n">
        <v>2008</v>
      </c>
      <c r="O4729" s="23" t="n">
        <v>294</v>
      </c>
      <c r="P4729" s="23" t="n"/>
      <c r="Q4729" s="23" t="n"/>
      <c r="R4729" s="25" t="n"/>
      <c r="S4729" s="26">
        <f>HYPERLINK("http://www.cnpol.ru/covers/10697.jpg","фото на сайте")</f>
        <v/>
      </c>
    </row>
    <row r="4730" ht="50.1" customHeight="1" s="3">
      <c r="A4730" s="23" t="n"/>
      <c r="B4730" s="24" t="inlineStr">
        <is>
          <t>11114</t>
        </is>
      </c>
      <c r="C4730" s="23" t="inlineStr">
        <is>
          <t>ТОП</t>
        </is>
      </c>
      <c r="D4730" s="23" t="inlineStr">
        <is>
          <t>Мейер Д.</t>
        </is>
      </c>
      <c r="E4730" s="23" t="inlineStr">
        <is>
          <t>Смерть раньше смерти</t>
        </is>
      </c>
      <c r="F4730" s="23" t="inlineStr">
        <is>
          <t>        </t>
        </is>
      </c>
      <c r="G4730" s="23" t="n">
        <v>615</v>
      </c>
      <c r="H4730" s="23" t="n">
        <v>10</v>
      </c>
      <c r="I4730" s="23" t="n">
        <v>12</v>
      </c>
      <c r="J4730" s="23" t="inlineStr">
        <is>
          <t>978-5-9524-4238-2</t>
        </is>
      </c>
      <c r="K4730" s="23" t="inlineStr">
        <is>
          <t>84x108 1/32</t>
        </is>
      </c>
      <c r="L4730" s="23" t="inlineStr">
        <is>
          <t>тв</t>
        </is>
      </c>
      <c r="M4730" s="23" t="n">
        <v>382</v>
      </c>
      <c r="N4730" s="23" t="n">
        <v>2009</v>
      </c>
      <c r="O4730" s="23" t="n">
        <v>370</v>
      </c>
      <c r="P4730" s="23" t="n"/>
      <c r="Q4730" s="23" t="n"/>
      <c r="R4730" s="25" t="n"/>
      <c r="S4730" s="26">
        <f>HYPERLINK("http://www.cnpol.ru/covers/11114.jpg","фото на сайте")</f>
        <v/>
      </c>
    </row>
    <row r="4731" ht="50.1" customHeight="1" s="3">
      <c r="A4731" s="23" t="n"/>
      <c r="B4731" s="24" t="inlineStr">
        <is>
          <t>11422</t>
        </is>
      </c>
      <c r="C4731" s="23" t="inlineStr">
        <is>
          <t>ТОП</t>
        </is>
      </c>
      <c r="D4731" s="23" t="inlineStr">
        <is>
          <t>Хаслэм К.</t>
        </is>
      </c>
      <c r="E4731" s="23" t="inlineStr">
        <is>
          <t>Смерть с отсрочкой</t>
        </is>
      </c>
      <c r="F4731" s="23" t="inlineStr">
        <is>
          <t>        </t>
        </is>
      </c>
      <c r="G4731" s="23" t="n">
        <v>615</v>
      </c>
      <c r="H4731" s="23" t="n">
        <v>10</v>
      </c>
      <c r="I4731" s="23" t="n">
        <v>10</v>
      </c>
      <c r="J4731" s="23" t="inlineStr">
        <is>
          <t>978-5-9524-4448-5</t>
        </is>
      </c>
      <c r="K4731" s="23" t="inlineStr">
        <is>
          <t>84x108 1/32</t>
        </is>
      </c>
      <c r="L4731" s="23" t="inlineStr">
        <is>
          <t>тв</t>
        </is>
      </c>
      <c r="M4731" s="23" t="n">
        <v>414</v>
      </c>
      <c r="N4731" s="23" t="n">
        <v>2010</v>
      </c>
      <c r="O4731" s="23" t="n">
        <v>380</v>
      </c>
      <c r="P4731" s="23" t="n"/>
      <c r="Q4731" s="23" t="n"/>
      <c r="R4731" s="25" t="n"/>
      <c r="S4731" s="26">
        <f>HYPERLINK("http://www.cnpol.ru/covers/11422.jpg","фото на сайте")</f>
        <v/>
      </c>
    </row>
    <row r="4732" ht="50.1" customHeight="1" s="3">
      <c r="A4732" s="23" t="n"/>
      <c r="B4732" s="24" t="inlineStr">
        <is>
          <t>11263</t>
        </is>
      </c>
      <c r="C4732" s="23" t="inlineStr">
        <is>
          <t>ТОП</t>
        </is>
      </c>
      <c r="D4732" s="23" t="inlineStr">
        <is>
          <t>Хаслэм К.</t>
        </is>
      </c>
      <c r="E4732" s="23" t="inlineStr">
        <is>
          <t>Стриптиз клуб "Аллигатор"</t>
        </is>
      </c>
      <c r="F4732" s="23" t="inlineStr">
        <is>
          <t>        </t>
        </is>
      </c>
      <c r="G4732" s="23" t="n">
        <v>615</v>
      </c>
      <c r="H4732" s="23" t="n">
        <v>10</v>
      </c>
      <c r="I4732" s="23" t="n">
        <v>12</v>
      </c>
      <c r="J4732" s="23" t="inlineStr">
        <is>
          <t>978-5-9524-4390-7</t>
        </is>
      </c>
      <c r="K4732" s="23" t="inlineStr">
        <is>
          <t>84x108 1/32</t>
        </is>
      </c>
      <c r="L4732" s="23" t="inlineStr">
        <is>
          <t>тв</t>
        </is>
      </c>
      <c r="M4732" s="23" t="n">
        <v>318</v>
      </c>
      <c r="N4732" s="23" t="n">
        <v>2009</v>
      </c>
      <c r="O4732" s="23" t="n">
        <v>326</v>
      </c>
      <c r="P4732" s="23" t="n"/>
      <c r="Q4732" s="23" t="n"/>
      <c r="R4732" s="25" t="n"/>
      <c r="S4732" s="26">
        <f>HYPERLINK("http://www.cnpol.ru/covers/11263.jpg","фото на сайте")</f>
        <v/>
      </c>
    </row>
    <row r="4733" ht="50.1" customHeight="1" s="3">
      <c r="A4733" s="23" t="n"/>
      <c r="B4733" s="24" t="inlineStr">
        <is>
          <t>11000</t>
        </is>
      </c>
      <c r="C4733" s="23" t="inlineStr">
        <is>
          <t>ТОП</t>
        </is>
      </c>
      <c r="D4733" s="23" t="inlineStr">
        <is>
          <t>Мейер Д.</t>
        </is>
      </c>
      <c r="E4733" s="23" t="inlineStr">
        <is>
          <t>Телохранитель</t>
        </is>
      </c>
      <c r="F4733" s="23" t="inlineStr">
        <is>
          <t>        </t>
        </is>
      </c>
      <c r="G4733" s="23" t="n">
        <v>615</v>
      </c>
      <c r="H4733" s="23" t="n">
        <v>10</v>
      </c>
      <c r="I4733" s="23" t="n">
        <v>10</v>
      </c>
      <c r="J4733" s="23" t="inlineStr">
        <is>
          <t>978-5-9524-4169-9</t>
        </is>
      </c>
      <c r="K4733" s="23" t="inlineStr">
        <is>
          <t>84x108 1/32</t>
        </is>
      </c>
      <c r="L4733" s="23" t="inlineStr">
        <is>
          <t>тв</t>
        </is>
      </c>
      <c r="M4733" s="23" t="n">
        <v>412</v>
      </c>
      <c r="N4733" s="23" t="n">
        <v>2009</v>
      </c>
      <c r="O4733" s="23" t="n">
        <v>392</v>
      </c>
      <c r="P4733" s="23" t="n"/>
      <c r="Q4733" s="23" t="n"/>
      <c r="R4733" s="25" t="n"/>
      <c r="S4733" s="26">
        <f>HYPERLINK("http://www.cnpol.ru/covers/11000.jpg","фото на сайте")</f>
        <v/>
      </c>
    </row>
    <row r="4734" ht="50.1" customHeight="1" s="3">
      <c r="A4734" s="23" t="n"/>
      <c r="B4734" s="24" t="inlineStr">
        <is>
          <t>16594</t>
        </is>
      </c>
      <c r="C4734" s="23" t="inlineStr">
        <is>
          <t>ТОП 20</t>
        </is>
      </c>
      <c r="D4734" s="23" t="inlineStr">
        <is>
          <t>Чейз Д.Х.</t>
        </is>
      </c>
      <c r="E4734" s="23" t="inlineStr">
        <is>
          <t>Гроб из Гонконга. Еще одна попытка</t>
        </is>
      </c>
      <c r="F4734" s="23" t="inlineStr">
        <is>
          <t>        </t>
        </is>
      </c>
      <c r="G4734" s="23" t="n">
        <v>534</v>
      </c>
      <c r="H4734" s="23" t="n">
        <v>10</v>
      </c>
      <c r="I4734" s="23" t="n">
        <v>12</v>
      </c>
      <c r="J4734" s="23" t="inlineStr">
        <is>
          <t>978-5-227-06415-8</t>
        </is>
      </c>
      <c r="K4734" s="23" t="inlineStr">
        <is>
          <t>84x108 1/32</t>
        </is>
      </c>
      <c r="L4734" s="23" t="inlineStr">
        <is>
          <t>тв</t>
        </is>
      </c>
      <c r="M4734" s="23" t="n">
        <v>352</v>
      </c>
      <c r="N4734" s="23" t="n">
        <v>2016</v>
      </c>
      <c r="O4734" s="23" t="n">
        <v>296</v>
      </c>
      <c r="P4734" s="23" t="n"/>
      <c r="Q4734" s="23" t="n"/>
      <c r="R4734" s="25" t="inlineStr">
        <is>
          <t>Безденежье и неверие в справедливость вынудили бывшего журналиста Гарри Барбера согласиться на предложение богатой дамочки организовать фиктивное похищение ее падчерицы. Риск велик, но сумма в 50 тысяч долларов соблазнительна, и Гарри начинает подготовку, а чтобы подстраховаться, записывает разговор с заказчицей на диктофон... («Еще одна попытка»)._x000D_
Частный детектив Нельсон Райян получает задание от некоего Джона Хардвика проследить за его женой, пока он будет в отъезде. После многочасового бессмысленного ожидания детектив выясняет, что дом пуст и по указанному клиентом адресу живут совсем другие люди. Озадаченный, он возвращается в офис и ­находит там труп красивой китаянки. Подозрения полиции падают на ни в чем не повинного Райяна... («Гроб из Гонконга»).</t>
        </is>
      </c>
      <c r="S4734" s="26">
        <f>HYPERLINK("http://www.cnpol.ru/covers/16594.jpg","фото на сайте")</f>
        <v/>
      </c>
    </row>
    <row r="4735" ht="50.1" customHeight="1" s="3">
      <c r="A4735" s="23" t="n"/>
      <c r="B4735" s="24" t="inlineStr">
        <is>
          <t>16700</t>
        </is>
      </c>
      <c r="C4735" s="23" t="inlineStr">
        <is>
          <t>ТОП 20</t>
        </is>
      </c>
      <c r="D4735" s="23" t="inlineStr">
        <is>
          <t>Чейз Д.Х.</t>
        </is>
      </c>
      <c r="E4735" s="23" t="inlineStr">
        <is>
          <t>Двойная сдача</t>
        </is>
      </c>
      <c r="F4735" s="23" t="inlineStr">
        <is>
          <t>        </t>
        </is>
      </c>
      <c r="G4735" s="23" t="n">
        <v>534</v>
      </c>
      <c r="H4735" s="23" t="n">
        <v>10</v>
      </c>
      <c r="I4735" s="23" t="n">
        <v>8</v>
      </c>
      <c r="J4735" s="23" t="inlineStr">
        <is>
          <t>978-5-227-06401-1</t>
        </is>
      </c>
      <c r="K4735" s="23" t="inlineStr">
        <is>
          <t>84x108 1/32</t>
        </is>
      </c>
      <c r="L4735" s="23" t="inlineStr">
        <is>
          <t>тв</t>
        </is>
      </c>
      <c r="M4735" s="23" t="n">
        <v>384</v>
      </c>
      <c r="N4735" s="23" t="n">
        <v>2016</v>
      </c>
      <c r="O4735" s="23" t="n">
        <v>306</v>
      </c>
      <c r="P4735" s="23" t="n"/>
      <c r="Q4735" s="23" t="n"/>
      <c r="R4735" s="25" t="n"/>
      <c r="S4735" s="26">
        <f>HYPERLINK("http://www.cnpol.ru/covers/16700.jpg","фото на сайте")</f>
        <v/>
      </c>
    </row>
    <row r="4736" ht="50.1" customHeight="1" s="3">
      <c r="A4736" s="23" t="n"/>
      <c r="B4736" s="24" t="inlineStr">
        <is>
          <t>15306</t>
        </is>
      </c>
      <c r="C4736" s="23" t="inlineStr">
        <is>
          <t>ТП</t>
        </is>
      </c>
      <c r="D4736" s="23" t="inlineStr">
        <is>
          <t>Синельников В.В.</t>
        </is>
      </c>
      <c r="E4736" s="23" t="inlineStr">
        <is>
          <t>В поисках источников личной силы. Мужской разговор</t>
        </is>
      </c>
      <c r="F4736" s="23" t="inlineStr">
        <is>
          <t>        </t>
        </is>
      </c>
      <c r="G4736" s="23" t="n">
        <v>284</v>
      </c>
      <c r="H4736" s="23" t="n">
        <v>10</v>
      </c>
      <c r="I4736" s="23" t="n">
        <v>30</v>
      </c>
      <c r="J4736" s="23" t="inlineStr">
        <is>
          <t>978-5-227-05324-4</t>
        </is>
      </c>
      <c r="K4736" s="23" t="inlineStr">
        <is>
          <t>84x108 1/32 (обл)</t>
        </is>
      </c>
      <c r="L4736" s="23" t="inlineStr">
        <is>
          <t>мяг</t>
        </is>
      </c>
      <c r="M4736" s="23" t="n">
        <v>160</v>
      </c>
      <c r="N4736" s="23" t="n">
        <v>2014</v>
      </c>
      <c r="O4736" s="23" t="n">
        <v>102</v>
      </c>
      <c r="P4736" s="23" t="n"/>
      <c r="Q4736" s="23" t="n"/>
      <c r="R4736" s="25" t="inlineStr">
        <is>
          <t>Перед вами новая книга Валерия Синельникова. 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 Книга о мужчинах и для мужчин. Именно поэтому она будет полезна и женщинам, ведь именно они рожают сыновей, идут по жизни рядом с любимыми, поддерживают братьев и чтят отцов.</t>
        </is>
      </c>
      <c r="S4736" s="26">
        <f>HYPERLINK("http://www.cnpol.ru/covers/15306.jpg","фото на сайте")</f>
        <v/>
      </c>
    </row>
    <row r="4737" ht="50.1" customHeight="1" s="3">
      <c r="A4737" s="23" t="n"/>
      <c r="B4737" s="24" t="inlineStr">
        <is>
          <t>20163</t>
        </is>
      </c>
      <c r="C4737" s="23" t="inlineStr">
        <is>
          <t>ТП</t>
        </is>
      </c>
      <c r="D4737" s="23" t="inlineStr">
        <is>
          <t>Синельников В.В.</t>
        </is>
      </c>
      <c r="E4737" s="23" t="inlineStr">
        <is>
          <t>В поисках источников личной силы. Мужской разговор</t>
        </is>
      </c>
      <c r="F4737" s="23" t="inlineStr">
        <is>
          <t>        </t>
        </is>
      </c>
      <c r="G4737" s="23" t="n">
        <v>284</v>
      </c>
      <c r="H4737" s="23" t="n">
        <v>10</v>
      </c>
      <c r="I4737" s="23" t="n">
        <v>30</v>
      </c>
      <c r="J4737" s="23" t="inlineStr">
        <is>
          <t>978-5-227-09899-3</t>
        </is>
      </c>
      <c r="K4737" s="23" t="inlineStr">
        <is>
          <t>84x108 1/32 (обл)</t>
        </is>
      </c>
      <c r="L4737" s="23" t="inlineStr">
        <is>
          <t>мяг</t>
        </is>
      </c>
      <c r="M4737" s="23" t="n">
        <v>160</v>
      </c>
      <c r="N4737" s="23" t="n">
        <v>2022</v>
      </c>
      <c r="O4737" s="23" t="n">
        <v>102</v>
      </c>
      <c r="P4737" s="23" t="n"/>
      <c r="Q4737" s="23" t="n"/>
      <c r="R4737" s="25" t="inlineStr">
        <is>
          <t>Перед вами новая книга Валерия Синельникова. 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 Книга о мужчинах и для мужчин. Именно поэтому она будет полезна и женщинам, ведь именно они рожают сыновей, идут по жизни рядом с любимыми, поддерживают братьев и чтят отцов.</t>
        </is>
      </c>
      <c r="S4737" s="26">
        <f>HYPERLINK("http://www.cnpol.ru/covers/20163.jpg","фото на сайте")</f>
        <v/>
      </c>
    </row>
    <row r="4738" ht="50.1" customHeight="1" s="3">
      <c r="A4738" s="23" t="n"/>
      <c r="B4738" s="24" t="inlineStr">
        <is>
          <t>19940</t>
        </is>
      </c>
      <c r="C4738" s="23" t="inlineStr">
        <is>
          <t>ТП</t>
        </is>
      </c>
      <c r="D4738" s="23" t="inlineStr">
        <is>
          <t>Синельников В.В.</t>
        </is>
      </c>
      <c r="E4738" s="23" t="inlineStr">
        <is>
          <t>Возлюби болезнь свою</t>
        </is>
      </c>
      <c r="F4738" s="23" t="inlineStr">
        <is>
          <t>        </t>
        </is>
      </c>
      <c r="G4738" s="23" t="n">
        <v>399</v>
      </c>
      <c r="H4738" s="23" t="n">
        <v>10</v>
      </c>
      <c r="I4738" s="23" t="n">
        <v>14</v>
      </c>
      <c r="J4738" s="23" t="inlineStr">
        <is>
          <t>978-5-227-09589-3</t>
        </is>
      </c>
      <c r="K4738" s="23" t="inlineStr">
        <is>
          <t>84x108 1/32 (обл)</t>
        </is>
      </c>
      <c r="L4738" s="23" t="inlineStr">
        <is>
          <t>мяг</t>
        </is>
      </c>
      <c r="M4738" s="23" t="n">
        <v>416</v>
      </c>
      <c r="N4738" s="23" t="n">
        <v>2021</v>
      </c>
      <c r="O4738" s="23" t="n">
        <v>276</v>
      </c>
      <c r="P4738" s="23" t="n"/>
      <c r="Q4738" s="23" t="n"/>
      <c r="R4738" s="25" t="inlineStr">
        <is>
          <t>Прочитав книгу, вы сможете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is>
      </c>
      <c r="S4738" s="26">
        <f>HYPERLINK("http://www.cnpol.ru/covers/19940.jpg","фото на сайте")</f>
        <v/>
      </c>
    </row>
    <row r="4739" ht="50.1" customHeight="1" s="3">
      <c r="A4739" s="23" t="n"/>
      <c r="B4739" s="24" t="inlineStr">
        <is>
          <t>8751</t>
        </is>
      </c>
      <c r="C4739" s="23" t="inlineStr">
        <is>
          <t>ТП</t>
        </is>
      </c>
      <c r="D4739" s="23" t="inlineStr">
        <is>
          <t>Куровский Владимир Витальевич</t>
        </is>
      </c>
      <c r="E4739" s="23" t="inlineStr">
        <is>
          <t>Как счастливо родить и воспитать дочь</t>
        </is>
      </c>
      <c r="F4739" s="23" t="inlineStr">
        <is>
          <t>        </t>
        </is>
      </c>
      <c r="G4739" s="23" t="n">
        <v>105</v>
      </c>
      <c r="H4739" s="23" t="n">
        <v>10</v>
      </c>
      <c r="I4739" s="23" t="n">
        <v>20</v>
      </c>
      <c r="J4739" s="23" t="inlineStr">
        <is>
          <t>978-5-9524-3059-4</t>
        </is>
      </c>
      <c r="K4739" s="23" t="inlineStr">
        <is>
          <t>84x108 1/32 (обл)</t>
        </is>
      </c>
      <c r="L4739" s="23" t="inlineStr">
        <is>
          <t>мяг</t>
        </is>
      </c>
      <c r="M4739" s="23" t="n">
        <v>205</v>
      </c>
      <c r="N4739" s="23" t="n">
        <v>2008</v>
      </c>
      <c r="O4739" s="23" t="inlineStr">
        <is>
          <t>     </t>
        </is>
      </c>
      <c r="P4739" s="23" t="n"/>
      <c r="Q4739" s="23" t="n"/>
      <c r="R4739" s="25" t="inlineStr">
        <is>
          <t>Мечтаете, чтобы ваша дочь прожила счастливую и гармоничную жизнь? Это в вашей власти. Научитие ее быть мудрой, любить и быть любимой. Застрахуйте ее от повторения несчастливых женских судеб.</t>
        </is>
      </c>
      <c r="S4739" s="26">
        <f>HYPERLINK("http://www.cnpol.ru/covers/8751.jpg","фото на сайте")</f>
        <v/>
      </c>
    </row>
    <row r="4740" ht="50.1" customHeight="1" s="3">
      <c r="A4740" s="23" t="n"/>
      <c r="B4740" s="24" t="inlineStr">
        <is>
          <t>16045</t>
        </is>
      </c>
      <c r="C4740" s="23" t="inlineStr">
        <is>
          <t>ТП</t>
        </is>
      </c>
      <c r="D4740" s="23" t="inlineStr">
        <is>
          <t>Усманова И.А.</t>
        </is>
      </c>
      <c r="E4740" s="23" t="inlineStr">
        <is>
          <t>Мастерская перехода</t>
        </is>
      </c>
      <c r="F4740" s="23" t="inlineStr">
        <is>
          <t>        </t>
        </is>
      </c>
      <c r="G4740" s="23" t="n">
        <v>239</v>
      </c>
      <c r="H4740" s="23" t="n">
        <v>10</v>
      </c>
      <c r="I4740" s="23" t="n">
        <v>20</v>
      </c>
      <c r="J4740" s="23" t="inlineStr">
        <is>
          <t>978-5-227-06000-6</t>
        </is>
      </c>
      <c r="K4740" s="23" t="inlineStr">
        <is>
          <t>84x108 1/32</t>
        </is>
      </c>
      <c r="L4740" s="23" t="inlineStr">
        <is>
          <t>мяг</t>
        </is>
      </c>
      <c r="M4740" s="23" t="n">
        <v>287</v>
      </c>
      <c r="N4740" s="23" t="n">
        <v>2015</v>
      </c>
      <c r="O4740" s="23" t="n">
        <v>180</v>
      </c>
      <c r="P4740" s="23" t="n"/>
      <c r="Q4740" s="23" t="n"/>
      <c r="R4740" s="25" t="n"/>
      <c r="S4740" s="26">
        <f>HYPERLINK("http://www.cnpol.ru/covers/16045.jpg","фото на сайте")</f>
        <v/>
      </c>
    </row>
    <row r="4741" ht="50.1" customHeight="1" s="3">
      <c r="A4741" s="23" t="inlineStr">
        <is>
          <t>Н</t>
        </is>
      </c>
      <c r="B4741" s="24" t="inlineStr">
        <is>
          <t>22081</t>
        </is>
      </c>
      <c r="C4741" s="23" t="inlineStr">
        <is>
          <t>ТП</t>
        </is>
      </c>
      <c r="D4741" s="23" t="inlineStr">
        <is>
          <t>Усманова И.А.</t>
        </is>
      </c>
      <c r="E4741" s="23" t="inlineStr">
        <is>
          <t>Мастерская перехода. Восхождение в Любовь. Учебник Мастера Жизни</t>
        </is>
      </c>
      <c r="F4741" s="23" t="inlineStr">
        <is>
          <t>        </t>
        </is>
      </c>
      <c r="G4741" s="23" t="n">
        <v>255</v>
      </c>
      <c r="H4741" s="23" t="n">
        <v>10</v>
      </c>
      <c r="I4741" s="23" t="n">
        <v>8</v>
      </c>
      <c r="J4741" s="23" t="inlineStr">
        <is>
          <t>978-5-227-11217-0</t>
        </is>
      </c>
      <c r="K4741" s="23" t="inlineStr">
        <is>
          <t>84x108 1/32</t>
        </is>
      </c>
      <c r="L4741" s="23" t="inlineStr">
        <is>
          <t>мяг</t>
        </is>
      </c>
      <c r="M4741" s="23" t="n">
        <v>287</v>
      </c>
      <c r="N4741" s="23" t="n">
        <v>2026</v>
      </c>
      <c r="O4741" s="23" t="n">
        <v>173</v>
      </c>
      <c r="P4741" s="23" t="n"/>
      <c r="Q4741" s="23" t="n"/>
      <c r="R4741" s="25" t="inlineStr">
        <is>
          <t>"Книга, которую вы держите в ваших руках, особенная, она нужна людям именно сейчас, в Переходе Человечества на новый уровень своего развития. Это Книга Мастерства и Искусства Жизни — энциклопедия доброго Волшебства и истинной доброй Магии. 
Она написана и передана в потоке состояний Души, поэтому не просто сообщает информацию, а ещё и напрямую передаёт энергии-вибрации, затрагивающие самые глубокие уголки нашей Души. Легко и просто, ёмко и интересно! Она включает творческий потенциал сознания, который мы можем использовать для управления своей жизнью.
Здесь каждый найдёт ответы на свои главные вопросы, наполнится Любовью, Мудростью и Радостью Жизни."</t>
        </is>
      </c>
      <c r="S4741" s="26">
        <f>HYPERLINK("http://www.cnpol.ru/covers/22081.jpg","фото на сайте")</f>
        <v/>
      </c>
    </row>
    <row r="4742" ht="50.1" customHeight="1" s="3">
      <c r="A4742" s="23" t="n"/>
      <c r="B4742" s="24" t="inlineStr">
        <is>
          <t>19996</t>
        </is>
      </c>
      <c r="C4742" s="23" t="inlineStr">
        <is>
          <t>ТП</t>
        </is>
      </c>
      <c r="D4742" s="23" t="inlineStr">
        <is>
          <t>Синельников В.В.</t>
        </is>
      </c>
      <c r="E4742" s="23" t="inlineStr">
        <is>
          <t>Питание в благости</t>
        </is>
      </c>
      <c r="F4742" s="23" t="inlineStr">
        <is>
          <t>        </t>
        </is>
      </c>
      <c r="G4742" s="23" t="n">
        <v>284</v>
      </c>
      <c r="H4742" s="23" t="n">
        <v>10</v>
      </c>
      <c r="I4742" s="23" t="n">
        <v>20</v>
      </c>
      <c r="J4742" s="23" t="inlineStr">
        <is>
          <t>978-5-227-09772-9</t>
        </is>
      </c>
      <c r="K4742" s="23" t="inlineStr">
        <is>
          <t>84x108 1/32 (обл)</t>
        </is>
      </c>
      <c r="L4742" s="23" t="inlineStr">
        <is>
          <t>мяг</t>
        </is>
      </c>
      <c r="M4742" s="23" t="n">
        <v>288</v>
      </c>
      <c r="N4742" s="23" t="n">
        <v>2021</v>
      </c>
      <c r="O4742" s="23" t="n">
        <v>172</v>
      </c>
      <c r="P4742" s="23" t="n"/>
      <c r="Q4742" s="23" t="n"/>
      <c r="R4742" s="25" t="n"/>
      <c r="S4742" s="26">
        <f>HYPERLINK("http://www.cnpol.ru/covers/19996.jpg","фото на сайте")</f>
        <v/>
      </c>
    </row>
    <row r="4743" ht="50.1" customHeight="1" s="3">
      <c r="A4743" s="23" t="inlineStr">
        <is>
          <t>Н</t>
        </is>
      </c>
      <c r="B4743" s="24" t="inlineStr">
        <is>
          <t>21350</t>
        </is>
      </c>
      <c r="C4743" s="23" t="inlineStr">
        <is>
          <t>ТП</t>
        </is>
      </c>
      <c r="D4743" s="23" t="inlineStr">
        <is>
          <t>Усманова И.А.</t>
        </is>
      </c>
      <c r="E4743" s="23" t="inlineStr">
        <is>
          <t>Простой путь к счастливой жизни. Дневник Души на планете Земля</t>
        </is>
      </c>
      <c r="F4743" s="23" t="inlineStr">
        <is>
          <t>        </t>
        </is>
      </c>
      <c r="G4743" s="23" t="n">
        <v>321</v>
      </c>
      <c r="H4743" s="23" t="n">
        <v>10</v>
      </c>
      <c r="I4743" s="23" t="n">
        <v>6</v>
      </c>
      <c r="J4743" s="23" t="inlineStr">
        <is>
          <t>978-5-227-10722-0</t>
        </is>
      </c>
      <c r="K4743" s="23" t="inlineStr">
        <is>
          <t>84x108 1/32 (обл)</t>
        </is>
      </c>
      <c r="L4743" s="23" t="inlineStr">
        <is>
          <t>мяг</t>
        </is>
      </c>
      <c r="M4743" s="23" t="n">
        <v>414</v>
      </c>
      <c r="N4743" s="23" t="n">
        <v>2024</v>
      </c>
      <c r="O4743" s="23" t="n">
        <v>251</v>
      </c>
      <c r="P4743" s="23" t="n"/>
      <c r="Q4743" s="23" t="n"/>
      <c r="R4743" s="25" t="inlineStr">
        <is>
          <t>Ирина Усманова — психолог-консультант, тренер, специалист по методике доктора В.В.Синельникова, преподаватель Академии Духовного Целительства. В арсенале её инструментов — психотерапия, НЛП, ПЭАТ, эмоционально-образная терапия, арттерапия, телесно-ориентированная терапия, биоэнерготерапия, расстановки, ролевые игры, психодрама, терапия прошлых жизней, метафорические карты, эзотерические практики и другие современные методы психокоррекции. Более двенадцати лет ведёт авторские семинары, тренинги, консультирует индивидуально. Своими знаниями Ирина Усманова делится на страницах этой книги. Уникальные авторские методики помогли многим людям исцелиться и начать жить в полную силу, достигнуть внутренней гармонии, построить прекрасные отношения с близкими, повысить свой достаток и профессиональный уровень, выйти за пределы обыденного ума и открыть те духовные истины, которые помогают найти себя и свой Путь, обрести умиротворение Души. Здесь каждый найдёт ответы на свои главные вопросы, наполнится Любовью, Мудростью, Уверенностью и Радостью!</t>
        </is>
      </c>
      <c r="S4743" s="26">
        <f>HYPERLINK("http://www.cnpol.ru/covers/21350.jpg","фото на сайте")</f>
        <v/>
      </c>
    </row>
    <row r="4744" ht="50.1" customHeight="1" s="3">
      <c r="A4744" s="23" t="n"/>
      <c r="B4744" s="24" t="inlineStr">
        <is>
          <t>19992</t>
        </is>
      </c>
      <c r="C4744" s="23" t="inlineStr">
        <is>
          <t>ТП</t>
        </is>
      </c>
      <c r="D4744" s="23" t="inlineStr">
        <is>
          <t>Синельников В.В.</t>
        </is>
      </c>
      <c r="E4744" s="23" t="inlineStr">
        <is>
          <t>Путь к богатству. Как стать и богатым и счастливым</t>
        </is>
      </c>
      <c r="F4744" s="23" t="inlineStr">
        <is>
          <t>        </t>
        </is>
      </c>
      <c r="G4744" s="23" t="n">
        <v>284</v>
      </c>
      <c r="H4744" s="23" t="n">
        <v>10</v>
      </c>
      <c r="I4744" s="23" t="n">
        <v>30</v>
      </c>
      <c r="J4744" s="23" t="inlineStr">
        <is>
          <t>978-5-227-09715-6</t>
        </is>
      </c>
      <c r="K4744" s="23" t="inlineStr">
        <is>
          <t>84x108 1/32 (обл)</t>
        </is>
      </c>
      <c r="L4744" s="23" t="inlineStr">
        <is>
          <t>мяг</t>
        </is>
      </c>
      <c r="M4744" s="23" t="n">
        <v>192</v>
      </c>
      <c r="N4744" s="23" t="n">
        <v>2021</v>
      </c>
      <c r="O4744" s="23" t="n">
        <v>140</v>
      </c>
      <c r="P4744" s="23" t="n"/>
      <c r="Q4744" s="23" t="n"/>
      <c r="R4744" s="25" t="n"/>
      <c r="S4744" s="26">
        <f>HYPERLINK("http://www.cnpol.ru/covers/19992.jpg","фото на сайте")</f>
        <v/>
      </c>
    </row>
    <row r="4745" ht="50.1" customHeight="1" s="3">
      <c r="A4745" s="23" t="n"/>
      <c r="B4745" s="24" t="inlineStr">
        <is>
          <t>19759</t>
        </is>
      </c>
      <c r="C4745" s="23" t="inlineStr">
        <is>
          <t>ТП</t>
        </is>
      </c>
      <c r="D4745" s="23" t="inlineStr">
        <is>
          <t>Синельников В.В.</t>
        </is>
      </c>
      <c r="E4745" s="23" t="inlineStr">
        <is>
          <t>Рецепты судьбы. Учебник хозяина жизни - 2</t>
        </is>
      </c>
      <c r="F4745" s="23" t="inlineStr">
        <is>
          <t>        </t>
        </is>
      </c>
      <c r="G4745" s="23" t="n">
        <v>284</v>
      </c>
      <c r="H4745" s="23" t="n">
        <v>10</v>
      </c>
      <c r="I4745" s="23" t="n">
        <v>20</v>
      </c>
      <c r="J4745" s="23" t="inlineStr">
        <is>
          <t>978-5-227-09594-7</t>
        </is>
      </c>
      <c r="K4745" s="23" t="inlineStr">
        <is>
          <t>84x108 1/32 (обл)</t>
        </is>
      </c>
      <c r="L4745" s="23" t="inlineStr">
        <is>
          <t>мяг</t>
        </is>
      </c>
      <c r="M4745" s="23" t="n">
        <v>240</v>
      </c>
      <c r="N4745" s="23" t="n">
        <v>2021</v>
      </c>
      <c r="O4745" s="23" t="n">
        <v>142</v>
      </c>
      <c r="P4745" s="23" t="n"/>
      <c r="Q4745" s="23" t="n"/>
      <c r="R4745" s="25" t="n"/>
      <c r="S4745" s="26">
        <f>HYPERLINK("http://www.cnpol.ru/covers/19759.jpg","фото на сайте")</f>
        <v/>
      </c>
    </row>
    <row r="4746" ht="50.1" customHeight="1" s="3">
      <c r="A4746" s="23" t="inlineStr">
        <is>
          <t>Д</t>
        </is>
      </c>
      <c r="B4746" s="24" t="inlineStr">
        <is>
          <t>21953</t>
        </is>
      </c>
      <c r="C4746" s="23" t="inlineStr">
        <is>
          <t>ТП</t>
        </is>
      </c>
      <c r="D4746" s="23" t="inlineStr">
        <is>
          <t>Усманова И.А.</t>
        </is>
      </c>
      <c r="E4746" s="23" t="inlineStr">
        <is>
          <t>Секреты повышения вибраций. Основы многомерного моделирования. Узнай все тайны и получи то, что хоче</t>
        </is>
      </c>
      <c r="F4746" s="23" t="inlineStr">
        <is>
          <t>        </t>
        </is>
      </c>
      <c r="G4746" s="23" t="n">
        <v>268</v>
      </c>
      <c r="H4746" s="23" t="n">
        <v>10</v>
      </c>
      <c r="I4746" s="23" t="n">
        <v>10</v>
      </c>
      <c r="J4746" s="23" t="inlineStr">
        <is>
          <t>978-5-227-11206-4</t>
        </is>
      </c>
      <c r="K4746" s="23" t="inlineStr">
        <is>
          <t>84x108 1/32 (обл)</t>
        </is>
      </c>
      <c r="L4746" s="23" t="inlineStr">
        <is>
          <t>мяг</t>
        </is>
      </c>
      <c r="M4746" s="23" t="n">
        <v>286</v>
      </c>
      <c r="N4746" s="23" t="n">
        <v>2026</v>
      </c>
      <c r="O4746" s="23" t="n">
        <v>177</v>
      </c>
      <c r="P4746" s="23" t="n"/>
      <c r="Q4746" s="23" t="n"/>
      <c r="R4746" s="25" t="inlineStr">
        <is>
          <t>"Эта книга — естественное продолжение двух предыдущих работ автора. В ней открываются секреты ментального моделирования для управления своей реальностью. Здесь представлена глубокая, конструктивная, адекватная и оригинальная Система Саморазвития, Самопознания и повышения вибраций сознания для тех, кто готов выйти за пределы ограничений ума, за пределы стандартных социальных шаблонов жизненного успеха, для тех, кто хочет вспомнить себя Настоящего и раскрыть созидательную Силу Души! 
Каждый, кого интересуют конкретные результаты в области душевного и физического здоровья, семейного счастья, профессиональной и творческой реализации, как в духовной сфере, так и в материальной, может освоить новейший многомерный подход к моделированию жизни, основанный на квантовых многомерных вибрационных стратегиях. Текст «заряжен» высокочастотными вибрациями и активирует состояния чистого расширенного восприятия, включает Силу Открытого Сердца и творческий потенциал Души для жизнетворчества, для осознания своего Пути в новом эволюционном цикле планеты Земля!"</t>
        </is>
      </c>
      <c r="S4746" s="26">
        <f>HYPERLINK("http://www.cnpol.ru/covers/21953.jpg","фото на сайте")</f>
        <v/>
      </c>
    </row>
    <row r="4747" ht="50.1" customHeight="1" s="3">
      <c r="A4747" s="23" t="n"/>
      <c r="B4747" s="24" t="inlineStr">
        <is>
          <t>17865</t>
        </is>
      </c>
      <c r="C4747" s="23" t="inlineStr">
        <is>
          <t>ТП</t>
        </is>
      </c>
      <c r="D4747" s="23" t="inlineStr">
        <is>
          <t>Усманова И.А.</t>
        </is>
      </c>
      <c r="E4747" s="23" t="inlineStr">
        <is>
          <t>Секреты повышения вибраций. Основы многомерного моделирования. Узнай все тайны и получи то, что хочешь</t>
        </is>
      </c>
      <c r="F4747" s="23" t="inlineStr">
        <is>
          <t>        </t>
        </is>
      </c>
      <c r="G4747" s="23" t="n">
        <v>239</v>
      </c>
      <c r="H4747" s="23" t="n">
        <v>10</v>
      </c>
      <c r="I4747" s="23" t="n">
        <v>16</v>
      </c>
      <c r="J4747" s="23" t="inlineStr">
        <is>
          <t>978-5-227-07667-0</t>
        </is>
      </c>
      <c r="K4747" s="23" t="inlineStr">
        <is>
          <t>84x108 1/32 (обл)</t>
        </is>
      </c>
      <c r="L4747" s="23" t="inlineStr">
        <is>
          <t>мяг</t>
        </is>
      </c>
      <c r="M4747" s="23" t="n">
        <v>288</v>
      </c>
      <c r="N4747" s="23" t="n">
        <v>2017</v>
      </c>
      <c r="O4747" s="23" t="n">
        <v>170</v>
      </c>
      <c r="P4747" s="23" t="n"/>
      <c r="Q4747" s="23" t="n"/>
      <c r="R4747" s="25" t="n"/>
      <c r="S4747" s="26">
        <f>HYPERLINK("http://www.cnpol.ru/covers/17865.jpg","фото на сайте")</f>
        <v/>
      </c>
    </row>
    <row r="4748" ht="50.1" customHeight="1" s="3">
      <c r="A4748" s="23" t="n"/>
      <c r="B4748" s="24" t="inlineStr">
        <is>
          <t>19920</t>
        </is>
      </c>
      <c r="C4748" s="23" t="inlineStr">
        <is>
          <t>ТП</t>
        </is>
      </c>
      <c r="D4748" s="23" t="inlineStr">
        <is>
          <t>Синельников В.В.</t>
        </is>
      </c>
      <c r="E4748" s="23" t="inlineStr">
        <is>
          <t>Сила намерения. Как реализовать свои мечты и желания</t>
        </is>
      </c>
      <c r="F4748" s="23" t="inlineStr">
        <is>
          <t>        </t>
        </is>
      </c>
      <c r="G4748" s="23" t="n">
        <v>284</v>
      </c>
      <c r="H4748" s="23" t="n">
        <v>10</v>
      </c>
      <c r="I4748" s="23" t="n">
        <v>15</v>
      </c>
      <c r="J4748" s="23" t="inlineStr">
        <is>
          <t>978-5-227-09713-2</t>
        </is>
      </c>
      <c r="K4748" s="23" t="inlineStr">
        <is>
          <t>84x108 1/32 (обл)</t>
        </is>
      </c>
      <c r="L4748" s="23" t="inlineStr">
        <is>
          <t>мяг</t>
        </is>
      </c>
      <c r="M4748" s="23" t="n">
        <v>160</v>
      </c>
      <c r="N4748" s="23" t="n">
        <v>2021</v>
      </c>
      <c r="O4748" s="23" t="n">
        <v>96</v>
      </c>
      <c r="P4748" s="23" t="n"/>
      <c r="Q4748" s="23" t="n"/>
      <c r="R4748" s="25" t="n"/>
      <c r="S4748" s="26">
        <f>HYPERLINK("http://www.cnpol.ru/covers/19920.jpg","фото на сайте")</f>
        <v/>
      </c>
    </row>
    <row r="4749" ht="50.1" customHeight="1" s="3">
      <c r="A4749" s="23" t="inlineStr">
        <is>
          <t>Д</t>
        </is>
      </c>
      <c r="B4749" s="24" t="inlineStr">
        <is>
          <t>21954</t>
        </is>
      </c>
      <c r="C4749" s="23" t="inlineStr">
        <is>
          <t>ТП</t>
        </is>
      </c>
      <c r="D4749" s="23" t="inlineStr">
        <is>
          <t>Солодовникова О.В.</t>
        </is>
      </c>
      <c r="E4749" s="23" t="inlineStr">
        <is>
          <t>Сила рода во мне. Как понять и познать свою связь с родом. Руководство для новичков</t>
        </is>
      </c>
      <c r="F4749" s="23" t="inlineStr">
        <is>
          <t>        </t>
        </is>
      </c>
      <c r="G4749" s="23" t="n">
        <v>268</v>
      </c>
      <c r="H4749" s="23" t="n">
        <v>10</v>
      </c>
      <c r="I4749" s="23" t="n">
        <v>12</v>
      </c>
      <c r="J4749" s="23" t="inlineStr">
        <is>
          <t>978-5-227-11212-5</t>
        </is>
      </c>
      <c r="K4749" s="23" t="inlineStr">
        <is>
          <t>84x108 1/32 (обл)</t>
        </is>
      </c>
      <c r="L4749" s="23" t="inlineStr">
        <is>
          <t>мяг</t>
        </is>
      </c>
      <c r="M4749" s="23" t="n">
        <v>189</v>
      </c>
      <c r="N4749" s="23" t="n">
        <v>2026</v>
      </c>
      <c r="O4749" s="23" t="n">
        <v>124</v>
      </c>
      <c r="P4749" s="23" t="n"/>
      <c r="Q4749" s="23" t="n"/>
      <c r="R4749" s="25" t="inlineStr">
        <is>
          <t>Перед вами третья книга Оксаны Солодовниковой, посвященная Силе рода и применению расстановок. Именно в этой книге автор обобщила все вопросы, заданные читателями, участниками тренингов и коучинга в течение последних трех лет._x000D_
Автор предлагает практики, которые помогут разрешить многие ситуации в жизни. Именно эти практики откроют вам невидимый мир взаимосвязей с вашим родом. Они раскроют, откуда идут проблемы со здоровьем, в отношениях или с деньгами. Более того, с их помощью вы сможете проработать истории, в которые уходит ваша жизненная энергия, избавиться от повторения шаблонов поведения, идущих из семейно-родовой системы и мешающих идти к своим целям, создавать отношения, наполненные взаимопониманием и любовью. Первые шаги с книгой помогут вам получить поддержку, силу и даже помощь от своего рода, наполниться новыми силами для своей жизни, деятельности, открыть новые возможности и наслаждаться жизнью здесь и сейчас._x000D_
Несмотря ни на что, жизнь продолжается дальше. И эта книга — первые шаги к тому, чтобы раскрасить ее в новые цвета и помочь сделать то же своим детям или другим людям.</t>
        </is>
      </c>
      <c r="S4749" s="26">
        <f>HYPERLINK("http://www.cnpol.ru/covers/21954.jpg","фото на сайте")</f>
        <v/>
      </c>
    </row>
    <row r="4750" ht="50.1" customHeight="1" s="3">
      <c r="A4750" s="23" t="n"/>
      <c r="B4750" s="24" t="inlineStr">
        <is>
          <t>12284</t>
        </is>
      </c>
      <c r="C4750" s="23" t="inlineStr">
        <is>
          <t>ТП</t>
        </is>
      </c>
      <c r="D4750" s="23" t="inlineStr">
        <is>
          <t>Белов А.И.</t>
        </is>
      </c>
      <c r="E4750" s="23" t="inlineStr">
        <is>
          <t>Таинственная сила подсознания в лабиринтах мозга</t>
        </is>
      </c>
      <c r="F4750" s="23" t="inlineStr">
        <is>
          <t>        </t>
        </is>
      </c>
      <c r="G4750" s="23" t="n">
        <v>158</v>
      </c>
      <c r="H4750" s="23" t="n">
        <v>10</v>
      </c>
      <c r="I4750" s="23" t="n">
        <v>24</v>
      </c>
      <c r="J4750" s="23" t="inlineStr">
        <is>
          <t>978-5-227-02429-9</t>
        </is>
      </c>
      <c r="K4750" s="23" t="inlineStr">
        <is>
          <t>84x108 1/32 (обл)</t>
        </is>
      </c>
      <c r="L4750" s="23" t="inlineStr">
        <is>
          <t>мяг</t>
        </is>
      </c>
      <c r="M4750" s="23" t="n">
        <v>284</v>
      </c>
      <c r="N4750" s="23" t="n">
        <v>2010</v>
      </c>
      <c r="O4750" s="23" t="n">
        <v>172</v>
      </c>
      <c r="P4750" s="23" t="n"/>
      <c r="Q4750" s="23" t="n"/>
      <c r="R4750" s="25" t="n"/>
      <c r="S4750" s="26">
        <f>HYPERLINK("http://www.cnpol.ru/covers/12284.jpg","фото на сайте")</f>
        <v/>
      </c>
    </row>
    <row r="4751" ht="50.1" customHeight="1" s="3">
      <c r="A4751" s="23" t="n"/>
      <c r="B4751" s="24" t="inlineStr">
        <is>
          <t>11429</t>
        </is>
      </c>
      <c r="C4751" s="23" t="inlineStr">
        <is>
          <t>ТП</t>
        </is>
      </c>
      <c r="D4751" s="23" t="inlineStr">
        <is>
          <t>Синельников В.В.</t>
        </is>
      </c>
      <c r="E4751" s="23" t="inlineStr">
        <is>
          <t>Таинственная сила слова</t>
        </is>
      </c>
      <c r="F4751" s="23" t="inlineStr">
        <is>
          <t>        </t>
        </is>
      </c>
      <c r="G4751" s="23" t="n">
        <v>258</v>
      </c>
      <c r="H4751" s="23" t="n">
        <v>10</v>
      </c>
      <c r="I4751" s="23" t="n">
        <v>30</v>
      </c>
      <c r="J4751" s="23" t="inlineStr">
        <is>
          <t>978-5-9524-4044-9</t>
        </is>
      </c>
      <c r="K4751" s="23" t="inlineStr">
        <is>
          <t>84x108 1/32 (обл)</t>
        </is>
      </c>
      <c r="L4751" s="23" t="inlineStr">
        <is>
          <t>мяг</t>
        </is>
      </c>
      <c r="M4751" s="23" t="n">
        <v>256</v>
      </c>
      <c r="N4751" s="23" t="n">
        <v>2009</v>
      </c>
      <c r="O4751" s="23" t="n">
        <v>158</v>
      </c>
      <c r="P4751" s="23" t="n"/>
      <c r="Q4751" s="23" t="n"/>
      <c r="R4751" s="25" t="n"/>
      <c r="S4751" s="26">
        <f>HYPERLINK("http://www.cnpol.ru/covers/11429.jpg","фото на сайте")</f>
        <v/>
      </c>
    </row>
    <row r="4752" ht="50.1" customHeight="1" s="3">
      <c r="A4752" s="23" t="n"/>
      <c r="B4752" s="24" t="inlineStr">
        <is>
          <t>19210</t>
        </is>
      </c>
      <c r="C4752" s="23" t="inlineStr">
        <is>
          <t>ТП</t>
        </is>
      </c>
      <c r="D4752" s="23" t="inlineStr">
        <is>
          <t>Синельников В.В.</t>
        </is>
      </c>
      <c r="E4752" s="23" t="inlineStr">
        <is>
          <t>Учебник Хозяина жизни. 160 уроков</t>
        </is>
      </c>
      <c r="F4752" s="23" t="inlineStr">
        <is>
          <t>        </t>
        </is>
      </c>
      <c r="G4752" s="23" t="n">
        <v>284</v>
      </c>
      <c r="H4752" s="23" t="n">
        <v>10</v>
      </c>
      <c r="I4752" s="23" t="n">
        <v>16</v>
      </c>
      <c r="J4752" s="23" t="inlineStr">
        <is>
          <t>978-5-227-09140-6</t>
        </is>
      </c>
      <c r="K4752" s="23" t="inlineStr">
        <is>
          <t>84x108 1/32 (обл)</t>
        </is>
      </c>
      <c r="L4752" s="23" t="inlineStr">
        <is>
          <t>мяг</t>
        </is>
      </c>
      <c r="M4752" s="23" t="n">
        <v>224</v>
      </c>
      <c r="N4752" s="23" t="n">
        <v>2020</v>
      </c>
      <c r="O4752" s="23" t="n">
        <v>142</v>
      </c>
      <c r="P4752" s="23" t="n"/>
      <c r="Q4752" s="23" t="n"/>
      <c r="R4752" s="25" t="n"/>
      <c r="S4752" s="26">
        <f>HYPERLINK("http://www.cnpol.ru/covers/19210.jpg","фото на сайте")</f>
        <v/>
      </c>
    </row>
    <row r="4753" ht="50.1" customHeight="1" s="3">
      <c r="A4753" s="23" t="n"/>
      <c r="B4753" s="24" t="inlineStr">
        <is>
          <t>20040</t>
        </is>
      </c>
      <c r="C4753" s="23" t="inlineStr">
        <is>
          <t>ТП</t>
        </is>
      </c>
      <c r="D4753" s="23" t="inlineStr">
        <is>
          <t>Синельников В.В.</t>
        </is>
      </c>
      <c r="E4753" s="23" t="inlineStr">
        <is>
          <t>Формула Жизни. Как обрести Личную Силу</t>
        </is>
      </c>
      <c r="F4753" s="23" t="inlineStr">
        <is>
          <t>        </t>
        </is>
      </c>
      <c r="G4753" s="23" t="n">
        <v>284</v>
      </c>
      <c r="H4753" s="23" t="n">
        <v>10</v>
      </c>
      <c r="I4753" s="23" t="n">
        <v>28</v>
      </c>
      <c r="J4753" s="23" t="inlineStr">
        <is>
          <t>978-5-227-09769-9</t>
        </is>
      </c>
      <c r="K4753" s="23" t="inlineStr">
        <is>
          <t>84x108 1/32 (обл)</t>
        </is>
      </c>
      <c r="L4753" s="23" t="inlineStr">
        <is>
          <t>мяг</t>
        </is>
      </c>
      <c r="M4753" s="23" t="n">
        <v>224</v>
      </c>
      <c r="N4753" s="23" t="n">
        <v>2021</v>
      </c>
      <c r="O4753" s="23" t="n">
        <v>136</v>
      </c>
      <c r="P4753" s="23" t="n"/>
      <c r="Q4753" s="23" t="n"/>
      <c r="R4753" s="25" t="n"/>
      <c r="S4753" s="26">
        <f>HYPERLINK("http://www.cnpol.ru/covers/20040.jpg","фото на сайте")</f>
        <v/>
      </c>
    </row>
    <row r="4754" ht="50.1" customHeight="1" s="3">
      <c r="A4754" s="23" t="n"/>
      <c r="B4754" s="24" t="inlineStr">
        <is>
          <t>17262</t>
        </is>
      </c>
      <c r="C4754" s="23" t="inlineStr">
        <is>
          <t>ТП АК</t>
        </is>
      </c>
      <c r="D4754" s="23" t="inlineStr">
        <is>
          <t>Синельников В.В.</t>
        </is>
      </c>
      <c r="E4754" s="23" t="inlineStr">
        <is>
          <t>Прививка от стресса (аудиокнига)</t>
        </is>
      </c>
      <c r="F4754" s="23" t="inlineStr">
        <is>
          <t>        </t>
        </is>
      </c>
      <c r="G4754" s="23" t="n">
        <v>407</v>
      </c>
      <c r="H4754" s="23" t="n">
        <v>22</v>
      </c>
      <c r="I4754" s="23" t="n">
        <v>200</v>
      </c>
      <c r="J4754" s="23" t="inlineStr">
        <is>
          <t>978-5-227-07243-6</t>
        </is>
      </c>
      <c r="K4754" s="23" t="inlineStr">
        <is>
          <t>&lt;АВТОИМП.&gt;</t>
        </is>
      </c>
      <c r="L4754" s="23" t="inlineStr">
        <is>
          <t>&lt;АВТОИМП.&gt;</t>
        </is>
      </c>
      <c r="M4754" s="23" t="inlineStr">
        <is>
          <t>    </t>
        </is>
      </c>
      <c r="N4754" s="23" t="n">
        <v>2016</v>
      </c>
      <c r="O4754" s="23" t="n">
        <v>80</v>
      </c>
      <c r="P4754" s="23" t="n"/>
      <c r="Q4754" s="23" t="n"/>
      <c r="R4754" s="25" t="n"/>
      <c r="S4754" s="26">
        <f>HYPERLINK("http://www.cnpol.ru/covers/17262.jpg","фото на сайте")</f>
        <v/>
      </c>
    </row>
    <row r="4755" ht="50.1" customHeight="1" s="3">
      <c r="A4755" s="23" t="n"/>
      <c r="B4755" s="24" t="inlineStr">
        <is>
          <t>18717</t>
        </is>
      </c>
      <c r="C4755" s="23" t="inlineStr">
        <is>
          <t>ТП Арт Терапия</t>
        </is>
      </c>
      <c r="D4755" s="23" t="inlineStr">
        <is>
          <t>Синельников В.В.</t>
        </is>
      </c>
      <c r="E4755" s="23" t="inlineStr">
        <is>
          <t>Анахата. Сердечный центр. Исцеление сердечно­сосудистой и дыхательной системы.</t>
        </is>
      </c>
      <c r="F4755" s="23" t="inlineStr">
        <is>
          <t>        </t>
        </is>
      </c>
      <c r="G4755" s="23" t="n">
        <v>636</v>
      </c>
      <c r="H4755" s="23" t="n">
        <v>10</v>
      </c>
      <c r="I4755" s="23" t="n">
        <v>20</v>
      </c>
      <c r="J4755" s="23" t="inlineStr">
        <is>
          <t>978-5-227-08623-5</t>
        </is>
      </c>
      <c r="K4755" s="23" t="inlineStr">
        <is>
          <t>70x90 1/12</t>
        </is>
      </c>
      <c r="L4755" s="23" t="inlineStr">
        <is>
          <t>Интегр</t>
        </is>
      </c>
      <c r="M4755" s="23" t="n">
        <v>72</v>
      </c>
      <c r="N4755" s="23" t="n">
        <v>2019</v>
      </c>
      <c r="O4755" s="23" t="n">
        <v>234</v>
      </c>
      <c r="P4755" s="23" t="n"/>
      <c r="Q4755" s="23" t="n"/>
      <c r="R4755" s="25" t="n"/>
      <c r="S4755" s="26">
        <f>HYPERLINK("http://www.cnpol.ru/covers/18717.jpg","фото на сайте")</f>
        <v/>
      </c>
    </row>
    <row r="4756" ht="50.1" customHeight="1" s="3">
      <c r="A4756" s="23" t="n"/>
      <c r="B4756" s="24" t="inlineStr">
        <is>
          <t>20063</t>
        </is>
      </c>
      <c r="C4756" s="23" t="inlineStr">
        <is>
          <t>ТП Арт Терапия</t>
        </is>
      </c>
      <c r="D4756" s="23" t="inlineStr">
        <is>
          <t>Синельников В.В.</t>
        </is>
      </c>
      <c r="E4756" s="23" t="inlineStr">
        <is>
          <t>Манипура. Солнечное сплетение. Исцеление пищеварительной системы</t>
        </is>
      </c>
      <c r="F4756" s="23" t="inlineStr">
        <is>
          <t>        </t>
        </is>
      </c>
      <c r="G4756" s="23" t="n">
        <v>627</v>
      </c>
      <c r="H4756" s="23" t="n">
        <v>10</v>
      </c>
      <c r="I4756" s="23" t="n">
        <v>10</v>
      </c>
      <c r="J4756" s="23" t="inlineStr">
        <is>
          <t>978-5-227-09898-6</t>
        </is>
      </c>
      <c r="K4756" s="23" t="inlineStr">
        <is>
          <t>70x90 1/12</t>
        </is>
      </c>
      <c r="L4756" s="23" t="inlineStr">
        <is>
          <t>Интегр</t>
        </is>
      </c>
      <c r="M4756" s="23" t="n">
        <v>72</v>
      </c>
      <c r="N4756" s="23" t="n">
        <v>2022</v>
      </c>
      <c r="O4756" s="23" t="n">
        <v>234</v>
      </c>
      <c r="P4756" s="23" t="n"/>
      <c r="Q4756" s="23" t="n"/>
      <c r="R4756" s="25" t="inlineStr">
        <is>
          <t>Вы держите в руках необычную книгу. Она поможет в исцелении пищеварительной системы через творчество и медитацию. В первой части идёт описание чакры и её значение, а также рассмотрена взаимосвязь между заболеваниями, человеческим поведением, мыслями и теми позитивными намерениями, которые они осуществляют. Во второй части представлены целительные мандалы — язык духовного мира, благодаря которому можно получить доступ в наше бессознательное для коррекции глубинных психических процессов. Около каждой мандалы вы найдёте мантры здоровья — своеобразные смысловые и звуковые ключи, несущие в себе позитивное ­утверждение. Мантры здоровья помогут гармонизировать энергию в этой чакре и исцелить те органы и системы, которые с ней связаны. Если у вас нет проблем со здоровьем, можете заниматься мандала­медитацией для профилактики, так как кроме разрешения внутриличностных конфликтов во время созерцания и раскрашивания мандалы происходит снятие напряжения, наступает глубокая релаксация. Мандала даёт возможность гармонизи­ровать не только внутреннее пространство наших чувств, желаний и эмоций, но также выйти за пределы проблем и подняться на новый уровень в своём развитии и совершенствовании. Это четвёртая книга по мандала­терапии. Первые три — «Анахата. Сердечный центр», «Муладхара. Корневой центр» и «Свадхистана. Крестцовый центр» — уже получили высокую оценку читателей. Следующие книги будут посвящены другим центрам и системам организма.</t>
        </is>
      </c>
      <c r="S4756" s="26">
        <f>HYPERLINK("http://www.cnpol.ru/covers/20063.jpg","фото на сайте")</f>
        <v/>
      </c>
    </row>
    <row r="4757" ht="50.1" customHeight="1" s="3">
      <c r="A4757" s="23" t="n"/>
      <c r="B4757" s="24" t="inlineStr">
        <is>
          <t>19443</t>
        </is>
      </c>
      <c r="C4757" s="23" t="inlineStr">
        <is>
          <t>ТП Арт Терапия</t>
        </is>
      </c>
      <c r="D4757" s="23" t="inlineStr">
        <is>
          <t>Синельников В.В.</t>
        </is>
      </c>
      <c r="E4757" s="23" t="inlineStr">
        <is>
          <t>Сахасрара. Венечная чакра. Освобождение. Обретение целостности и совершенства</t>
        </is>
      </c>
      <c r="F4757" s="23" t="inlineStr">
        <is>
          <t>        </t>
        </is>
      </c>
      <c r="G4757" s="23" t="n">
        <v>636</v>
      </c>
      <c r="H4757" s="23" t="n">
        <v>10</v>
      </c>
      <c r="I4757" s="23" t="n">
        <v>15</v>
      </c>
      <c r="J4757" s="23" t="inlineStr">
        <is>
          <t>978-5-227-09313-4</t>
        </is>
      </c>
      <c r="K4757" s="23" t="inlineStr">
        <is>
          <t>70x90 1/12</t>
        </is>
      </c>
      <c r="L4757" s="23" t="inlineStr">
        <is>
          <t>Интегр</t>
        </is>
      </c>
      <c r="M4757" s="23" t="n">
        <v>84</v>
      </c>
      <c r="N4757" s="23" t="n">
        <v>2020</v>
      </c>
      <c r="O4757" s="23" t="n">
        <v>266</v>
      </c>
      <c r="P4757" s="23" t="n"/>
      <c r="Q4757" s="23" t="n"/>
      <c r="R4757" s="25" t="n"/>
      <c r="S4757" s="26">
        <f>HYPERLINK("http://www.cnpol.ru/covers/19443.jpg","фото на сайте")</f>
        <v/>
      </c>
    </row>
    <row r="4758" ht="50.1" customHeight="1" s="3">
      <c r="A4758" s="23" t="n"/>
      <c r="B4758" s="24" t="inlineStr">
        <is>
          <t>19921</t>
        </is>
      </c>
      <c r="C4758" s="23" t="inlineStr">
        <is>
          <t>ТП Арт Терапия</t>
        </is>
      </c>
      <c r="D4758" s="23" t="inlineStr">
        <is>
          <t>Синельников В.В.</t>
        </is>
      </c>
      <c r="E4758" s="23" t="inlineStr">
        <is>
          <t>Свадхистана. Крестцовый центр</t>
        </is>
      </c>
      <c r="F4758" s="23" t="inlineStr">
        <is>
          <t>        </t>
        </is>
      </c>
      <c r="G4758" s="23" t="n">
        <v>636</v>
      </c>
      <c r="H4758" s="23" t="n">
        <v>10</v>
      </c>
      <c r="I4758" s="23" t="n">
        <v>10</v>
      </c>
      <c r="J4758" s="23" t="inlineStr">
        <is>
          <t>978-5-227-09704-0</t>
        </is>
      </c>
      <c r="K4758" s="23" t="inlineStr">
        <is>
          <t>70x90 1/12</t>
        </is>
      </c>
      <c r="L4758" s="23" t="inlineStr">
        <is>
          <t>Интегр</t>
        </is>
      </c>
      <c r="M4758" s="23" t="n">
        <v>84</v>
      </c>
      <c r="N4758" s="23" t="n">
        <v>2021</v>
      </c>
      <c r="O4758" s="23" t="n">
        <v>270</v>
      </c>
      <c r="P4758" s="23" t="n"/>
      <c r="Q4758" s="23" t="n"/>
      <c r="R4758" s="25" t="n"/>
      <c r="S4758" s="26">
        <f>HYPERLINK("http://www.cnpol.ru/covers/19921.jpg","фото на сайте")</f>
        <v/>
      </c>
    </row>
    <row r="4759" ht="50.1" customHeight="1" s="3">
      <c r="A4759" s="23" t="n"/>
      <c r="B4759" s="24" t="inlineStr">
        <is>
          <t>20436</t>
        </is>
      </c>
      <c r="C4759" s="23" t="inlineStr">
        <is>
          <t>ТП ДНЕВНИК</t>
        </is>
      </c>
      <c r="D4759" s="23" t="inlineStr">
        <is>
          <t>Синельников В.В.</t>
        </is>
      </c>
      <c r="E4759" s="23" t="inlineStr">
        <is>
          <t>Радость самопознания. Дневник для работы над собой.</t>
        </is>
      </c>
      <c r="F4759" s="23" t="inlineStr">
        <is>
          <t>        </t>
        </is>
      </c>
      <c r="G4759" s="23" t="n">
        <v>384</v>
      </c>
      <c r="H4759" s="23" t="n">
        <v>10</v>
      </c>
      <c r="I4759" s="23" t="n">
        <v>16</v>
      </c>
      <c r="J4759" s="23" t="inlineStr">
        <is>
          <t>978-5-227-09537-4</t>
        </is>
      </c>
      <c r="K4759" s="23" t="inlineStr">
        <is>
          <t>60x90 1/16</t>
        </is>
      </c>
      <c r="L4759" s="23" t="inlineStr">
        <is>
          <t>мяг</t>
        </is>
      </c>
      <c r="M4759" s="23" t="n">
        <v>256</v>
      </c>
      <c r="N4759" s="23" t="n">
        <v>2021</v>
      </c>
      <c r="O4759" s="23" t="n">
        <v>182</v>
      </c>
      <c r="P4759" s="23" t="n"/>
      <c r="Q4759" s="23" t="n"/>
      <c r="R4759" s="25" t="inlineStr">
        <is>
          <t>Дневник — мощное средство саморазвития, самоконтроля, укрепления силы воли. А ведение дневника — это одна из разновидностей работы над собой, прекрасный способ сосредоточить своё внимание и энергию на процессе трансформации. В конце концов — это еще одна новая добрая привычка._x000D_
Ведение дневника — это честный разговор с самим собой, который позволит раскрыть душу, понять себя и найти своё место в этом мире. Человек должен неустанно развиваться и совершенствоваться. Уделяйте своему дневнику, как верному другу, хотя бы 15—20 минут в день, и результаты не заставят себя долго ждать._x000D_
Изменяя свой ум, мы меняем характер, а меняя характер — мы меняем судьбу. И помните, что в зачёт идут только действия. Старайтесь воплотить в своей жизни написанное здесь. Пусть каждый день в вас и вашей судьбе происходят положительные, благотворные перемены._x000D_
Читателей ждёт серия из нескольких тематических дневников, первый откроет вам РАДОСТЬ САМОПОЗНАНИЯ._x000D_
Успехов вам в работе над собой!</t>
        </is>
      </c>
      <c r="S4759" s="26">
        <f>HYPERLINK("http://www.cnpol.ru/covers/20436.jpg","фото на сайте")</f>
        <v/>
      </c>
    </row>
    <row r="4760" ht="50.1" customHeight="1" s="3">
      <c r="A4760" s="23" t="n"/>
      <c r="B4760" s="24" t="inlineStr">
        <is>
          <t>19833</t>
        </is>
      </c>
      <c r="C4760" s="23" t="inlineStr">
        <is>
          <t>ТП К</t>
        </is>
      </c>
      <c r="D4760" s="23" t="inlineStr">
        <is>
          <t>Синельников В.В.</t>
        </is>
      </c>
      <c r="E4760" s="23" t="inlineStr">
        <is>
          <t>В поисках источников личной силы</t>
        </is>
      </c>
      <c r="F4760" s="23" t="inlineStr">
        <is>
          <t>        </t>
        </is>
      </c>
      <c r="G4760" s="23" t="n">
        <v>382</v>
      </c>
      <c r="H4760" s="23" t="n">
        <v>10</v>
      </c>
      <c r="I4760" s="23" t="n">
        <v>26</v>
      </c>
      <c r="J4760" s="23" t="inlineStr">
        <is>
          <t>978-5-227-09656-2</t>
        </is>
      </c>
      <c r="K4760" s="23" t="inlineStr">
        <is>
          <t>84x108 1/32</t>
        </is>
      </c>
      <c r="L4760" s="23" t="inlineStr">
        <is>
          <t>Интегр</t>
        </is>
      </c>
      <c r="M4760" s="23" t="n">
        <v>160</v>
      </c>
      <c r="N4760" s="23" t="n">
        <v>2021</v>
      </c>
      <c r="O4760" s="23" t="n">
        <v>102</v>
      </c>
      <c r="P4760" s="23" t="n"/>
      <c r="Q4760" s="23" t="n"/>
      <c r="R4760" s="25" t="inlineStr">
        <is>
          <t>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t>
        </is>
      </c>
      <c r="S4760" s="26">
        <f>HYPERLINK("http://www.cnpol.ru/covers/19833.jpg","фото на сайте")</f>
        <v/>
      </c>
    </row>
    <row r="4761" ht="50.1" customHeight="1" s="3">
      <c r="A4761" s="23" t="n"/>
      <c r="B4761" s="24" t="inlineStr">
        <is>
          <t>19792</t>
        </is>
      </c>
      <c r="C4761" s="23" t="inlineStr">
        <is>
          <t>ТП К</t>
        </is>
      </c>
      <c r="D4761" s="23" t="inlineStr">
        <is>
          <t>Синельников В.В.</t>
        </is>
      </c>
      <c r="E4761" s="23" t="inlineStr">
        <is>
          <t>Возлюби болезнь свою (голубая)</t>
        </is>
      </c>
      <c r="F4761" s="23" t="inlineStr">
        <is>
          <t>        </t>
        </is>
      </c>
      <c r="G4761" s="23" t="n">
        <v>411</v>
      </c>
      <c r="H4761" s="23" t="n">
        <v>10</v>
      </c>
      <c r="I4761" s="23" t="n">
        <v>14</v>
      </c>
      <c r="J4761" s="23" t="inlineStr">
        <is>
          <t>978-5-227-09586-2</t>
        </is>
      </c>
      <c r="K4761" s="23" t="inlineStr">
        <is>
          <t>84x108 1/32</t>
        </is>
      </c>
      <c r="L4761" s="23" t="inlineStr">
        <is>
          <t>Интегр</t>
        </is>
      </c>
      <c r="M4761" s="23" t="n">
        <v>416</v>
      </c>
      <c r="N4761" s="23" t="n">
        <v>2021</v>
      </c>
      <c r="O4761" s="23" t="n">
        <v>246</v>
      </c>
      <c r="P4761" s="23" t="n"/>
      <c r="Q4761" s="23" t="n"/>
      <c r="R4761" s="25" t="inlineStr">
        <is>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
"</t>
        </is>
      </c>
      <c r="S4761" s="26">
        <f>HYPERLINK("http://www.cnpol.ru/covers/19792.jpg","фото на сайте")</f>
        <v/>
      </c>
    </row>
    <row r="4762" ht="50.1" customHeight="1" s="3">
      <c r="A4762" s="23" t="n"/>
      <c r="B4762" s="24" t="inlineStr">
        <is>
          <t>19316</t>
        </is>
      </c>
      <c r="C4762" s="23" t="inlineStr">
        <is>
          <t>ТП К</t>
        </is>
      </c>
      <c r="D4762" s="23" t="inlineStr">
        <is>
          <t>Синельников В.В.</t>
        </is>
      </c>
      <c r="E4762" s="23" t="inlineStr">
        <is>
          <t>Питание в благости (голубая)</t>
        </is>
      </c>
      <c r="F4762" s="23" t="inlineStr">
        <is>
          <t>        </t>
        </is>
      </c>
      <c r="G4762" s="23" t="n">
        <v>382</v>
      </c>
      <c r="H4762" s="23" t="n">
        <v>10</v>
      </c>
      <c r="I4762" s="23" t="n">
        <v>16</v>
      </c>
      <c r="J4762" s="23" t="inlineStr">
        <is>
          <t>978-5-227-09200-7</t>
        </is>
      </c>
      <c r="K4762" s="23" t="inlineStr">
        <is>
          <t>84x108 1/32</t>
        </is>
      </c>
      <c r="L4762" s="23" t="inlineStr">
        <is>
          <t>Интегр</t>
        </is>
      </c>
      <c r="M4762" s="23" t="n">
        <v>288</v>
      </c>
      <c r="N4762" s="23" t="n">
        <v>2020</v>
      </c>
      <c r="O4762" s="23" t="n">
        <v>172</v>
      </c>
      <c r="P4762" s="23" t="n"/>
      <c r="Q4762" s="23" t="n"/>
      <c r="R4762" s="25" t="n"/>
      <c r="S4762" s="26">
        <f>HYPERLINK("http://www.cnpol.ru/covers/19316.jpg","фото на сайте")</f>
        <v/>
      </c>
    </row>
    <row r="4763" ht="50.1" customHeight="1" s="3">
      <c r="A4763" s="23" t="n"/>
      <c r="B4763" s="24" t="inlineStr">
        <is>
          <t>18150</t>
        </is>
      </c>
      <c r="C4763" s="23" t="inlineStr">
        <is>
          <t>ТП К</t>
        </is>
      </c>
      <c r="D4763" s="23" t="inlineStr">
        <is>
          <t>Синельников В.В.</t>
        </is>
      </c>
      <c r="E4763" s="23" t="inlineStr">
        <is>
          <t>Практический курс доктора Синельникова (голубая)</t>
        </is>
      </c>
      <c r="F4763" s="23" t="inlineStr">
        <is>
          <t>        </t>
        </is>
      </c>
      <c r="G4763" s="23" t="n">
        <v>382</v>
      </c>
      <c r="H4763" s="23" t="n">
        <v>10</v>
      </c>
      <c r="I4763" s="23" t="n">
        <v>20</v>
      </c>
      <c r="J4763" s="23" t="inlineStr">
        <is>
          <t>978-5-227-08183-4</t>
        </is>
      </c>
      <c r="K4763" s="23" t="inlineStr">
        <is>
          <t>84x108 1/32</t>
        </is>
      </c>
      <c r="L4763" s="23" t="inlineStr">
        <is>
          <t>Интегр</t>
        </is>
      </c>
      <c r="M4763" s="23" t="n">
        <v>240</v>
      </c>
      <c r="N4763" s="23" t="n">
        <v>2018</v>
      </c>
      <c r="O4763" s="23" t="n">
        <v>146</v>
      </c>
      <c r="P4763" s="23" t="n"/>
      <c r="Q4763" s="23" t="n"/>
      <c r="R4763" s="25" t="n"/>
      <c r="S4763" s="26">
        <f>HYPERLINK("http://www.cnpol.ru/covers/18150.jpg","фото на сайте")</f>
        <v/>
      </c>
    </row>
    <row r="4764" ht="50.1" customHeight="1" s="3">
      <c r="A4764" s="23" t="n"/>
      <c r="B4764" s="24" t="inlineStr">
        <is>
          <t>20009</t>
        </is>
      </c>
      <c r="C4764" s="23" t="inlineStr">
        <is>
          <t>ТП К</t>
        </is>
      </c>
      <c r="D4764" s="23" t="inlineStr">
        <is>
          <t>Синельников В.В.</t>
        </is>
      </c>
      <c r="E4764" s="23" t="inlineStr">
        <is>
          <t>Путь к богатству (голубая)</t>
        </is>
      </c>
      <c r="F4764" s="23" t="inlineStr">
        <is>
          <t>        </t>
        </is>
      </c>
      <c r="G4764" s="23" t="n">
        <v>382</v>
      </c>
      <c r="H4764" s="23" t="n">
        <v>10</v>
      </c>
      <c r="I4764" s="23" t="n">
        <v>20</v>
      </c>
      <c r="J4764" s="23" t="inlineStr">
        <is>
          <t>978-5-227-09794-1</t>
        </is>
      </c>
      <c r="K4764" s="23" t="inlineStr">
        <is>
          <t>84x108 1/32 (обл)</t>
        </is>
      </c>
      <c r="L4764" s="23" t="inlineStr">
        <is>
          <t>Интегр</t>
        </is>
      </c>
      <c r="M4764" s="23" t="n">
        <v>160</v>
      </c>
      <c r="N4764" s="23" t="n">
        <v>2021</v>
      </c>
      <c r="O4764" s="23" t="n">
        <v>140</v>
      </c>
      <c r="P4764" s="23" t="n"/>
      <c r="Q4764" s="23" t="n"/>
      <c r="R4764" s="25" t="n"/>
      <c r="S4764" s="26">
        <f>HYPERLINK("http://www.cnpol.ru/covers/20009.jpg","фото на сайте")</f>
        <v/>
      </c>
    </row>
    <row r="4765" ht="50.1" customHeight="1" s="3">
      <c r="A4765" s="23" t="n"/>
      <c r="B4765" s="24" t="inlineStr">
        <is>
          <t>19838</t>
        </is>
      </c>
      <c r="C4765" s="23" t="inlineStr">
        <is>
          <t>ТП К</t>
        </is>
      </c>
      <c r="D4765" s="23" t="inlineStr">
        <is>
          <t>Синельников В.В.</t>
        </is>
      </c>
      <c r="E4765" s="23" t="inlineStr">
        <is>
          <t>Рецепты здоровья. Добрая пища для тела и души</t>
        </is>
      </c>
      <c r="F4765" s="23" t="inlineStr">
        <is>
          <t>        </t>
        </is>
      </c>
      <c r="G4765" s="23" t="n">
        <v>382</v>
      </c>
      <c r="H4765" s="23" t="n">
        <v>10</v>
      </c>
      <c r="I4765" s="23" t="n">
        <v>30</v>
      </c>
      <c r="J4765" s="23" t="inlineStr">
        <is>
          <t>978-5-227-09645-6</t>
        </is>
      </c>
      <c r="K4765" s="23" t="inlineStr">
        <is>
          <t>84x108 1/32</t>
        </is>
      </c>
      <c r="L4765" s="23" t="inlineStr">
        <is>
          <t>Интегр</t>
        </is>
      </c>
      <c r="M4765" s="23" t="n">
        <v>190</v>
      </c>
      <c r="N4765" s="23" t="n">
        <v>2021</v>
      </c>
      <c r="O4765" s="23" t="n">
        <v>124</v>
      </c>
      <c r="P4765" s="23" t="n"/>
      <c r="Q4765" s="23" t="n"/>
      <c r="R4765" s="25" t="n"/>
      <c r="S4765" s="26">
        <f>HYPERLINK("http://www.cnpol.ru/covers/19838.jpg","фото на сайте")</f>
        <v/>
      </c>
    </row>
    <row r="4766" ht="50.1" customHeight="1" s="3">
      <c r="A4766" s="23" t="n"/>
      <c r="B4766" s="24" t="inlineStr">
        <is>
          <t>19249</t>
        </is>
      </c>
      <c r="C4766" s="23" t="inlineStr">
        <is>
          <t>ТП К</t>
        </is>
      </c>
      <c r="D4766" s="23" t="inlineStr">
        <is>
          <t>Синельников В.В.</t>
        </is>
      </c>
      <c r="E4766" s="23" t="inlineStr">
        <is>
          <t>Рецепты судьбы (голубая). Учебник хозяина жизни-2</t>
        </is>
      </c>
      <c r="F4766" s="23" t="inlineStr">
        <is>
          <t>        </t>
        </is>
      </c>
      <c r="G4766" s="23" t="n">
        <v>382</v>
      </c>
      <c r="H4766" s="23" t="n">
        <v>10</v>
      </c>
      <c r="I4766" s="23" t="n">
        <v>12</v>
      </c>
      <c r="J4766" s="23" t="inlineStr">
        <is>
          <t>978-5-227-09188-8</t>
        </is>
      </c>
      <c r="K4766" s="23" t="inlineStr">
        <is>
          <t>84x108 1/32</t>
        </is>
      </c>
      <c r="L4766" s="23" t="inlineStr">
        <is>
          <t>Интегр</t>
        </is>
      </c>
      <c r="M4766" s="23" t="n">
        <v>240</v>
      </c>
      <c r="N4766" s="23" t="n">
        <v>2020</v>
      </c>
      <c r="O4766" s="23" t="n">
        <v>150</v>
      </c>
      <c r="P4766" s="23" t="n"/>
      <c r="Q4766" s="23" t="n"/>
      <c r="R4766" s="25" t="n"/>
      <c r="S4766" s="26">
        <f>HYPERLINK("http://www.cnpol.ru/covers/19249.jpg","фото на сайте")</f>
        <v/>
      </c>
    </row>
    <row r="4767" ht="50.1" customHeight="1" s="3">
      <c r="A4767" s="23" t="n"/>
      <c r="B4767" s="24" t="inlineStr">
        <is>
          <t>19769</t>
        </is>
      </c>
      <c r="C4767" s="23" t="inlineStr">
        <is>
          <t>ТП К</t>
        </is>
      </c>
      <c r="D4767" s="23" t="inlineStr">
        <is>
          <t>Синельников В.В.</t>
        </is>
      </c>
      <c r="E4767" s="23" t="inlineStr">
        <is>
          <t>Сила намерения (голубая)</t>
        </is>
      </c>
      <c r="F4767" s="23" t="inlineStr">
        <is>
          <t>        </t>
        </is>
      </c>
      <c r="G4767" s="23" t="n">
        <v>382</v>
      </c>
      <c r="H4767" s="23" t="n">
        <v>10</v>
      </c>
      <c r="I4767" s="23" t="n">
        <v>24</v>
      </c>
      <c r="J4767" s="23" t="inlineStr">
        <is>
          <t>978-5-227-09593-0</t>
        </is>
      </c>
      <c r="K4767" s="23" t="inlineStr">
        <is>
          <t>84x108 1/32</t>
        </is>
      </c>
      <c r="L4767" s="23" t="inlineStr">
        <is>
          <t>Интегр</t>
        </is>
      </c>
      <c r="M4767" s="23" t="n">
        <v>160</v>
      </c>
      <c r="N4767" s="23" t="n">
        <v>2021</v>
      </c>
      <c r="O4767" s="23" t="n">
        <v>100</v>
      </c>
      <c r="P4767" s="23" t="n"/>
      <c r="Q4767" s="23" t="n"/>
      <c r="R4767" s="25" t="n"/>
      <c r="S4767" s="26">
        <f>HYPERLINK("http://www.cnpol.ru/covers/19769.jpg","фото на сайте")</f>
        <v/>
      </c>
    </row>
    <row r="4768" ht="50.1" customHeight="1" s="3">
      <c r="A4768" s="23" t="n"/>
      <c r="B4768" s="24" t="inlineStr">
        <is>
          <t>19837</t>
        </is>
      </c>
      <c r="C4768" s="23" t="inlineStr">
        <is>
          <t>ТП К</t>
        </is>
      </c>
      <c r="D4768" s="23" t="inlineStr">
        <is>
          <t>Синельников В.В.</t>
        </is>
      </c>
      <c r="E4768" s="23" t="inlineStr">
        <is>
          <t>СоТворение новой реальности. Откуда приходит будущее</t>
        </is>
      </c>
      <c r="F4768" s="23" t="inlineStr">
        <is>
          <t>        </t>
        </is>
      </c>
      <c r="G4768" s="23" t="n">
        <v>382</v>
      </c>
      <c r="H4768" s="23" t="n">
        <v>10</v>
      </c>
      <c r="I4768" s="23" t="n">
        <v>34</v>
      </c>
      <c r="J4768" s="23" t="inlineStr">
        <is>
          <t>978-5-227-09703-3</t>
        </is>
      </c>
      <c r="K4768" s="23" t="inlineStr">
        <is>
          <t>84x108 1/32</t>
        </is>
      </c>
      <c r="L4768" s="23" t="inlineStr">
        <is>
          <t>Интегр</t>
        </is>
      </c>
      <c r="M4768" s="23" t="n">
        <v>160</v>
      </c>
      <c r="N4768" s="23" t="n">
        <v>2021</v>
      </c>
      <c r="O4768" s="23" t="n">
        <v>106</v>
      </c>
      <c r="P4768" s="23" t="n"/>
      <c r="Q4768" s="23" t="n"/>
      <c r="R4768" s="25" t="n"/>
      <c r="S4768" s="26">
        <f>HYPERLINK("http://www.cnpol.ru/covers/19837.jpg","фото на сайте")</f>
        <v/>
      </c>
    </row>
    <row r="4769" ht="50.1" customHeight="1" s="3">
      <c r="A4769" s="23" t="n"/>
      <c r="B4769" s="24" t="inlineStr">
        <is>
          <t>16016</t>
        </is>
      </c>
      <c r="C4769" s="23" t="inlineStr">
        <is>
          <t>ТП К</t>
        </is>
      </c>
      <c r="D4769" s="23" t="inlineStr">
        <is>
          <t>Синельников В.В.</t>
        </is>
      </c>
      <c r="E4769" s="23" t="inlineStr">
        <is>
          <t>Формула Жизни (голубая)</t>
        </is>
      </c>
      <c r="F4769" s="23" t="inlineStr">
        <is>
          <t>        </t>
        </is>
      </c>
      <c r="G4769" s="23" t="n">
        <v>382</v>
      </c>
      <c r="H4769" s="23" t="n">
        <v>10</v>
      </c>
      <c r="I4769" s="23" t="n">
        <v>20</v>
      </c>
      <c r="J4769" s="23" t="inlineStr">
        <is>
          <t>978-5-227-06016-7</t>
        </is>
      </c>
      <c r="K4769" s="23" t="inlineStr">
        <is>
          <t>84x108 1/32</t>
        </is>
      </c>
      <c r="L4769" s="23" t="inlineStr">
        <is>
          <t>Интегр</t>
        </is>
      </c>
      <c r="M4769" s="23" t="n">
        <v>252</v>
      </c>
      <c r="N4769" s="23" t="n">
        <v>2015</v>
      </c>
      <c r="O4769" s="23" t="n">
        <v>160</v>
      </c>
      <c r="P4769" s="23" t="n"/>
      <c r="Q4769" s="23" t="n"/>
      <c r="R4769" s="25" t="n"/>
      <c r="S4769" s="26">
        <f>HYPERLINK("http://www.cnpol.ru/covers/16016.jpg","фото на сайте")</f>
        <v/>
      </c>
    </row>
    <row r="4770" ht="50.1" customHeight="1" s="3">
      <c r="A4770" s="23" t="n"/>
      <c r="B4770" s="24" t="inlineStr">
        <is>
          <t>20078</t>
        </is>
      </c>
      <c r="C4770" s="23" t="inlineStr">
        <is>
          <t>ТП К</t>
        </is>
      </c>
      <c r="D4770" s="23" t="inlineStr">
        <is>
          <t>Синельников В.В.</t>
        </is>
      </c>
      <c r="E4770" s="23" t="inlineStr">
        <is>
          <t>Формула Жизни (голубая)</t>
        </is>
      </c>
      <c r="F4770" s="23" t="inlineStr">
        <is>
          <t>        </t>
        </is>
      </c>
      <c r="G4770" s="23" t="n">
        <v>382</v>
      </c>
      <c r="H4770" s="23" t="n">
        <v>10</v>
      </c>
      <c r="I4770" s="23" t="n">
        <v>20</v>
      </c>
      <c r="J4770" s="23" t="inlineStr">
        <is>
          <t>978-5-227-09793-4</t>
        </is>
      </c>
      <c r="K4770" s="23" t="inlineStr">
        <is>
          <t>84x108 1/32</t>
        </is>
      </c>
      <c r="L4770" s="23" t="inlineStr">
        <is>
          <t>Интегр</t>
        </is>
      </c>
      <c r="M4770" s="23" t="n">
        <v>224</v>
      </c>
      <c r="N4770" s="23" t="n">
        <v>2021</v>
      </c>
      <c r="O4770" s="23" t="n">
        <v>160</v>
      </c>
      <c r="P4770" s="23" t="n"/>
      <c r="Q4770" s="23" t="n"/>
      <c r="R4770" s="25" t="n"/>
      <c r="S4770" s="26">
        <f>HYPERLINK("http://www.cnpol.ru/covers/20078.jpg","фото на сайте")</f>
        <v/>
      </c>
    </row>
    <row r="4771" ht="50.1" customHeight="1" s="3">
      <c r="A4771" s="23" t="n"/>
      <c r="B4771" s="24" t="inlineStr">
        <is>
          <t>20945</t>
        </is>
      </c>
      <c r="C4771" s="23" t="inlineStr">
        <is>
          <t>ТП МАСТЕР ЙОГИ</t>
        </is>
      </c>
      <c r="D4771" s="23" t="inlineStr">
        <is>
          <t>Сурья Д</t>
        </is>
      </c>
      <c r="E4771" s="23" t="inlineStr">
        <is>
          <t>Йога исцеления себя и судьбы. Практика улыбки</t>
        </is>
      </c>
      <c r="F4771" s="23" t="inlineStr">
        <is>
          <t>        </t>
        </is>
      </c>
      <c r="G4771" s="23" t="n">
        <v>248</v>
      </c>
      <c r="H4771" s="23" t="n">
        <v>10</v>
      </c>
      <c r="I4771" s="23" t="n">
        <v>15</v>
      </c>
      <c r="J4771" s="23" t="inlineStr">
        <is>
          <t>978-5-227-08635-8</t>
        </is>
      </c>
      <c r="K4771" s="23" t="inlineStr">
        <is>
          <t>84x108 1/32 (обл)</t>
        </is>
      </c>
      <c r="L4771" s="23" t="inlineStr">
        <is>
          <t>мяг</t>
        </is>
      </c>
      <c r="M4771" s="23" t="n">
        <v>191</v>
      </c>
      <c r="N4771" s="23" t="n">
        <v>2024</v>
      </c>
      <c r="O4771" s="23" t="n">
        <v>115</v>
      </c>
      <c r="P4771" s="23" t="n"/>
      <c r="Q4771" s="23" t="n"/>
      <c r="R4771" s="25" t="inlineStr">
        <is>
          <t>Издание, которое вы держите в руках, — логическое продолжение предыдущей книги автора «Йогатерапия». Простым и понятным языком Сурья Дас знакомит читателей с основами йоги — искусства, в котором он является настоящим мастером и мудрым наставником других практикующих. Сурья рассказывает о ключевых понятиях йоги, которые дополняет рекомендациями по её антистрессовому применению, о побеждающей болезни и беды практике внутренней улыбки, об изготовлении защитных амулетов, о том, как поладить с духами и собственной душой, о практиках не только хатха-йоги, но и свара-йоги, даёт рекомендации по улучшению здоровья, помогает понять, что индивидуально подойдёт именно вам.</t>
        </is>
      </c>
      <c r="S4771" s="26">
        <f>HYPERLINK("http://www.cnpol.ru/covers/20945.jpg","фото на сайте")</f>
        <v/>
      </c>
    </row>
    <row r="4772" ht="50.1" customHeight="1" s="3">
      <c r="A4772" s="23" t="n"/>
      <c r="B4772" s="24" t="inlineStr">
        <is>
          <t>18490</t>
        </is>
      </c>
      <c r="C4772" s="23" t="inlineStr">
        <is>
          <t>ТП МАСТЕР ЙОГИ</t>
        </is>
      </c>
      <c r="D4772" s="23" t="inlineStr">
        <is>
          <t>Сурья Д</t>
        </is>
      </c>
      <c r="E4772" s="23" t="inlineStr">
        <is>
          <t>Йога простыми словами. Карта Пути</t>
        </is>
      </c>
      <c r="F4772" s="23" t="inlineStr">
        <is>
          <t>        </t>
        </is>
      </c>
      <c r="G4772" s="23" t="n">
        <v>248</v>
      </c>
      <c r="H4772" s="23" t="n">
        <v>10</v>
      </c>
      <c r="I4772" s="23" t="n">
        <v>16</v>
      </c>
      <c r="J4772" s="23" t="inlineStr">
        <is>
          <t>978-5-227-08300-5</t>
        </is>
      </c>
      <c r="K4772" s="23" t="inlineStr">
        <is>
          <t>84x108 1/32 (обл)</t>
        </is>
      </c>
      <c r="L4772" s="23" t="inlineStr">
        <is>
          <t>мяг</t>
        </is>
      </c>
      <c r="M4772" s="23" t="n">
        <v>320</v>
      </c>
      <c r="N4772" s="23" t="n">
        <v>2019</v>
      </c>
      <c r="O4772" s="23" t="n">
        <v>186</v>
      </c>
      <c r="P4772" s="23" t="n"/>
      <c r="Q4772" s="23" t="n"/>
      <c r="R4772" s="25" t="inlineStr">
        <is>
          <t>Сурья Дас — мудрый и опытный наставник йоги, психолог. Изучает и практикует йогу более 25 лет. Ведёт йога­курсы, проводит авторские семинары по йоге в России, Индии. Публикует йога­практики в Ютьюбе._x000D_
Книг о йоге написано очень много, а вот простых, понятных и при этом раскрывающих суть этой глубокой духовной, психической и физической практики среди них мало, но они есть, и одну из них мы представляем вашему вниманию. Часто на пути движения в своих практиках нам не хватает Карты Пути, которая покажет место, где мы сейчас находимся, и высветит перспективу — куда идти. Нас ждут пять ступеней Пути, по которым автор поведёт читателя. Вы увидите деструктивные черты характера, которые забирают львиную долю вашей энергии, наработаете гармоничные модели поведения, дифференцируете приложение своей Силы, разберётесь с эмоциональными реакциями на многое происходящее, выйдете на ощущения «тонкого», и в вашей жизни проявится еще одно измерение!.._x000D_
Итак, в Путь!</t>
        </is>
      </c>
      <c r="S4772" s="26">
        <f>HYPERLINK("http://www.cnpol.ru/covers/18490.jpg","фото на сайте")</f>
        <v/>
      </c>
    </row>
    <row r="4773" ht="50.1" customHeight="1" s="3">
      <c r="A4773" s="23" t="n"/>
      <c r="B4773" s="24" t="inlineStr">
        <is>
          <t>18581</t>
        </is>
      </c>
      <c r="C4773" s="23" t="inlineStr">
        <is>
          <t>ТП МАСТЕР ЙОГИ</t>
        </is>
      </c>
      <c r="D4773" s="23" t="inlineStr">
        <is>
          <t>Сурья Д</t>
        </is>
      </c>
      <c r="E4773" s="23" t="inlineStr">
        <is>
          <t>Йога. Духовные практики. Радуга чакр</t>
        </is>
      </c>
      <c r="F4773" s="23" t="inlineStr">
        <is>
          <t>        </t>
        </is>
      </c>
      <c r="G4773" s="23" t="n">
        <v>248</v>
      </c>
      <c r="H4773" s="23" t="n">
        <v>10</v>
      </c>
      <c r="I4773" s="23" t="n">
        <v>20</v>
      </c>
      <c r="J4773" s="23" t="inlineStr">
        <is>
          <t>978-5-227-08309-8</t>
        </is>
      </c>
      <c r="K4773" s="23" t="inlineStr">
        <is>
          <t>84x108 1/32 (обл)</t>
        </is>
      </c>
      <c r="L4773" s="23" t="inlineStr">
        <is>
          <t>мяг</t>
        </is>
      </c>
      <c r="M4773" s="23" t="n">
        <v>160</v>
      </c>
      <c r="N4773" s="23" t="n">
        <v>2019</v>
      </c>
      <c r="O4773" s="23" t="n">
        <v>100</v>
      </c>
      <c r="P4773" s="23" t="n"/>
      <c r="Q4773" s="23" t="n"/>
      <c r="R4773" s="25" t="inlineStr">
        <is>
          <t>Сурья Дас представляет читателям сатсанги — духовные беседы из семинаров разных лет. Духовный путь — это движение по восходящей линии, где в качестве опорных точек используются чакры. То есть это движение вверх по «чакральной лестнице». Легко и увлекательно автор рассказывает о наработке особых умений — Сиддх, которые поддержат вас на пути по Радуге чакр. Вы узнаете о законах и конфликтах наших оболочек: тела, энергии, эмоций, мыслей; путях йоги и ловушках на дороге к совершенствованию. Всё это связывает центральная тема о йоге как способе жизни на Земле. В тексте много рекомендаций, которые непременно помогут осознать свои проблемы и увидеть решение через призму духовных практик. В первую очередь книга предназначена для уже практикующих йогу, но подойдёт и новичкам. Каждый найдёт здесь для себя подходящие именно ему приёмы и техники, которые сможет использовать в жизни. Как говорят мастера: «Любая теория — это карта и указатель на пути, но пройти путь мы можем только своими ногами».</t>
        </is>
      </c>
      <c r="S4773" s="26">
        <f>HYPERLINK("http://www.cnpol.ru/covers/18581.jpg","фото на сайте")</f>
        <v/>
      </c>
    </row>
    <row r="4774" ht="50.1" customHeight="1" s="3">
      <c r="A4774" s="23" t="n"/>
      <c r="B4774" s="24" t="inlineStr">
        <is>
          <t>20603</t>
        </is>
      </c>
      <c r="C4774" s="23" t="inlineStr">
        <is>
          <t>ТП МАСТЕР ЙОГИ</t>
        </is>
      </c>
      <c r="D4774" s="23" t="inlineStr">
        <is>
          <t>Сурья Д</t>
        </is>
      </c>
      <c r="E4774" s="23" t="inlineStr">
        <is>
          <t>Йогатерапия. Путь к исцелению</t>
        </is>
      </c>
      <c r="F4774" s="23" t="inlineStr">
        <is>
          <t>        </t>
        </is>
      </c>
      <c r="G4774" s="23" t="n">
        <v>268</v>
      </c>
      <c r="H4774" s="23" t="n">
        <v>10</v>
      </c>
      <c r="I4774" s="23" t="n">
        <v>14</v>
      </c>
      <c r="J4774" s="23" t="inlineStr">
        <is>
          <t>978-5-227-09982-2</t>
        </is>
      </c>
      <c r="K4774" s="23" t="inlineStr">
        <is>
          <t>84x108 1/32 (обл)</t>
        </is>
      </c>
      <c r="L4774" s="23" t="inlineStr">
        <is>
          <t>мяг</t>
        </is>
      </c>
      <c r="M4774" s="23" t="n">
        <v>288</v>
      </c>
      <c r="N4774" s="23" t="n">
        <v>2023</v>
      </c>
      <c r="O4774" s="23" t="n">
        <v>172</v>
      </c>
      <c r="P4774" s="23" t="n"/>
      <c r="Q4774" s="23" t="n"/>
      <c r="R4774" s="25" t="inlineStr">
        <is>
          <t>Йога — это не просто гимнастика и процедуры, это духовная практика, которая помогает излечить не только тело, но и душу. Йога не лечит болезни сама по себе, но помогает устранить разлад в организме и направить его на путь выздоровления. В своей новой книге Сурья Дас знакомит читателей с плодами своего многолетнего труда, даёт интегральную схему, в которой гармонично сочетаются асаны, пранаямы, очищающие практики, шавасаны и медитации. Всё вместе создаёт реальную и живую комплексную систему, которая помогает поправить здоровье и улучшить качество жизни. Эта книга предназначена для тех, кто уже начал заниматься йогой, подойдёт она и тем, кто уже достиг в ней определённых высот и теперь обучает других. Книга поможет многим понять и почувствовать направление движения по Пути духовного и физического совершенствования.</t>
        </is>
      </c>
      <c r="S4774" s="26">
        <f>HYPERLINK("http://www.cnpol.ru/covers/20603.jpg","фото на сайте")</f>
        <v/>
      </c>
    </row>
    <row r="4775" ht="50.1" customHeight="1" s="3">
      <c r="A4775" s="23" t="n"/>
      <c r="B4775" s="24" t="inlineStr">
        <is>
          <t>20087</t>
        </is>
      </c>
      <c r="C4775" s="23" t="inlineStr">
        <is>
          <t>ТП МИНИ</t>
        </is>
      </c>
      <c r="D4775" s="23" t="inlineStr">
        <is>
          <t>Синельников В.В.</t>
        </is>
      </c>
      <c r="E4775" s="23" t="inlineStr">
        <is>
          <t>Возлюби болезнь свою. Как стать здоровым, познав радость жизни</t>
        </is>
      </c>
      <c r="F4775" s="23" t="inlineStr">
        <is>
          <t>        </t>
        </is>
      </c>
      <c r="G4775" s="23" t="n">
        <v>319</v>
      </c>
      <c r="H4775" s="23" t="n">
        <v>10</v>
      </c>
      <c r="I4775" s="23" t="n">
        <v>8</v>
      </c>
      <c r="J4775" s="23" t="inlineStr">
        <is>
          <t>978-5-227-09654-8</t>
        </is>
      </c>
      <c r="K4775" s="23" t="inlineStr">
        <is>
          <t>70x100 1/32</t>
        </is>
      </c>
      <c r="L4775" s="23" t="inlineStr">
        <is>
          <t>мяг</t>
        </is>
      </c>
      <c r="M4775" s="23" t="n">
        <v>448</v>
      </c>
      <c r="N4775" s="23" t="n">
        <v>2021</v>
      </c>
      <c r="O4775" s="23" t="n">
        <v>200</v>
      </c>
      <c r="P4775" s="23" t="n"/>
      <c r="Q4775" s="23" t="n"/>
      <c r="R4775" s="25" t="inlineStr">
        <is>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is>
      </c>
      <c r="S4775" s="26">
        <f>HYPERLINK("http://www.cnpol.ru/covers/20087.jpg","фото на сайте")</f>
        <v/>
      </c>
    </row>
    <row r="4776" ht="50.1" customHeight="1" s="3">
      <c r="A4776" s="23" t="n"/>
      <c r="B4776" s="24" t="inlineStr">
        <is>
          <t>20190</t>
        </is>
      </c>
      <c r="C4776" s="23" t="inlineStr">
        <is>
          <t>ТП МИНИ</t>
        </is>
      </c>
      <c r="D4776" s="23" t="inlineStr">
        <is>
          <t>Синельников В.В.</t>
        </is>
      </c>
      <c r="E4776" s="23" t="inlineStr">
        <is>
          <t>Питание в благости</t>
        </is>
      </c>
      <c r="F4776" s="23" t="inlineStr">
        <is>
          <t>        </t>
        </is>
      </c>
      <c r="G4776" s="23" t="n">
        <v>333</v>
      </c>
      <c r="H4776" s="23" t="n">
        <v>10</v>
      </c>
      <c r="I4776" s="23" t="n">
        <v>20</v>
      </c>
      <c r="J4776" s="23" t="inlineStr">
        <is>
          <t>978-5-227-09647-0</t>
        </is>
      </c>
      <c r="K4776" s="23" t="inlineStr">
        <is>
          <t>70x100 1/32</t>
        </is>
      </c>
      <c r="L4776" s="23" t="inlineStr">
        <is>
          <t>мяг</t>
        </is>
      </c>
      <c r="M4776" s="23" t="n">
        <v>319</v>
      </c>
      <c r="N4776" s="23" t="n">
        <v>2022</v>
      </c>
      <c r="O4776" s="23" t="n">
        <v>270</v>
      </c>
      <c r="P4776" s="23" t="n"/>
      <c r="Q4776" s="23" t="n"/>
      <c r="R4776" s="25" t="n"/>
      <c r="S4776" s="26">
        <f>HYPERLINK("http://www.cnpol.ru/covers/20190.jpg","фото на сайте")</f>
        <v/>
      </c>
    </row>
    <row r="4777" ht="50.1" customHeight="1" s="3">
      <c r="A4777" s="23" t="n"/>
      <c r="B4777" s="24" t="inlineStr">
        <is>
          <t>20003</t>
        </is>
      </c>
      <c r="C4777" s="23" t="inlineStr">
        <is>
          <t>ТП МИНИ</t>
        </is>
      </c>
      <c r="D4777" s="23" t="inlineStr">
        <is>
          <t>Синельников В.В.</t>
        </is>
      </c>
      <c r="E4777" s="23" t="inlineStr">
        <is>
          <t>Прививка от стресса. Как стать хозяином своей жизни</t>
        </is>
      </c>
      <c r="F4777" s="23" t="inlineStr">
        <is>
          <t>        </t>
        </is>
      </c>
      <c r="G4777" s="23" t="n">
        <v>276</v>
      </c>
      <c r="H4777" s="23" t="n">
        <v>10</v>
      </c>
      <c r="I4777" s="23" t="n">
        <v>10</v>
      </c>
      <c r="J4777" s="23" t="inlineStr">
        <is>
          <t>978-5-227-09796-5</t>
        </is>
      </c>
      <c r="K4777" s="23" t="inlineStr">
        <is>
          <t>70x100 1/32</t>
        </is>
      </c>
      <c r="L4777" s="23" t="inlineStr">
        <is>
          <t>мяг</t>
        </is>
      </c>
      <c r="M4777" s="23" t="n">
        <v>256</v>
      </c>
      <c r="N4777" s="23" t="n">
        <v>2021</v>
      </c>
      <c r="O4777" s="23" t="n">
        <v>122</v>
      </c>
      <c r="P4777" s="23" t="n"/>
      <c r="Q4777" s="23" t="n"/>
      <c r="R4777" s="25" t="n"/>
      <c r="S4777" s="26">
        <f>HYPERLINK("http://www.cnpol.ru/covers/20003.jpg","фото на сайте")</f>
        <v/>
      </c>
    </row>
    <row r="4778" ht="50.1" customHeight="1" s="3">
      <c r="A4778" s="23" t="n"/>
      <c r="B4778" s="24" t="inlineStr">
        <is>
          <t>20005</t>
        </is>
      </c>
      <c r="C4778" s="23" t="inlineStr">
        <is>
          <t>ТП МИНИ</t>
        </is>
      </c>
      <c r="D4778" s="23" t="inlineStr">
        <is>
          <t>Синельников В.В.</t>
        </is>
      </c>
      <c r="E4778" s="23" t="inlineStr">
        <is>
          <t>Путь к богатству. Как стать и богатым и счастливым</t>
        </is>
      </c>
      <c r="F4778" s="23" t="inlineStr">
        <is>
          <t>        </t>
        </is>
      </c>
      <c r="G4778" s="23" t="n">
        <v>276</v>
      </c>
      <c r="H4778" s="23" t="n">
        <v>10</v>
      </c>
      <c r="I4778" s="23" t="n">
        <v>24</v>
      </c>
      <c r="J4778" s="23" t="inlineStr">
        <is>
          <t>978-5-227-09797-2</t>
        </is>
      </c>
      <c r="K4778" s="23" t="inlineStr">
        <is>
          <t>70x100 1/32</t>
        </is>
      </c>
      <c r="L4778" s="23" t="inlineStr">
        <is>
          <t>мяг</t>
        </is>
      </c>
      <c r="M4778" s="23" t="n">
        <v>219</v>
      </c>
      <c r="N4778" s="23" t="n">
        <v>2021</v>
      </c>
      <c r="O4778" s="23" t="n">
        <v>122</v>
      </c>
      <c r="P4778" s="23" t="n"/>
      <c r="Q4778" s="23" t="n"/>
      <c r="R4778" s="25" t="n"/>
      <c r="S4778" s="26">
        <f>HYPERLINK("http://www.cnpol.ru/covers/20005.jpg","фото на сайте")</f>
        <v/>
      </c>
    </row>
    <row r="4779" ht="50.1" customHeight="1" s="3">
      <c r="A4779" s="23" t="n"/>
      <c r="B4779" s="24" t="inlineStr">
        <is>
          <t>20375</t>
        </is>
      </c>
      <c r="C4779" s="23" t="inlineStr">
        <is>
          <t>ТП МИНИ</t>
        </is>
      </c>
      <c r="D4779" s="23" t="inlineStr">
        <is>
          <t>Синельников В.В.</t>
        </is>
      </c>
      <c r="E4779" s="23" t="inlineStr">
        <is>
          <t>Рецепты судьбы. Учебник хозяина жизни - 2</t>
        </is>
      </c>
      <c r="F4779" s="23" t="inlineStr">
        <is>
          <t>        </t>
        </is>
      </c>
      <c r="G4779" s="23" t="n">
        <v>276</v>
      </c>
      <c r="H4779" s="23" t="n">
        <v>10</v>
      </c>
      <c r="I4779" s="23" t="n">
        <v>18</v>
      </c>
      <c r="J4779" s="23" t="inlineStr">
        <is>
          <t>978-5-227-10057-3</t>
        </is>
      </c>
      <c r="K4779" s="23" t="inlineStr">
        <is>
          <t>70x100 1/32</t>
        </is>
      </c>
      <c r="L4779" s="23" t="inlineStr">
        <is>
          <t>мяг</t>
        </is>
      </c>
      <c r="M4779" s="23" t="n">
        <v>240</v>
      </c>
      <c r="N4779" s="23" t="n">
        <v>2022</v>
      </c>
      <c r="O4779" s="23" t="n">
        <v>108</v>
      </c>
      <c r="P4779" s="23" t="n"/>
      <c r="Q4779" s="23" t="n"/>
      <c r="R4779" s="25" t="inlineStr">
        <is>
          <t>Эта книга Валерия Синельникова станет вашим путеводителем по жизни. Откройте ее на любой странице, и вы получите подсказку, которая поможет найти правильное решение. Все земное подлежит разрушению: машина ржавеет, дом ветшает, близкие люди уходят из этого мира, одни идеалы заменяются на другие, знания постоянно меняются. Неизменна и неразрушима остается всегда только сама Истина, Бог. Вот это и следует делать целью в жизни. А все остальное — только средства на этом пути.</t>
        </is>
      </c>
      <c r="S4779" s="26">
        <f>HYPERLINK("http://www.cnpol.ru/covers/20375.jpg","фото на сайте")</f>
        <v/>
      </c>
    </row>
    <row r="4780" ht="50.1" customHeight="1" s="3">
      <c r="A4780" s="23" t="n"/>
      <c r="B4780" s="24" t="inlineStr">
        <is>
          <t>17356</t>
        </is>
      </c>
      <c r="C4780" s="23" t="inlineStr">
        <is>
          <t>ТП ПИ</t>
        </is>
      </c>
      <c r="D4780" s="23" t="inlineStr">
        <is>
          <t>Синельников В.В., Ивашко А.Н.</t>
        </is>
      </c>
      <c r="E4780" s="23" t="inlineStr">
        <is>
          <t>Хранители древних знаний. Тайна переписи Даррунга</t>
        </is>
      </c>
      <c r="F4780" s="23" t="inlineStr">
        <is>
          <t>        </t>
        </is>
      </c>
      <c r="G4780" s="23" t="n">
        <v>910</v>
      </c>
      <c r="H4780" s="23" t="n">
        <v>10</v>
      </c>
      <c r="I4780" s="23" t="n">
        <v>6</v>
      </c>
      <c r="J4780" s="23" t="inlineStr">
        <is>
          <t>978-5-227-07388-4</t>
        </is>
      </c>
      <c r="K4780" s="23" t="inlineStr">
        <is>
          <t>70х100 1/16</t>
        </is>
      </c>
      <c r="L4780" s="23" t="inlineStr">
        <is>
          <t>тв</t>
        </is>
      </c>
      <c r="M4780" s="23" t="n">
        <v>352</v>
      </c>
      <c r="N4780" s="23" t="n">
        <v>2017</v>
      </c>
      <c r="O4780" s="23" t="n">
        <v>534</v>
      </c>
      <c r="P4780" s="23" t="n"/>
      <c r="Q4780" s="23" t="n"/>
      <c r="R4780" s="25" t="n"/>
      <c r="S4780" s="26">
        <f>HYPERLINK("http://www.cnpol.ru/covers/17356.jpg","фото на сайте")</f>
        <v/>
      </c>
    </row>
    <row r="4781" ht="50.1" customHeight="1" s="3">
      <c r="A4781" s="23" t="n"/>
      <c r="B4781" s="24" t="inlineStr">
        <is>
          <t>18772</t>
        </is>
      </c>
      <c r="C4781" s="23" t="inlineStr">
        <is>
          <t>ТП ТРАНСФОРМАЦИЯ</t>
        </is>
      </c>
      <c r="D4781" s="23" t="inlineStr">
        <is>
          <t>Дубянский С.</t>
        </is>
      </c>
      <c r="E4781" s="23" t="inlineStr">
        <is>
          <t>Формула успеха</t>
        </is>
      </c>
      <c r="F4781" s="23" t="inlineStr">
        <is>
          <t>        </t>
        </is>
      </c>
      <c r="G4781" s="23" t="n">
        <v>266</v>
      </c>
      <c r="H4781" s="23" t="n">
        <v>10</v>
      </c>
      <c r="I4781" s="23" t="n">
        <v>14</v>
      </c>
      <c r="J4781" s="23" t="inlineStr">
        <is>
          <t>978-5-227-08622-8</t>
        </is>
      </c>
      <c r="K4781" s="23" t="inlineStr">
        <is>
          <t>84x108 1/32 (обл)</t>
        </is>
      </c>
      <c r="L4781" s="23" t="inlineStr">
        <is>
          <t>мяг</t>
        </is>
      </c>
      <c r="M4781" s="23" t="n">
        <v>352</v>
      </c>
      <c r="N4781" s="23" t="n">
        <v>2019</v>
      </c>
      <c r="O4781" s="23" t="n">
        <v>186</v>
      </c>
      <c r="P4781" s="23" t="n"/>
      <c r="Q4781" s="23" t="n"/>
      <c r="R4781" s="25" t="n"/>
      <c r="S4781" s="26">
        <f>HYPERLINK("http://www.cnpol.ru/covers/18772.jpg","фото на сайте")</f>
        <v/>
      </c>
    </row>
    <row r="4782" ht="50.1" customHeight="1" s="3">
      <c r="A4782" s="23" t="n"/>
      <c r="B4782" s="24" t="inlineStr">
        <is>
          <t>18443</t>
        </is>
      </c>
      <c r="C4782" s="23" t="inlineStr">
        <is>
          <t>ТП ТРАНСФОРМАЦИЯ</t>
        </is>
      </c>
      <c r="D4782" s="23" t="inlineStr">
        <is>
          <t>Дубянский С.</t>
        </is>
      </c>
      <c r="E4782" s="23" t="inlineStr">
        <is>
          <t>Эзотерика успеха. Раскрываем свои потенциалы, таланты, предназначение</t>
        </is>
      </c>
      <c r="F4782" s="23" t="inlineStr">
        <is>
          <t>        </t>
        </is>
      </c>
      <c r="G4782" s="23" t="n">
        <v>266</v>
      </c>
      <c r="H4782" s="23" t="n">
        <v>10</v>
      </c>
      <c r="I4782" s="23" t="n">
        <v>16</v>
      </c>
      <c r="J4782" s="23" t="inlineStr">
        <is>
          <t>978-5-227-08291-6</t>
        </is>
      </c>
      <c r="K4782" s="23" t="inlineStr">
        <is>
          <t>84x108 1/32 (обл)</t>
        </is>
      </c>
      <c r="L4782" s="23" t="inlineStr">
        <is>
          <t>мяг</t>
        </is>
      </c>
      <c r="M4782" s="23" t="n">
        <v>320</v>
      </c>
      <c r="N4782" s="23" t="n">
        <v>2019</v>
      </c>
      <c r="O4782" s="23" t="n">
        <v>186</v>
      </c>
      <c r="P4782" s="23" t="n"/>
      <c r="Q4782" s="23" t="n"/>
      <c r="R4782" s="25" t="n"/>
      <c r="S4782" s="26">
        <f>HYPERLINK("http://www.cnpol.ru/covers/18443.jpg","фото на сайте")</f>
        <v/>
      </c>
    </row>
    <row r="4783" ht="50.1" customHeight="1" s="3">
      <c r="A4783" s="23" t="n"/>
      <c r="B4783" s="24" t="inlineStr">
        <is>
          <t>11063</t>
        </is>
      </c>
      <c r="C4783" s="23" t="inlineStr">
        <is>
          <t>ТПР</t>
        </is>
      </c>
      <c r="D4783" s="23" t="inlineStr">
        <is>
          <t>Войт А.</t>
        </is>
      </c>
      <c r="E4783" s="23" t="inlineStr">
        <is>
          <t>Лучшие сценарии девичников и мальчишников</t>
        </is>
      </c>
      <c r="F4783" s="23" t="inlineStr">
        <is>
          <t>        </t>
        </is>
      </c>
      <c r="G4783" s="23" t="n">
        <v>389</v>
      </c>
      <c r="H4783" s="23" t="n">
        <v>22</v>
      </c>
      <c r="I4783" s="23" t="n">
        <v>12</v>
      </c>
      <c r="J4783" s="23" t="inlineStr">
        <is>
          <t>978-5-9524-4175-0</t>
        </is>
      </c>
      <c r="K4783" s="23" t="inlineStr">
        <is>
          <t>84x108 1/32</t>
        </is>
      </c>
      <c r="L4783" s="23" t="inlineStr">
        <is>
          <t>тв</t>
        </is>
      </c>
      <c r="M4783" s="23" t="n">
        <v>283</v>
      </c>
      <c r="N4783" s="23" t="n">
        <v>2009</v>
      </c>
      <c r="O4783" s="23" t="n">
        <v>256</v>
      </c>
      <c r="P4783" s="23" t="n"/>
      <c r="Q4783" s="23" t="n"/>
      <c r="R4783" s="25" t="inlineStr">
        <is>
          <t>Если вы любите встречаться с друзьями и подругами, веселиться, вместе отмечать праздники - эта книга для вас. С ее помощью любое застолье может стать настоящим капустником, "Комеди Клабом" на выезде и внештатным выпуском КВН, где каждый сможет выразить себя, раскрепоститься и от души повеселиться. _x000D_
В ваших руках - лучшее средство от депрессии и хандры. Игры, стихотворные поздравления, песни, оригинальные сценарии для проведения девичников и мальчишников, остроумные тесты, рецепты незабываемых аппетитных блюд, шутливые конкурсы и соревнования помогут сплотить любую компанию и надолго запомнятся всем участникам.</t>
        </is>
      </c>
      <c r="S4783" s="26">
        <f>HYPERLINK("http://www.cnpol.ru/covers/11063.jpg","фото на сайте")</f>
        <v/>
      </c>
    </row>
    <row r="4784" ht="50.1" customHeight="1" s="3">
      <c r="A4784" s="23" t="n"/>
      <c r="B4784" s="24" t="inlineStr">
        <is>
          <t>11780</t>
        </is>
      </c>
      <c r="C4784" s="23" t="inlineStr">
        <is>
          <t>ТРЕНИНГ</t>
        </is>
      </c>
      <c r="D4784" s="23" t="inlineStr">
        <is>
          <t>Свияш Ю.В.</t>
        </is>
      </c>
      <c r="E4784" s="23" t="inlineStr">
        <is>
          <t>Бриллианты и шелк: 10 заповедей для настоящей женщины</t>
        </is>
      </c>
      <c r="F4784" s="23" t="n">
        <v>8</v>
      </c>
      <c r="G4784" s="23" t="n">
        <v>174</v>
      </c>
      <c r="H4784" s="23" t="n">
        <v>10</v>
      </c>
      <c r="I4784" s="23" t="n">
        <v>72</v>
      </c>
      <c r="J4784" s="23" t="inlineStr">
        <is>
          <t>978-5-9524-4909-1</t>
        </is>
      </c>
      <c r="K4784" s="23" t="inlineStr">
        <is>
          <t>60x84 1/32</t>
        </is>
      </c>
      <c r="L4784" s="23" t="inlineStr">
        <is>
          <t>тв</t>
        </is>
      </c>
      <c r="M4784" s="23" t="n">
        <v>128</v>
      </c>
      <c r="N4784" s="23" t="n">
        <v>2010</v>
      </c>
      <c r="O4784" s="23" t="n">
        <v>104</v>
      </c>
      <c r="P4784" s="23" t="n"/>
      <c r="Q4784" s="23" t="n"/>
      <c r="R4784" s="25" t="inlineStr">
        <is>
          <t>Каждая Заподедь в этой книге-маленький тренинг с большими последствиями. Заповедь-это не совет. Заповедь-это отражение закона, который существует в жизни, независимо от того, знакома ты с ним или нет. аждая Заповедь, если вглядеться и прочувствовать ее, может полностью перевернуть твою жизнь и представление о себе. Каждая Заповедь-это волшебная точка твоей силы.</t>
        </is>
      </c>
      <c r="S4784" s="26">
        <f>HYPERLINK("http://www.cnpol.ru/covers/11780.jpg","фото на сайте")</f>
        <v/>
      </c>
    </row>
    <row r="4785" ht="50.1" customHeight="1" s="3">
      <c r="A4785" s="23" t="n"/>
      <c r="B4785" s="24" t="inlineStr">
        <is>
          <t>16694</t>
        </is>
      </c>
      <c r="C4785" s="23" t="inlineStr">
        <is>
          <t>ТРЕНИНГ</t>
        </is>
      </c>
      <c r="D4785" s="23" t="inlineStr">
        <is>
          <t>Свияш Ю.В.</t>
        </is>
      </c>
      <c r="E4785" s="23" t="inlineStr">
        <is>
          <t>Девушка с рыжей челкой. С чего начинается Женственность (вид 2)</t>
        </is>
      </c>
      <c r="F4785" s="23" t="n">
        <v>2</v>
      </c>
      <c r="G4785" s="23" t="n">
        <v>615</v>
      </c>
      <c r="H4785" s="23" t="n">
        <v>10</v>
      </c>
      <c r="I4785" s="23" t="n">
        <v>10</v>
      </c>
      <c r="J4785" s="23" t="inlineStr">
        <is>
          <t>978-5-227-06698-5</t>
        </is>
      </c>
      <c r="K4785" s="23" t="inlineStr">
        <is>
          <t>82x100 1/32</t>
        </is>
      </c>
      <c r="L4785" s="23" t="inlineStr">
        <is>
          <t>тв</t>
        </is>
      </c>
      <c r="M4785" s="23" t="n">
        <v>446</v>
      </c>
      <c r="N4785" s="23" t="n">
        <v>2016</v>
      </c>
      <c r="O4785" s="23" t="n">
        <v>388</v>
      </c>
      <c r="P4785" s="23" t="n"/>
      <c r="Q4785" s="23" t="n"/>
      <c r="R4785" s="25" t="inlineStr">
        <is>
          <t>После того, как вы поработаете с этой книгой, ваша жизнь обязательно изменится в лучшую сторону. Прощай, одинокая, несчастливая жизнь, неуверенность в себе и плохое настроение. Да здравствуют любовь, удача, благополучие и… Женственность!_x000D_
Женственность — величайшая загадка Бога. Мистичная, вдохновенная и прекрасная. Как и сам Бог, она не может быть достоверно определена и описана человеческим языком. Она имеет духовную природу, ее нельзя понять интеллектуально. Но это лишь делает ее еще желаннее._x000D_
Как стать настоящей Женщиной, излучающей свет, доброту, мягкость? Как стать спокойной, мудрой и рассудительной? Как контролировать свое самочувствие и эмоции и всегда быть желанной? Ответы на эти вопросы вы найдете в этой книге, ведь она написана специально для того, чтобы войти в гармоничное и женственное единство с энергией наших чувств и переживаний и стать счастливой.</t>
        </is>
      </c>
      <c r="S4785" s="26">
        <f>HYPERLINK("http://www.cnpol.ru/covers/16694.jpg","фото на сайте")</f>
        <v/>
      </c>
    </row>
    <row r="4786" ht="50.1" customHeight="1" s="3">
      <c r="A4786" s="23" t="n"/>
      <c r="B4786" s="24" t="inlineStr">
        <is>
          <t>16698</t>
        </is>
      </c>
      <c r="C4786" s="23" t="inlineStr">
        <is>
          <t>ТРЕНИНГ</t>
        </is>
      </c>
      <c r="D4786" s="23" t="inlineStr">
        <is>
          <t>Свияш Ю.В.</t>
        </is>
      </c>
      <c r="E4786" s="23" t="inlineStr">
        <is>
          <t>Роковая дама с вуалью. С чего начинается женственность (вид 3)</t>
        </is>
      </c>
      <c r="F4786" s="23" t="n">
        <v>3</v>
      </c>
      <c r="G4786" s="23" t="n">
        <v>615</v>
      </c>
      <c r="H4786" s="23" t="n">
        <v>10</v>
      </c>
      <c r="I4786" s="23" t="n">
        <v>10</v>
      </c>
      <c r="J4786" s="23" t="inlineStr">
        <is>
          <t>978-5-227-06699-2</t>
        </is>
      </c>
      <c r="K4786" s="23" t="inlineStr">
        <is>
          <t>82x100 1/32</t>
        </is>
      </c>
      <c r="L4786" s="23" t="inlineStr">
        <is>
          <t>тв</t>
        </is>
      </c>
      <c r="M4786" s="23" t="n">
        <v>448</v>
      </c>
      <c r="N4786" s="23" t="n">
        <v>2016</v>
      </c>
      <c r="O4786" s="23" t="n">
        <v>388</v>
      </c>
      <c r="P4786" s="23" t="n"/>
      <c r="Q4786" s="23" t="n"/>
      <c r="R4786" s="25" t="n"/>
      <c r="S4786" s="26">
        <f>HYPERLINK("http://www.cnpol.ru/covers/16698.jpg","фото на сайте")</f>
        <v/>
      </c>
    </row>
    <row r="4787" ht="50.1" customHeight="1" s="3">
      <c r="A4787" s="23" t="n"/>
      <c r="B4787" s="24" t="inlineStr">
        <is>
          <t>16699</t>
        </is>
      </c>
      <c r="C4787" s="23" t="inlineStr">
        <is>
          <t>ТРЕНИНГ</t>
        </is>
      </c>
      <c r="D4787" s="23" t="inlineStr">
        <is>
          <t>Свияш Ю.В.</t>
        </is>
      </c>
      <c r="E4787" s="23" t="inlineStr">
        <is>
          <t>Романтическая девушка - Весна. С чего начинается Женственность (вид 4)</t>
        </is>
      </c>
      <c r="F4787" s="23" t="n">
        <v>4</v>
      </c>
      <c r="G4787" s="23" t="n">
        <v>615</v>
      </c>
      <c r="H4787" s="23" t="n">
        <v>10</v>
      </c>
      <c r="I4787" s="23" t="n">
        <v>10</v>
      </c>
      <c r="J4787" s="23" t="inlineStr">
        <is>
          <t>978-5-227-06700-5</t>
        </is>
      </c>
      <c r="K4787" s="23" t="inlineStr">
        <is>
          <t>82x100 1/32</t>
        </is>
      </c>
      <c r="L4787" s="23" t="inlineStr">
        <is>
          <t>тв</t>
        </is>
      </c>
      <c r="M4787" s="23" t="n">
        <v>448</v>
      </c>
      <c r="N4787" s="23" t="n">
        <v>2016</v>
      </c>
      <c r="O4787" s="23" t="n">
        <v>388</v>
      </c>
      <c r="P4787" s="23" t="n"/>
      <c r="Q4787" s="23" t="n"/>
      <c r="R4787" s="25" t="n"/>
      <c r="S4787" s="26">
        <f>HYPERLINK("http://www.cnpol.ru/covers/16699.jpg","фото на сайте")</f>
        <v/>
      </c>
    </row>
    <row r="4788" ht="50.1" customHeight="1" s="3">
      <c r="A4788" s="23" t="n"/>
      <c r="B4788" s="24" t="inlineStr">
        <is>
          <t>16680</t>
        </is>
      </c>
      <c r="C4788" s="23" t="inlineStr">
        <is>
          <t>ТРЕНИНГ</t>
        </is>
      </c>
      <c r="D4788" s="23" t="inlineStr">
        <is>
          <t>Свияш Ю.В.</t>
        </is>
      </c>
      <c r="E4788" s="23" t="inlineStr">
        <is>
          <t>Томная дама в шляпке с цветком. С чего начинается Женственность (вид1).</t>
        </is>
      </c>
      <c r="F4788" s="23" t="n">
        <v>1</v>
      </c>
      <c r="G4788" s="23" t="n">
        <v>615</v>
      </c>
      <c r="H4788" s="23" t="n">
        <v>10</v>
      </c>
      <c r="I4788" s="23" t="n">
        <v>10</v>
      </c>
      <c r="J4788" s="23" t="inlineStr">
        <is>
          <t>978-5-227-06697-8</t>
        </is>
      </c>
      <c r="K4788" s="23" t="inlineStr">
        <is>
          <t>82x100 1/32</t>
        </is>
      </c>
      <c r="L4788" s="23" t="inlineStr">
        <is>
          <t>тв</t>
        </is>
      </c>
      <c r="M4788" s="23" t="n">
        <v>446</v>
      </c>
      <c r="N4788" s="23" t="n">
        <v>2016</v>
      </c>
      <c r="O4788" s="23" t="n">
        <v>390</v>
      </c>
      <c r="P4788" s="23" t="n"/>
      <c r="Q4788" s="23" t="n"/>
      <c r="R4788" s="25" t="n"/>
      <c r="S4788" s="26">
        <f>HYPERLINK("http://www.cnpol.ru/covers/16680.jpg","фото на сайте")</f>
        <v/>
      </c>
    </row>
    <row r="4789" ht="50.1" customHeight="1" s="3">
      <c r="A4789" s="23" t="inlineStr">
        <is>
          <t>Н</t>
        </is>
      </c>
      <c r="B4789" s="24" t="inlineStr">
        <is>
          <t>21802</t>
        </is>
      </c>
      <c r="C4789" s="23" t="inlineStr">
        <is>
          <t>ТРОЦКИЙ НОВ</t>
        </is>
      </c>
      <c r="D4789" s="23" t="inlineStr">
        <is>
          <t>Дойчер И.</t>
        </is>
      </c>
      <c r="E4789" s="23" t="inlineStr">
        <is>
          <t>Троцкий. Безоружный пророк. 1921—1929 гг.</t>
        </is>
      </c>
      <c r="F4789" s="23" t="inlineStr">
        <is>
          <t>        </t>
        </is>
      </c>
      <c r="G4789" s="27" t="n">
        <v>1283</v>
      </c>
      <c r="H4789" s="23" t="n">
        <v>10</v>
      </c>
      <c r="I4789" s="23" t="n">
        <v>5</v>
      </c>
      <c r="J4789" s="23" t="inlineStr">
        <is>
          <t>978-5-9524-6506-0</t>
        </is>
      </c>
      <c r="K4789" s="23" t="inlineStr">
        <is>
          <t>84x108 1/32</t>
        </is>
      </c>
      <c r="L4789" s="23" t="inlineStr">
        <is>
          <t>тв</t>
        </is>
      </c>
      <c r="M4789" s="23" t="n">
        <v>495</v>
      </c>
      <c r="N4789" s="23" t="n">
        <v>2025</v>
      </c>
      <c r="O4789" s="23" t="inlineStr">
        <is>
          <t>     </t>
        </is>
      </c>
      <c r="P4789" s="23" t="n"/>
      <c r="Q4789" s="23" t="n"/>
      <c r="R4789" s="25" t="inlineStr">
        <is>
          <t>Исаак Дойчер, автор целого ряда исторических и социологических исследований, рассматривает жизнь Троцкого сквозь формулу слов Макиавелли о том, что «вооруженные пророки всегда побеждали, а безоружные гибли»._x000D_
Эта книга о времени, наступившем после завершения Гражданской войны, когда Троцкий, еще находясь на вершинах славы и власти, возглавил грандиозную внутрипартийную борьбу после смерти Ленина._x000D_
Главный противник Сталина, единственный кандидат на руководство большевиками, «преждевременный» проповедник индустриализации и плановой экономики, критик теории «социализма в одной отдельно взятой стране», защитник «пролетарской демократии» был изгнан из страны, в которой победил._x000D_
В талантливом изложении одного из лучших европейских исследователей вы познакомитесь с панорамой политических взглядов и личной жизнью выдающегося публициста и оратора, полмира воспламенившего своими идеями.</t>
        </is>
      </c>
      <c r="S4789" s="26">
        <f>HYPERLINK("http://www.cnpol.ru/covers/21802.jpg","фото на сайте")</f>
        <v/>
      </c>
    </row>
    <row r="4790" ht="50.1" customHeight="1" s="3">
      <c r="A4790" s="23" t="inlineStr">
        <is>
          <t>Н</t>
        </is>
      </c>
      <c r="B4790" s="24" t="inlineStr">
        <is>
          <t>21801</t>
        </is>
      </c>
      <c r="C4790" s="23" t="inlineStr">
        <is>
          <t>ТРОЦКИЙ НОВ</t>
        </is>
      </c>
      <c r="D4790" s="23" t="inlineStr">
        <is>
          <t>Дойчер И.</t>
        </is>
      </c>
      <c r="E4790" s="23" t="inlineStr">
        <is>
          <t>Троцкий. Вооруженный пророк. 1879—1921 гг.</t>
        </is>
      </c>
      <c r="F4790" s="23" t="inlineStr">
        <is>
          <t>        </t>
        </is>
      </c>
      <c r="G4790" s="27" t="n">
        <v>1283</v>
      </c>
      <c r="H4790" s="23" t="n">
        <v>10</v>
      </c>
      <c r="I4790" s="23" t="n">
        <v>5</v>
      </c>
      <c r="J4790" s="23" t="inlineStr">
        <is>
          <t>978-5-9524-6505-3</t>
        </is>
      </c>
      <c r="K4790" s="23" t="inlineStr">
        <is>
          <t>84x108 1/32</t>
        </is>
      </c>
      <c r="L4790" s="23" t="inlineStr">
        <is>
          <t>тв</t>
        </is>
      </c>
      <c r="M4790" s="23" t="n">
        <v>527</v>
      </c>
      <c r="N4790" s="23" t="n">
        <v>2025</v>
      </c>
      <c r="O4790" s="23" t="n">
        <v>555</v>
      </c>
      <c r="P4790" s="23" t="n"/>
      <c r="Q4790" s="23" t="n"/>
      <c r="R4790" s="25" t="inlineStr">
        <is>
          <t>Исаак Дойчер — известный историк, журналист и политолог, крупнейший специалист по проблемам Советского Союза и коммунистического движения, автор целого ряда исторических и социологических исследований. В своей книге автор рассказывает о самом важном периоде в жизни одного из признанных народом вождей революции Льва Троцкого. Дойчер лично знал и восхищался Троцким — мыслителем, пророком и мучеником, он ярко и рельефно представил панораму его идей в развитии. В талантливом изложении одного из лучших европейских исследователей вы узнаете о личной жизни выдающегося публициста и оратора, воспламенившего своими идеями полмира.</t>
        </is>
      </c>
      <c r="S4790" s="26">
        <f>HYPERLINK("http://www.cnpol.ru/covers/21801.jpg","фото на сайте")</f>
        <v/>
      </c>
    </row>
    <row r="4791" ht="50.1" customHeight="1" s="3">
      <c r="A4791" s="23" t="inlineStr">
        <is>
          <t>Н</t>
        </is>
      </c>
      <c r="B4791" s="24" t="inlineStr">
        <is>
          <t>21803</t>
        </is>
      </c>
      <c r="C4791" s="23" t="inlineStr">
        <is>
          <t>ТРОЦКИЙ НОВ</t>
        </is>
      </c>
      <c r="D4791" s="23" t="inlineStr">
        <is>
          <t>Дойчер И.</t>
        </is>
      </c>
      <c r="E4791" s="23" t="inlineStr">
        <is>
          <t>Троцкий. Изгнанный пророк. 1929—1940 гг.</t>
        </is>
      </c>
      <c r="F4791" s="23" t="inlineStr">
        <is>
          <t>        </t>
        </is>
      </c>
      <c r="G4791" s="27" t="n">
        <v>1283</v>
      </c>
      <c r="H4791" s="23" t="n">
        <v>10</v>
      </c>
      <c r="I4791" s="23" t="n">
        <v>5</v>
      </c>
      <c r="J4791" s="23" t="inlineStr">
        <is>
          <t>978-5-9524-6507-7</t>
        </is>
      </c>
      <c r="K4791" s="23" t="inlineStr">
        <is>
          <t>84x108 1/32</t>
        </is>
      </c>
      <c r="L4791" s="23" t="inlineStr">
        <is>
          <t>тв</t>
        </is>
      </c>
      <c r="M4791" s="23" t="n">
        <v>527</v>
      </c>
      <c r="N4791" s="23" t="n">
        <v>2025</v>
      </c>
      <c r="O4791" s="23" t="n">
        <v>547</v>
      </c>
      <c r="P4791" s="23" t="n"/>
      <c r="Q4791" s="23" t="n"/>
      <c r="R4791" s="25" t="inlineStr">
        <is>
          <t>Исаак Дойчер, автор целого ряда исторических и социологических исследований, рассматривает жизнь Троцкого сквозь формулу слов Макиавелли о том, что «вооруженные пророки всегда побеждали, а безоружные гибли». В этой книге Троцкий предстает единственным, кто открыто противостоял сталинизму, вплоть до своего трагического конца._x000D_
В талантливом изложении одного из лучших европейских исследователей вы познакомитесь с трогательной и странной историей семейных отношений выдающегося публициста и оратора.</t>
        </is>
      </c>
      <c r="S4791" s="26">
        <f>HYPERLINK("http://www.cnpol.ru/covers/21803.jpg","фото на сайте")</f>
        <v/>
      </c>
    </row>
    <row r="4792" ht="50.1" customHeight="1" s="3">
      <c r="A4792" s="23" t="inlineStr">
        <is>
          <t>Д</t>
        </is>
      </c>
      <c r="B4792" s="24" t="inlineStr">
        <is>
          <t>21737</t>
        </is>
      </c>
      <c r="C4792" s="23" t="inlineStr">
        <is>
          <t>ТСФ</t>
        </is>
      </c>
      <c r="D4792" s="23" t="inlineStr">
        <is>
          <t>Бадж У.</t>
        </is>
      </c>
      <c r="E4792" s="23" t="inlineStr">
        <is>
          <t>Боги египтян. Царство света, или Тайны загробного мира</t>
        </is>
      </c>
      <c r="F4792" s="23" t="inlineStr">
        <is>
          <t>        </t>
        </is>
      </c>
      <c r="G4792" s="27" t="n">
        <v>1326</v>
      </c>
      <c r="H4792" s="23" t="n">
        <v>10</v>
      </c>
      <c r="I4792" s="23" t="n">
        <v>5</v>
      </c>
      <c r="J4792" s="23" t="inlineStr">
        <is>
          <t>978-5-227-11093-0</t>
        </is>
      </c>
      <c r="K4792" s="23" t="inlineStr">
        <is>
          <t>84x108 1/32</t>
        </is>
      </c>
      <c r="L4792" s="23" t="inlineStr">
        <is>
          <t>тв</t>
        </is>
      </c>
      <c r="M4792" s="23" t="n">
        <v>575</v>
      </c>
      <c r="N4792" s="23" t="n">
        <v>2025</v>
      </c>
      <c r="O4792" s="23" t="n">
        <v>608</v>
      </c>
      <c r="P4792" s="23" t="n"/>
      <c r="Q4792" s="23" t="n"/>
      <c r="R4792" s="25" t="inlineStr">
        <is>
          <t>"Известный английский востоковед и археолог Уоллис Бадж всю свою жизнь посвятил изучению Древнего Египта и написал о нем свыше ста двадцати исследовательских работ. Его книга «Боги египтян» посвящена, быть может, самой интересной стороне культурной жизни обитателей долины Нила — религии и мифологии. Необыкновенно ярко и увлекательно пересказывая мифы, автор показывает многообразный мир богов и божеств, почитаемых древними египтянами, раскрывает особенности их представлений о загробном мире, описывает обряды и таинства, тщательно соблюдаемые этим на редкость богобоязненным народом. Особое внимание автор уделяет иероглифическому письму, сопровождая оригинальные тексты транслитерацией и переводом.
Книга снабжена иллюстрациями, взятыми из папирусов, древних книг и с поверхностей саркофагов."</t>
        </is>
      </c>
      <c r="S4792" s="26">
        <f>HYPERLINK("http://www.cnpol.ru/covers/21737.jpg","фото на сайте")</f>
        <v/>
      </c>
    </row>
    <row r="4793" ht="50.1" customHeight="1" s="3">
      <c r="A4793" s="23" t="inlineStr">
        <is>
          <t>Н</t>
        </is>
      </c>
      <c r="B4793" s="24" t="inlineStr">
        <is>
          <t>21140</t>
        </is>
      </c>
      <c r="C4793" s="23" t="inlineStr">
        <is>
          <t>ТСФ</t>
        </is>
      </c>
      <c r="D4793" s="23" t="inlineStr">
        <is>
          <t>Бадж У.</t>
        </is>
      </c>
      <c r="E4793" s="23" t="inlineStr">
        <is>
          <t>Древний Египет. Духи, идолы, боги</t>
        </is>
      </c>
      <c r="F4793" s="23" t="inlineStr">
        <is>
          <t>        </t>
        </is>
      </c>
      <c r="G4793" s="27" t="n">
        <v>1286</v>
      </c>
      <c r="H4793" s="23" t="n">
        <v>10</v>
      </c>
      <c r="I4793" s="23" t="n">
        <v>8</v>
      </c>
      <c r="J4793" s="23" t="inlineStr">
        <is>
          <t>978-5-227-10037-5</t>
        </is>
      </c>
      <c r="K4793" s="23" t="inlineStr">
        <is>
          <t>84x108 1/32</t>
        </is>
      </c>
      <c r="L4793" s="23" t="inlineStr">
        <is>
          <t>тв</t>
        </is>
      </c>
      <c r="M4793" s="23" t="n">
        <v>479</v>
      </c>
      <c r="N4793" s="23" t="n">
        <v>2024</v>
      </c>
      <c r="O4793" s="23" t="n">
        <v>507</v>
      </c>
      <c r="P4793" s="23" t="n"/>
      <c r="Q4793" s="23" t="n"/>
      <c r="R4793" s="25" t="inlineStr">
        <is>
          <t>Этот труд стал подлинным итогом всей деятельности знаменитого британского историка Уоллиса Баджа. _x000D_
В его первой части подробно рассматриваются, сравниваются и анализируются верования додинастического периода, а также культы, теологические системы и религии династического периода Древнего Египта. Во второй части книги представлены своды торжественных гимнов, ритуальных и этиологических мифов и легенды о богах.</t>
        </is>
      </c>
      <c r="S4793" s="26">
        <f>HYPERLINK("http://www.cnpol.ru/covers/21140.jpg","фото на сайте")</f>
        <v/>
      </c>
    </row>
    <row r="4794" ht="50.1" customHeight="1" s="3">
      <c r="A4794" s="23" t="inlineStr">
        <is>
          <t>Д</t>
        </is>
      </c>
      <c r="B4794" s="24" t="inlineStr">
        <is>
          <t>21477</t>
        </is>
      </c>
      <c r="C4794" s="23" t="inlineStr">
        <is>
          <t>ТСФ</t>
        </is>
      </c>
      <c r="D4794" s="23" t="inlineStr">
        <is>
          <t>Бадж У.</t>
        </is>
      </c>
      <c r="E4794" s="23" t="inlineStr">
        <is>
          <t>Египет времен Тутанхамона. История правления легендарного фараона</t>
        </is>
      </c>
      <c r="F4794" s="23" t="inlineStr">
        <is>
          <t>        </t>
        </is>
      </c>
      <c r="G4794" s="23" t="n">
        <v>728</v>
      </c>
      <c r="H4794" s="23" t="n">
        <v>10</v>
      </c>
      <c r="I4794" s="23" t="n">
        <v>10</v>
      </c>
      <c r="J4794" s="23" t="inlineStr">
        <is>
          <t>978-5-227-10950-7</t>
        </is>
      </c>
      <c r="K4794" s="23" t="inlineStr">
        <is>
          <t>84x108 1/32</t>
        </is>
      </c>
      <c r="L4794" s="23" t="inlineStr">
        <is>
          <t>тв</t>
        </is>
      </c>
      <c r="M4794" s="23" t="n">
        <v>156</v>
      </c>
      <c r="N4794" s="23" t="n">
        <v>2025</v>
      </c>
      <c r="O4794" s="23" t="n">
        <v>135</v>
      </c>
      <c r="P4794" s="23" t="n"/>
      <c r="Q4794" s="23" t="n"/>
      <c r="R4794" s="25" t="inlineStr">
        <is>
          <t>В книге обстоятельно изложены история открытия гробницы Тутанхамона, факты, касающиеся правления легендарного фараона, а также данные о древнеегипетском монотеизме, культах Амона и Атона._x000D_
Книга содержит примерно пятьдесят иллюстраций и иероглифических текстов самых важных гимнов Амону и Атону, что делает ее чрезвычайно привлекательной как для интересующихся историей Древнего Египта, так и для всех тех, кому небезразлична мировая культура.</t>
        </is>
      </c>
      <c r="S4794" s="26">
        <f>HYPERLINK("http://www.cnpol.ru/covers/21477.jpg","фото на сайте")</f>
        <v/>
      </c>
    </row>
    <row r="4795" ht="50.1" customHeight="1" s="3">
      <c r="A4795" s="23" t="n"/>
      <c r="B4795" s="24" t="inlineStr">
        <is>
          <t>20958</t>
        </is>
      </c>
      <c r="C4795" s="23" t="inlineStr">
        <is>
          <t>ТСФ</t>
        </is>
      </c>
      <c r="D4795" s="23" t="inlineStr">
        <is>
          <t>Бадж У.</t>
        </is>
      </c>
      <c r="E4795" s="23" t="inlineStr">
        <is>
          <t>Египет на заре цивилизации. Загадка происхождения древнего народа</t>
        </is>
      </c>
      <c r="F4795" s="23" t="inlineStr">
        <is>
          <t>        </t>
        </is>
      </c>
      <c r="G4795" s="23" t="n">
        <v>728</v>
      </c>
      <c r="H4795" s="23" t="n">
        <v>10</v>
      </c>
      <c r="I4795" s="23" t="n">
        <v>18</v>
      </c>
      <c r="J4795" s="23" t="inlineStr">
        <is>
          <t>978-5-227-10061-0</t>
        </is>
      </c>
      <c r="K4795" s="23" t="inlineStr">
        <is>
          <t>84x108 1/32</t>
        </is>
      </c>
      <c r="L4795" s="23" t="inlineStr">
        <is>
          <t>тв</t>
        </is>
      </c>
      <c r="M4795" s="23" t="n">
        <v>191</v>
      </c>
      <c r="N4795" s="23" t="n">
        <v>2024</v>
      </c>
      <c r="O4795" s="23" t="n">
        <v>256</v>
      </c>
      <c r="P4795" s="23" t="n"/>
      <c r="Q4795" s="23" t="n"/>
      <c r="R4795" s="25" t="inlineStr">
        <is>
          <t>Известный английский востоковед и археолог, сотрудник Британского музея в течение многих лет Уоллис Бадж всю свою жизнь посвятил изучению Древнего Египта, о чем свидетельствуют около ста тридцати написанных им исследовательских работ._x000D__x000D_
В этой книге Бадж прослеживает жизнь Египта начиная с периода позднего неолита и заканчивает временем правления первых трех царских династий. Значительную часть повествования автор посвящает результатам археологических раскопок, которые послужили источником новых сведений о ходе истории Египта и древности его цивилизации. Внимательно и скрупулезно автор анализирует культурные традиции египтян: религиозные верования, погребальные обряды, особенности письменности, изучает предметы обихода, одежду и оружие. Особую главу Бадж посвящает хронологии правления царских династий.</t>
        </is>
      </c>
      <c r="S4795" s="26">
        <f>HYPERLINK("http://www.cnpol.ru/covers/20958.jpg","фото на сайте")</f>
        <v/>
      </c>
    </row>
    <row r="4796" ht="50.1" customHeight="1" s="3">
      <c r="A4796" s="23" t="inlineStr">
        <is>
          <t>Д</t>
        </is>
      </c>
      <c r="B4796" s="24" t="inlineStr">
        <is>
          <t>22144</t>
        </is>
      </c>
      <c r="C4796" s="23" t="inlineStr">
        <is>
          <t>ТСФ</t>
        </is>
      </c>
      <c r="D4796" s="23" t="inlineStr">
        <is>
          <t>Бадж У.</t>
        </is>
      </c>
      <c r="E4796" s="23" t="inlineStr">
        <is>
          <t>Египет. Классический путеводитель</t>
        </is>
      </c>
      <c r="F4796" s="23" t="inlineStr">
        <is>
          <t>        </t>
        </is>
      </c>
      <c r="G4796" s="23" t="n">
        <v>821</v>
      </c>
      <c r="H4796" s="23" t="n">
        <v>10</v>
      </c>
      <c r="I4796" s="23" t="n">
        <v>10</v>
      </c>
      <c r="J4796" s="23" t="inlineStr">
        <is>
          <t>978-5-227-11251-4</t>
        </is>
      </c>
      <c r="K4796" s="23" t="inlineStr">
        <is>
          <t>84x108 1/32</t>
        </is>
      </c>
      <c r="L4796" s="23" t="inlineStr">
        <is>
          <t>тв</t>
        </is>
      </c>
      <c r="M4796" s="23" t="n">
        <v>287</v>
      </c>
      <c r="N4796" s="23" t="n">
        <v>2026</v>
      </c>
      <c r="O4796" s="23" t="n">
        <v>344</v>
      </c>
      <c r="P4796" s="23" t="n"/>
      <c r="Q4796" s="23" t="n"/>
      <c r="R4796" s="25" t="inlineStr">
        <is>
          <t>Известный египтолог Уоллис Бадж составил свой путеводитель для знаменитого туристического агентства «Томас Кук и сыновья».  Автор сосредоточился на памятниках архитектуры и истории, расположенных по обеим сторонам Нила, между Каиром и Вади-Хальфа. Краткий обзор египетской истории, включая великое прошлое Египта  4400—450 гг. до н.э, сопровождается яркими, живыми картинами жизни древних и современных автору египтян. Особое внимание Бадж посвятил египетскому иероглифическому письму и религиозным верованиям народа Египта. Глубокие знания ученого убеждают в достоверности сведений, оригинальный живой авторский взгляд сообщает особую прелесть описаниям памятников Александрии, Каира, Гелиополя, Суэцкого канала, пирамид Гизы и многих других достопримечательностей Египта.</t>
        </is>
      </c>
      <c r="S4796" s="26">
        <f>HYPERLINK("http://www.cnpol.ru/covers/22144.jpg","фото на сайте")</f>
        <v/>
      </c>
    </row>
    <row r="4797" ht="50.1" customHeight="1" s="3">
      <c r="A4797" s="23" t="inlineStr">
        <is>
          <t>Н</t>
        </is>
      </c>
      <c r="B4797" s="24" t="inlineStr">
        <is>
          <t>21298</t>
        </is>
      </c>
      <c r="C4797" s="23" t="inlineStr">
        <is>
          <t>ТСФ</t>
        </is>
      </c>
      <c r="D4797" s="23" t="inlineStr">
        <is>
          <t>Бадж У.</t>
        </is>
      </c>
      <c r="E4797" s="23" t="inlineStr">
        <is>
          <t>Жители долины Нила. Подробности культуры, верований и быта древних египтян</t>
        </is>
      </c>
      <c r="F4797" s="23" t="inlineStr">
        <is>
          <t>        </t>
        </is>
      </c>
      <c r="G4797" s="23" t="n">
        <v>821</v>
      </c>
      <c r="H4797" s="23" t="n">
        <v>10</v>
      </c>
      <c r="I4797" s="23" t="n">
        <v>14</v>
      </c>
      <c r="J4797" s="23" t="inlineStr">
        <is>
          <t>978-5-227-10036-8</t>
        </is>
      </c>
      <c r="K4797" s="23" t="inlineStr">
        <is>
          <t>84x108 1/32</t>
        </is>
      </c>
      <c r="L4797" s="23" t="inlineStr">
        <is>
          <t>тв</t>
        </is>
      </c>
      <c r="M4797" s="23" t="n">
        <v>256</v>
      </c>
      <c r="N4797" s="23" t="n">
        <v>2024</v>
      </c>
      <c r="O4797" s="23" t="n">
        <v>280</v>
      </c>
      <c r="P4797" s="23" t="n"/>
      <c r="Q4797" s="23" t="n"/>
      <c r="R4797" s="25" t="inlineStr">
        <is>
          <t>Первым централизованным государством в истории человечества, несомненно, был Египет, рожденный Нилом, с единой религией и культурой, с общими для всех жителей этическими ценностями и табу. В книге Уоллиса Баджа описана жизнь древнего египтянина от колыбели до могилы. Он повествует о становлении и развитии власти царей над объединенным Египтом, перечисляя имена, которые известны благодаря сохранившимся памятникам. Ученый создает панораму повседневной жизни различных слоев египетского общества: жрецов, придворных, полководцев и воинов, писцов, гончаров, музыкантов и крестьян. Приводит в доказательство своих воззрений мнения многих исследователей, излагает их теории, подкрепляя цитатами из папирусов и сведениями последних археологических находок. Особенно ярко Бадж рисует таинственный мир верований, ритуалов и церемоний древних египтян</t>
        </is>
      </c>
      <c r="S4797" s="26">
        <f>HYPERLINK("http://www.cnpol.ru/covers/21298.jpg","фото на сайте")</f>
        <v/>
      </c>
    </row>
    <row r="4798" ht="50.1" customHeight="1" s="3">
      <c r="A4798" s="23" t="inlineStr">
        <is>
          <t>Д</t>
        </is>
      </c>
      <c r="B4798" s="24" t="inlineStr">
        <is>
          <t>21681</t>
        </is>
      </c>
      <c r="C4798" s="23" t="inlineStr">
        <is>
          <t>ТСФ</t>
        </is>
      </c>
      <c r="D4798" s="23" t="inlineStr">
        <is>
          <t>Бадж У.</t>
        </is>
      </c>
      <c r="E4798" s="23" t="inlineStr">
        <is>
          <t>Магия Древнего Египта. Тайны Книги мертвых</t>
        </is>
      </c>
      <c r="F4798" s="23" t="inlineStr">
        <is>
          <t>        </t>
        </is>
      </c>
      <c r="G4798" s="23" t="n">
        <v>762</v>
      </c>
      <c r="H4798" s="23" t="n">
        <v>10</v>
      </c>
      <c r="I4798" s="23" t="n">
        <v>16</v>
      </c>
      <c r="J4798" s="23" t="inlineStr">
        <is>
          <t>978-5-227-11084-8</t>
        </is>
      </c>
      <c r="K4798" s="23" t="inlineStr">
        <is>
          <t>84x108 1/32</t>
        </is>
      </c>
      <c r="L4798" s="23" t="inlineStr">
        <is>
          <t>тв</t>
        </is>
      </c>
      <c r="M4798" s="23" t="n">
        <v>207</v>
      </c>
      <c r="N4798" s="23" t="n">
        <v>2025</v>
      </c>
      <c r="O4798" s="23" t="n">
        <v>273</v>
      </c>
      <c r="P4798" s="23" t="n"/>
      <c r="Q4798" s="23" t="n"/>
      <c r="R4798" s="25" t="inlineStr">
        <is>
          <t>Уоллис Бадж, хранитель отдела египетских древностей Британского музея, рассказывает о роли магии в египетской религии, о могущественных амулетах, отгоняющих злых духов, скарабеях бессмертия, магических рисунках и заклинаниях. Вы узнаете о тайне имени, ритуалах и проклятиях черной магии древней цивилизации Нила. В книге приводятся тексты магических заклинаний, цитаты из древних папирусов и надписей на стенах гробниц.</t>
        </is>
      </c>
      <c r="S4798" s="26">
        <f>HYPERLINK("http://www.cnpol.ru/covers/21681.jpg","фото на сайте")</f>
        <v/>
      </c>
    </row>
    <row r="4799" ht="50.1" customHeight="1" s="3">
      <c r="A4799" s="23" t="n"/>
      <c r="B4799" s="24" t="inlineStr">
        <is>
          <t>20794</t>
        </is>
      </c>
      <c r="C4799" s="23" t="inlineStr">
        <is>
          <t>ТСФ</t>
        </is>
      </c>
      <c r="D4799" s="23" t="inlineStr">
        <is>
          <t>Бадж У.</t>
        </is>
      </c>
      <c r="E4799" s="23" t="inlineStr">
        <is>
          <t>Царство мертвых. Обряды и культы древних египтян</t>
        </is>
      </c>
      <c r="F4799" s="23" t="inlineStr">
        <is>
          <t>        </t>
        </is>
      </c>
      <c r="G4799" s="23" t="n">
        <v>714</v>
      </c>
      <c r="H4799" s="23" t="n">
        <v>10</v>
      </c>
      <c r="I4799" s="23" t="n">
        <v>20</v>
      </c>
      <c r="J4799" s="23" t="inlineStr">
        <is>
          <t>978-5-227-10034-4</t>
        </is>
      </c>
      <c r="K4799" s="23" t="inlineStr">
        <is>
          <t>84x108 1/32</t>
        </is>
      </c>
      <c r="L4799" s="23" t="inlineStr">
        <is>
          <t>тв</t>
        </is>
      </c>
      <c r="M4799" s="23" t="n">
        <v>158</v>
      </c>
      <c r="N4799" s="23" t="n">
        <v>2023</v>
      </c>
      <c r="O4799" s="23" t="n">
        <v>235</v>
      </c>
      <c r="P4799" s="23" t="n"/>
      <c r="Q4799" s="23" t="n"/>
      <c r="R4799" s="25" t="inlineStr">
        <is>
          <t>Уоллис Бадж представляет величественную эпопею духовной эволюции древних египтян, в основе которой лежит неистребимая вера в вечную жизнь. Основываясь на религиозных текстах разных эпох, проводя сравнительный анализ гимнов и плачей, разбирая погребальные церемонии, поминальные обряды и таинства, автор раскрывает значение древних мифов о самопорожденном и самосущем Боге и его видимом воплощении — светозарном Ра. Рассказывает о культе Осириса, так много страдавшего после загробного суда и обещавшего бессмертие в преображенном теле каждому умершему праведнику.</t>
        </is>
      </c>
      <c r="S4799" s="26">
        <f>HYPERLINK("http://www.cnpol.ru/covers/20794.jpg","фото на сайте")</f>
        <v/>
      </c>
    </row>
    <row r="4800" ht="50.1" customHeight="1" s="3">
      <c r="A4800" s="23" t="n"/>
      <c r="B4800" s="24" t="inlineStr">
        <is>
          <t>11794</t>
        </is>
      </c>
      <c r="C4800" s="23" t="inlineStr">
        <is>
          <t>УВЛЕЧЕНИЯ</t>
        </is>
      </c>
      <c r="D4800" s="23" t="inlineStr">
        <is>
          <t>Исаева</t>
        </is>
      </c>
      <c r="E4800" s="23" t="inlineStr">
        <is>
          <t>30 способов завязывать галстук</t>
        </is>
      </c>
      <c r="F4800" s="23" t="inlineStr">
        <is>
          <t>        </t>
        </is>
      </c>
      <c r="G4800" s="23" t="n">
        <v>134</v>
      </c>
      <c r="H4800" s="23" t="n">
        <v>10</v>
      </c>
      <c r="I4800" s="23" t="n">
        <v>40</v>
      </c>
      <c r="J4800" s="23" t="inlineStr">
        <is>
          <t>978-5-9524-4771-4</t>
        </is>
      </c>
      <c r="K4800" s="23" t="inlineStr">
        <is>
          <t>70x100 1/32</t>
        </is>
      </c>
      <c r="L4800" s="23" t="inlineStr">
        <is>
          <t>мяг</t>
        </is>
      </c>
      <c r="M4800" s="23" t="n">
        <v>125</v>
      </c>
      <c r="N4800" s="23" t="n">
        <v>2010</v>
      </c>
      <c r="O4800" s="23" t="n">
        <v>62</v>
      </c>
      <c r="P4800" s="23" t="n"/>
      <c r="Q4800" s="23" t="n"/>
      <c r="R4800" s="25" t="n"/>
      <c r="S4800" s="26">
        <f>HYPERLINK("http://www.cnpol.ru/covers/11794.jpg","фото на сайте")</f>
        <v/>
      </c>
    </row>
    <row r="4801" ht="50.1" customHeight="1" s="3">
      <c r="A4801" s="23" t="n"/>
      <c r="B4801" s="24" t="inlineStr">
        <is>
          <t>7148</t>
        </is>
      </c>
      <c r="C4801" s="23" t="inlineStr">
        <is>
          <t>УВЛЕЧЕНИЯ</t>
        </is>
      </c>
      <c r="D4801" s="23" t="inlineStr">
        <is>
          <t>Группа</t>
        </is>
      </c>
      <c r="E4801" s="23" t="inlineStr">
        <is>
          <t>Справочник для начинающего автолюбителя</t>
        </is>
      </c>
      <c r="F4801" s="23" t="inlineStr">
        <is>
          <t>        </t>
        </is>
      </c>
      <c r="G4801" s="23" t="n">
        <v>948</v>
      </c>
      <c r="H4801" s="23" t="n">
        <v>10</v>
      </c>
      <c r="I4801" s="23" t="n">
        <v>8</v>
      </c>
      <c r="J4801" s="23" t="inlineStr">
        <is>
          <t>5-9524-2076-1</t>
        </is>
      </c>
      <c r="K4801" s="23" t="inlineStr">
        <is>
          <t>60x90 1/16</t>
        </is>
      </c>
      <c r="L4801" s="23" t="inlineStr">
        <is>
          <t>тв</t>
        </is>
      </c>
      <c r="M4801" s="23" t="n">
        <v>608</v>
      </c>
      <c r="N4801" s="23" t="n">
        <v>2007</v>
      </c>
      <c r="O4801" s="23" t="n">
        <v>706</v>
      </c>
      <c r="P4801" s="23" t="n"/>
      <c r="Q4801" s="23" t="n"/>
      <c r="R4801" s="25" t="n"/>
      <c r="S4801" s="26">
        <f>HYPERLINK("http://www.cnpol.ru/covers/7148.jpg","фото на сайте")</f>
        <v/>
      </c>
    </row>
    <row r="4802" ht="50.1" customHeight="1" s="3">
      <c r="A4802" s="23" t="inlineStr">
        <is>
          <t>Н</t>
        </is>
      </c>
      <c r="B4802" s="24" t="inlineStr">
        <is>
          <t>21726</t>
        </is>
      </c>
      <c r="C4802" s="23" t="inlineStr">
        <is>
          <t>УВЛЕЧЕНИЯ</t>
        </is>
      </c>
      <c r="D4802" s="23" t="inlineStr">
        <is>
          <t>Скарн Д</t>
        </is>
      </c>
      <c r="E4802" s="23" t="inlineStr">
        <is>
          <t>Фокусы. Трюки с картами и подручными предметами</t>
        </is>
      </c>
      <c r="F4802" s="23" t="inlineStr">
        <is>
          <t>        </t>
        </is>
      </c>
      <c r="G4802" s="27" t="n">
        <v>1368</v>
      </c>
      <c r="H4802" s="23" t="n">
        <v>10</v>
      </c>
      <c r="I4802" s="23" t="n">
        <v>5</v>
      </c>
      <c r="J4802" s="23" t="inlineStr">
        <is>
          <t>978-5-9524-6082-9</t>
        </is>
      </c>
      <c r="K4802" s="23" t="inlineStr">
        <is>
          <t>84x108 1/32</t>
        </is>
      </c>
      <c r="L4802" s="23" t="inlineStr">
        <is>
          <t>тв</t>
        </is>
      </c>
      <c r="M4802" s="23" t="n">
        <v>591</v>
      </c>
      <c r="N4802" s="23" t="n">
        <v>2025</v>
      </c>
      <c r="O4802" s="23" t="n">
        <v>441</v>
      </c>
      <c r="P4802" s="23" t="n"/>
      <c r="Q4802" s="23" t="n"/>
      <c r="R4802" s="25" t="inlineStr">
        <is>
          <t>Джон Скарн собрал воедино более трехсот удивительных фокусов с картами и подручными предметами, которые может продемонстрировать каждый из вас, даже не имея специальных навыков, подготовки или оборудования. Автор раскрывает секреты, маленькие хитрости и уловки, лежащие в основе множества фокусов. В своем описании Скарн предельно упростил и обработал сложные фокусы так, чтобы они были эффектны и просты в исполнении — на детском празднике, в компании друзей и даже на сцене.</t>
        </is>
      </c>
      <c r="S4802" s="26">
        <f>HYPERLINK("http://www.cnpol.ru/covers/21726.jpg","фото на сайте")</f>
        <v/>
      </c>
    </row>
    <row r="4803" ht="50.1" customHeight="1" s="3">
      <c r="A4803" s="23" t="n"/>
      <c r="B4803" s="24" t="inlineStr">
        <is>
          <t>16024</t>
        </is>
      </c>
      <c r="C4803" s="23" t="inlineStr">
        <is>
          <t>УКРАИНА</t>
        </is>
      </c>
      <c r="D4803" s="23" t="inlineStr">
        <is>
          <t>Северский В.</t>
        </is>
      </c>
      <c r="E4803" s="23" t="inlineStr">
        <is>
          <t>Донбасс в огне: хроники необъявленной войны. Апрель-сентябрь 2014</t>
        </is>
      </c>
      <c r="F4803" s="23" t="inlineStr">
        <is>
          <t>        </t>
        </is>
      </c>
      <c r="G4803" s="23" t="n">
        <v>554</v>
      </c>
      <c r="H4803" s="23" t="n">
        <v>10</v>
      </c>
      <c r="I4803" s="23" t="n">
        <v>14</v>
      </c>
      <c r="J4803" s="23" t="inlineStr">
        <is>
          <t>978-5-227-05970-3</t>
        </is>
      </c>
      <c r="K4803" s="23" t="inlineStr">
        <is>
          <t>84x108 1/32</t>
        </is>
      </c>
      <c r="L4803" s="23" t="inlineStr">
        <is>
          <t>тв</t>
        </is>
      </c>
      <c r="M4803" s="23" t="n">
        <v>255</v>
      </c>
      <c r="N4803" s="23" t="n">
        <v>2015</v>
      </c>
      <c r="O4803" s="23" t="n">
        <v>264</v>
      </c>
      <c r="P4803" s="23" t="n"/>
      <c r="Q4803" s="23" t="n"/>
      <c r="R4803" s="25" t="inlineStr">
        <is>
          <t>В ваших руках — одна из первых попыток осмыслить трагические события, на наших глазах разворачивающиеся в восточных областях Украины. За считаные месяцы спокойный трудолюбивый Донбасс превратился в арену жестоких сражений, ковровых бомбардировок, взаимного уничтожения двух непримиримых сторон. Донецк, Луганск, Мариуполь, Горловка, Славянск, Амвросиевка, Старобешево, Пески, Снежное, Лутугино, Углегорск, Дебальце­во… Никому прежде не известные донбасские города и села не сходят с экра­нов телевизоров и газетных полос. В центре кровавого хаоса, уже унесшего тысячи жизней, — несчастные жители региона, еще недавно и не подозревавшие, какая горькая доля ждет их родной дом. Автор книги — профессиональ­ный историк, житель Донбасса и свидетель событий — попы­тался восстановить их хронологию, дать, насколько это возможно, объективный анализ происходящему, не навешивая ярлыков и избегая многочисленных штампов из средств массовой информации. В работе рассмотрено состояние и развитие вооруженных сил противоборствующих сторон, их тактических приемов. Хронологически исследование намеренно завершено сентябрем 2014 г., когда с подписанием минских соглашений закончилась первая фаза противостояния. Остается надеяться, что скоро будет перевернута последняя страница этой необъявленной войны и ей будет дана всесторонняя и объективная оценка.</t>
        </is>
      </c>
      <c r="S4803" s="26">
        <f>HYPERLINK("http://www.cnpol.ru/covers/16024.jpg","фото на сайте")</f>
        <v/>
      </c>
    </row>
    <row r="4804" ht="50.1" customHeight="1" s="3">
      <c r="A4804" s="23" t="n"/>
      <c r="B4804" s="24" t="inlineStr">
        <is>
          <t>19413</t>
        </is>
      </c>
      <c r="C4804" s="23" t="inlineStr">
        <is>
          <t>УКРАИНА</t>
        </is>
      </c>
      <c r="D4804" s="23" t="inlineStr">
        <is>
          <t>Каревин А.С.</t>
        </is>
      </c>
      <c r="E4804" s="23" t="inlineStr">
        <is>
          <t>Загадки малорусской истории. От Богдана Хмельницкого до Петра Порошенко</t>
        </is>
      </c>
      <c r="F4804" s="23" t="inlineStr">
        <is>
          <t>        </t>
        </is>
      </c>
      <c r="G4804" s="23" t="n">
        <v>941</v>
      </c>
      <c r="H4804" s="23" t="n">
        <v>10</v>
      </c>
      <c r="I4804" s="23" t="n">
        <v>14</v>
      </c>
      <c r="J4804" s="23" t="inlineStr">
        <is>
          <t>978-5-227-07461-4</t>
        </is>
      </c>
      <c r="K4804" s="23" t="inlineStr">
        <is>
          <t>84x108 1/32</t>
        </is>
      </c>
      <c r="L4804" s="23" t="inlineStr">
        <is>
          <t>тв</t>
        </is>
      </c>
      <c r="M4804" s="23" t="n">
        <v>288</v>
      </c>
      <c r="N4804" s="23" t="n">
        <v>2020</v>
      </c>
      <c r="O4804" s="23" t="n">
        <v>342</v>
      </c>
      <c r="P4804" s="23" t="n"/>
      <c r="Q4804" s="23" t="n"/>
      <c r="R4804" s="25" t="inlineStr">
        <is>
          <t>Книга представляет собой сборник очерков о малоизвестных страницах истории Малороссии (Украины). Автор рассказывает о событиях далекого и совсем недавнего прошлого. Многие из них сегодня забыты, тщательно замалчиваются или намеренно освещаются в искаженном виде. Откуда произошли названия "Украина" и "украинцы", как возник украинский язык, являлась ли государственная независимость вековечной мечтой украинского народа, что представляют собой "Оранжевая революция" и "Революция достоинства"? Обо всем этом и о многом другом пойдет речь в новой работе известного историка Александра Каревина.</t>
        </is>
      </c>
      <c r="S4804" s="26">
        <f>HYPERLINK("http://www.cnpol.ru/covers/19413.jpg","фото на сайте")</f>
        <v/>
      </c>
    </row>
    <row r="4805" ht="50.1" customHeight="1" s="3">
      <c r="A4805" s="23" t="n"/>
      <c r="B4805" s="24" t="inlineStr">
        <is>
          <t>16415</t>
        </is>
      </c>
      <c r="C4805" s="23" t="inlineStr">
        <is>
          <t>УКРАИНА</t>
        </is>
      </c>
      <c r="D4805" s="23" t="inlineStr">
        <is>
          <t>Шапталов Б.Н</t>
        </is>
      </c>
      <c r="E4805" s="23" t="inlineStr">
        <is>
          <t>Изнанка российско-украинского конфликта</t>
        </is>
      </c>
      <c r="F4805" s="23" t="inlineStr">
        <is>
          <t>        </t>
        </is>
      </c>
      <c r="G4805" s="23" t="n">
        <v>534</v>
      </c>
      <c r="H4805" s="23" t="n">
        <v>10</v>
      </c>
      <c r="I4805" s="23" t="n">
        <v>16</v>
      </c>
      <c r="J4805" s="23" t="inlineStr">
        <is>
          <t>978-5-227-05773-0</t>
        </is>
      </c>
      <c r="K4805" s="23" t="inlineStr">
        <is>
          <t>84x108 1/32</t>
        </is>
      </c>
      <c r="L4805" s="23" t="inlineStr">
        <is>
          <t>тв</t>
        </is>
      </c>
      <c r="M4805" s="23" t="n">
        <v>352</v>
      </c>
      <c r="N4805" s="23" t="n">
        <v>2016</v>
      </c>
      <c r="O4805" s="23" t="n">
        <v>334</v>
      </c>
      <c r="P4805" s="23" t="n"/>
      <c r="Q4805" s="23" t="n"/>
      <c r="R4805" s="25" t="inlineStr">
        <is>
          <t>Цель данной книги — попытаться провести анализ украинско­российского конфликта. Это очень непростая задача из­за крайней противоречивости политики обоих государств. _x000D_
Российско­украинский конфликт — это новое явление хотя бы потому, что еще несколько лет назад невозможно было представить боевые действия между этими народами. И даже югославский опыт, казалось, был к нам неприменим. Поневоле возникает вопрос: а что еще невозможное может свершиться в недалеком будущем? А современное поколение уже дважды прошло через «невозможное». Сначала казалось, что невозможен был демонтаж верхами Советского Союза (на референдуме 1991 года за сохранение Союза высказалось 70 процентов принявших участие в голосовании — а что толку?), а теперь «невозможное» случилось между Украиной и Россией. Есть о чем задуматься. Вот только к каким выводам придем?</t>
        </is>
      </c>
      <c r="S4805" s="26">
        <f>HYPERLINK("http://www.cnpol.ru/covers/16415.jpg","фото на сайте")</f>
        <v/>
      </c>
    </row>
    <row r="4806" ht="50.1" customHeight="1" s="3">
      <c r="A4806" s="23" t="n"/>
      <c r="B4806" s="24" t="inlineStr">
        <is>
          <t>20408</t>
        </is>
      </c>
      <c r="C4806" s="23" t="inlineStr">
        <is>
          <t>УКРАИНА</t>
        </is>
      </c>
      <c r="D4806" s="23" t="inlineStr">
        <is>
          <t>Волконский А.М.</t>
        </is>
      </c>
      <c r="E4806" s="23" t="inlineStr">
        <is>
          <t>Историческая правда и украинофильская пропаганда</t>
        </is>
      </c>
      <c r="F4806" s="23" t="inlineStr">
        <is>
          <t>        </t>
        </is>
      </c>
      <c r="G4806" s="23" t="n">
        <v>714</v>
      </c>
      <c r="H4806" s="23" t="n">
        <v>10</v>
      </c>
      <c r="I4806" s="23" t="n">
        <v>22</v>
      </c>
      <c r="J4806" s="23" t="inlineStr">
        <is>
          <t>978-5-227-10154-9</t>
        </is>
      </c>
      <c r="K4806" s="23" t="inlineStr">
        <is>
          <t>84x108 1/32</t>
        </is>
      </c>
      <c r="L4806" s="23" t="inlineStr">
        <is>
          <t>тв</t>
        </is>
      </c>
      <c r="M4806" s="23" t="n">
        <v>159</v>
      </c>
      <c r="N4806" s="23" t="n">
        <v>2022</v>
      </c>
      <c r="O4806" s="23" t="n">
        <v>226</v>
      </c>
      <c r="P4806" s="23" t="n"/>
      <c r="Q4806" s="23" t="n"/>
      <c r="R4806" s="25" t="inlineStr">
        <is>
          <t>Внук декабриста С.Г. Волконского князь А.М. Волконский — русский военный дипломат, историк, публицист, автор работ, объясняющих причины и характер украинского национального движения, — в этой своей книге анализирует и развенчивает миф о существовании Украины с IX по XIII век. Кроме того, Волконский в общих чертах представляет фактический материал для освещения украинского вопроса в последующие века и предъявляет одну из главных целей, которые преследует европейский мир, — расчленение России. Автор дает безусловные доказательства того, что всегда в заявлениях украинофилов просматривается либо тенденция, либо явный обман. И констатирует: «Да иначе и быть не может: кривды прямым путем не защитишь».</t>
        </is>
      </c>
      <c r="S4806" s="26">
        <f>HYPERLINK("http://www.cnpol.ru/covers/20408.jpg","фото на сайте")</f>
        <v/>
      </c>
    </row>
    <row r="4807" ht="50.1" customHeight="1" s="3">
      <c r="A4807" s="23" t="n"/>
      <c r="B4807" s="24" t="inlineStr">
        <is>
          <t>16081</t>
        </is>
      </c>
      <c r="C4807" s="23" t="inlineStr">
        <is>
          <t>УКРАИНА</t>
        </is>
      </c>
      <c r="D4807" s="23" t="inlineStr">
        <is>
          <t>Каревин А.С.</t>
        </is>
      </c>
      <c r="E4807" s="23" t="inlineStr">
        <is>
          <t>Исторические шахматы Украины</t>
        </is>
      </c>
      <c r="F4807" s="23" t="inlineStr">
        <is>
          <t>        </t>
        </is>
      </c>
      <c r="G4807" s="23" t="n">
        <v>593</v>
      </c>
      <c r="H4807" s="23" t="n">
        <v>10</v>
      </c>
      <c r="I4807" s="23" t="n">
        <v>14</v>
      </c>
      <c r="J4807" s="23" t="inlineStr">
        <is>
          <t>978-5-227-06095-2</t>
        </is>
      </c>
      <c r="K4807" s="23" t="inlineStr">
        <is>
          <t>84x108 1/32</t>
        </is>
      </c>
      <c r="L4807" s="23" t="inlineStr">
        <is>
          <t>тв</t>
        </is>
      </c>
      <c r="M4807" s="23" t="n">
        <v>285</v>
      </c>
      <c r="N4807" s="23" t="n">
        <v>2015</v>
      </c>
      <c r="O4807" s="23" t="n">
        <v>258</v>
      </c>
      <c r="P4807" s="23" t="n"/>
      <c r="Q4807" s="23" t="n"/>
      <c r="R4807" s="25" t="inlineStr">
        <is>
          <t>Книга представляет собой галерею исторических портретов различных украинских (малорусских) деятелей, а также уроженцев Украины (Малороссии), прославившихся за ее пределами. Некоторые из этих фигур прошлого практически неизвестны широкой публике. Другие, наоборот, хорошо известны, однако показаны в книге с неожиданной стороны. Вопреки ставшему популярным в последнее время тезису о непригодности черно­белого измерения исторических персонажей автор показывает, что имеются в истории личности, всей своей жизнью окрасившие себя в однозначно черный или однозначно белый цвета. Хотя, конечно, бывают в исторических шахматах (в отличие от шахмат классических) и пестрые фигуры. Таковые тоже представлены в книге. Гетманы и религиозные фанатики, общественные и революционные деятели, украинские (малорусские) политики, ученые, литераторы… О них пойдет речь в книге.</t>
        </is>
      </c>
      <c r="S4807" s="26">
        <f>HYPERLINK("http://www.cnpol.ru/covers/16081.jpg","фото на сайте")</f>
        <v/>
      </c>
    </row>
    <row r="4808" ht="50.1" customHeight="1" s="3">
      <c r="A4808" s="23" t="inlineStr">
        <is>
          <t>Н</t>
        </is>
      </c>
      <c r="B4808" s="24" t="inlineStr">
        <is>
          <t>21343</t>
        </is>
      </c>
      <c r="C4808" s="23" t="inlineStr">
        <is>
          <t>УКРАИНА</t>
        </is>
      </c>
      <c r="D4808" s="23" t="inlineStr">
        <is>
          <t>Скоропадский П.П.</t>
        </is>
      </c>
      <c r="E4808" s="23" t="inlineStr">
        <is>
          <t>Короткий век Украинской Державы. 1917—1918. Воспоминания последнего в истории гетмана</t>
        </is>
      </c>
      <c r="F4808" s="23" t="inlineStr">
        <is>
          <t>        </t>
        </is>
      </c>
      <c r="G4808" s="27" t="n">
        <v>1184</v>
      </c>
      <c r="H4808" s="23" t="n">
        <v>10</v>
      </c>
      <c r="I4808" s="23" t="n">
        <v>10</v>
      </c>
      <c r="J4808" s="23" t="inlineStr">
        <is>
          <t>978-5-9524-6231-1</t>
        </is>
      </c>
      <c r="K4808" s="23" t="inlineStr">
        <is>
          <t>84x108 1/32</t>
        </is>
      </c>
      <c r="L4808" s="23" t="inlineStr">
        <is>
          <t>тв</t>
        </is>
      </c>
      <c r="M4808" s="23" t="n">
        <v>383</v>
      </c>
      <c r="N4808" s="23" t="n">
        <v>2024</v>
      </c>
      <c r="O4808" s="23" t="n">
        <v>438</v>
      </c>
      <c r="P4808" s="23" t="n"/>
      <c r="Q4808" s="23" t="n"/>
      <c r="R4808" s="25" t="inlineStr">
        <is>
          <t>Генерал-лейтенант Российской армии, герой Русско-японской и Первой мировой войн Павел Петрович Скоропадский во время Гражданской войны стал гетманом всея Украины. В воспоминаниях, охватывающих довольно небольшой промежуток времени, но вместивший в себя грандиозные исторические события, он подробно описывает свою деятельность в создавшейся политической обстановке в Малороссии: провозглашение независимой Украинской Державы, фактически ее оккупация немцами, постоянная борьба за власть в неустоявшемся государстве, стремление к реформам, но в итоге — бегство последнего гетмана из Киева в Германию.</t>
        </is>
      </c>
      <c r="S4808" s="26">
        <f>HYPERLINK("http://www.cnpol.ru/covers/21343.jpg","фото на сайте")</f>
        <v/>
      </c>
    </row>
    <row r="4809" ht="50.1" customHeight="1" s="3">
      <c r="A4809" s="23" t="n"/>
      <c r="B4809" s="24" t="inlineStr">
        <is>
          <t>16316</t>
        </is>
      </c>
      <c r="C4809" s="23" t="inlineStr">
        <is>
          <t>УКРАИНА</t>
        </is>
      </c>
      <c r="D4809" s="23" t="inlineStr">
        <is>
          <t>Саква Р.</t>
        </is>
      </c>
      <c r="E4809" s="23" t="inlineStr">
        <is>
          <t>Линия фронта - Украина. Кризис на приграничных территориях</t>
        </is>
      </c>
      <c r="F4809" s="23" t="inlineStr">
        <is>
          <t>        </t>
        </is>
      </c>
      <c r="G4809" s="23" t="n">
        <v>554</v>
      </c>
      <c r="H4809" s="23" t="n">
        <v>10</v>
      </c>
      <c r="I4809" s="23" t="n">
        <v>10</v>
      </c>
      <c r="J4809" s="23" t="inlineStr">
        <is>
          <t>978-5-227-06245-1</t>
        </is>
      </c>
      <c r="K4809" s="23" t="inlineStr">
        <is>
          <t>84x108 1/32</t>
        </is>
      </c>
      <c r="L4809" s="23" t="inlineStr">
        <is>
          <t>тв</t>
        </is>
      </c>
      <c r="M4809" s="23" t="n">
        <v>415</v>
      </c>
      <c r="N4809" s="23" t="n">
        <v>2015</v>
      </c>
      <c r="O4809" s="23" t="n">
        <v>338</v>
      </c>
      <c r="P4809" s="23" t="n"/>
      <c r="Q4809" s="23" t="n"/>
      <c r="R4809" s="25" t="inlineStr">
        <is>
          <t>Ричард Саква, известный британский политолог, профессор Кентского университета, член международного дискуссионного клуба «Валдай», рассматривает украинский кризис как «локальную европейскую проблему», которую возможно было, но не удалось избежать лидерам мировых держав. Теперь Западу придется признать ответственность за происходящее. В книге дан содержательный анализ явлений, приблизивших Европу к новой эре раздела и конфронтации, — во многом это результат глубоких противоречий в модели постсоветского развития, действовавшей после 1989 года, а также следствие непродуманных решений европейской бюрократии и позиции сложившихся элит.</t>
        </is>
      </c>
      <c r="S4809" s="26">
        <f>HYPERLINK("http://www.cnpol.ru/covers/16316.jpg","фото на сайте")</f>
        <v/>
      </c>
    </row>
    <row r="4810" ht="50.1" customHeight="1" s="3">
      <c r="A4810" s="23" t="n"/>
      <c r="B4810" s="24" t="inlineStr">
        <is>
          <t>20241</t>
        </is>
      </c>
      <c r="C4810" s="23" t="inlineStr">
        <is>
          <t>УКРАИНА</t>
        </is>
      </c>
      <c r="D4810" s="23" t="inlineStr">
        <is>
          <t>Федюшин О.С.</t>
        </is>
      </c>
      <c r="E4810" s="23" t="inlineStr">
        <is>
          <t>Несостоявшаяся Украинская Держава. План германского генерального штаба по аннексии юга России</t>
        </is>
      </c>
      <c r="F4810" s="23" t="inlineStr">
        <is>
          <t>        </t>
        </is>
      </c>
      <c r="G4810" s="23" t="n">
        <v>983</v>
      </c>
      <c r="H4810" s="23" t="n">
        <v>10</v>
      </c>
      <c r="I4810" s="23" t="n">
        <v>12</v>
      </c>
      <c r="J4810" s="23" t="inlineStr">
        <is>
          <t>978-5-9524-5788-1</t>
        </is>
      </c>
      <c r="K4810" s="23" t="inlineStr">
        <is>
          <t>84x108 1/32</t>
        </is>
      </c>
      <c r="L4810" s="23" t="inlineStr">
        <is>
          <t>тв</t>
        </is>
      </c>
      <c r="M4810" s="23" t="n">
        <v>336</v>
      </c>
      <c r="N4810" s="23" t="n">
        <v>2022</v>
      </c>
      <c r="O4810" s="23" t="n">
        <v>278</v>
      </c>
      <c r="P4810" s="23" t="n"/>
      <c r="Q4810" s="23" t="n"/>
      <c r="R4810" s="25" t="n"/>
      <c r="S4810" s="26">
        <f>HYPERLINK("http://www.cnpol.ru/covers/20241.jpg","фото на сайте")</f>
        <v/>
      </c>
    </row>
    <row r="4811" ht="50.1" customHeight="1" s="3">
      <c r="A4811" s="23" t="inlineStr">
        <is>
          <t>Д</t>
        </is>
      </c>
      <c r="B4811" s="24" t="inlineStr">
        <is>
          <t>21474</t>
        </is>
      </c>
      <c r="C4811" s="23" t="inlineStr">
        <is>
          <t>УКРАИНА</t>
        </is>
      </c>
      <c r="D4811" s="23" t="inlineStr">
        <is>
          <t>Ульянов Н.И.</t>
        </is>
      </c>
      <c r="E4811" s="23" t="inlineStr">
        <is>
          <t>Происхождение украинского сепаратизма</t>
        </is>
      </c>
      <c r="F4811" s="23" t="inlineStr">
        <is>
          <t>        </t>
        </is>
      </c>
      <c r="G4811" s="27" t="n">
        <v>1009</v>
      </c>
      <c r="H4811" s="23" t="n">
        <v>10</v>
      </c>
      <c r="I4811" s="23" t="n">
        <v>6</v>
      </c>
      <c r="J4811" s="23" t="inlineStr">
        <is>
          <t>978-5-227-10770-1</t>
        </is>
      </c>
      <c r="K4811" s="23" t="inlineStr">
        <is>
          <t>84x108 1/32</t>
        </is>
      </c>
      <c r="L4811" s="23" t="inlineStr">
        <is>
          <t>тв</t>
        </is>
      </c>
      <c r="M4811" s="23" t="n">
        <v>319</v>
      </c>
      <c r="N4811" s="23" t="n">
        <v>2025</v>
      </c>
      <c r="O4811" s="23" t="n">
        <v>260</v>
      </c>
      <c r="P4811" s="23" t="n"/>
      <c r="Q4811" s="23" t="n"/>
      <c r="R4811" s="25" t="inlineStr">
        <is>
          <t>Н. Ульянов рассматривает украинский сепаратизм как искусственный и надуманный. Казачество подсказало этому движению аргумент от истории, сочинив самостийническую схему украинского прошлого, построенного сплошь на лжи, подделках, на противоречиях с фактами и документами._x000D_
На основании данного представления автор утверждает, что, кроме этих сомнительных историографических построений, не существует других убедительных причин разделения между собой украинского и российского государств.</t>
        </is>
      </c>
      <c r="S4811" s="26">
        <f>HYPERLINK("http://www.cnpol.ru/covers/21474.jpg","фото на сайте")</f>
        <v/>
      </c>
    </row>
    <row r="4812" ht="50.1" customHeight="1" s="3">
      <c r="A4812" s="23" t="n"/>
      <c r="B4812" s="24" t="inlineStr">
        <is>
          <t>16478</t>
        </is>
      </c>
      <c r="C4812" s="23" t="inlineStr">
        <is>
          <t>УКРАИНА</t>
        </is>
      </c>
      <c r="D4812" s="23" t="inlineStr">
        <is>
          <t>Каревин А.С.</t>
        </is>
      </c>
      <c r="E4812" s="23" t="inlineStr">
        <is>
          <t>Сумерки невежества. Технология лжи, или 75 очерков о современной фальсификации истории на Украине</t>
        </is>
      </c>
      <c r="F4812" s="23" t="inlineStr">
        <is>
          <t>        </t>
        </is>
      </c>
      <c r="G4812" s="23" t="n">
        <v>554</v>
      </c>
      <c r="H4812" s="23" t="n">
        <v>10</v>
      </c>
      <c r="I4812" s="23" t="n">
        <v>10</v>
      </c>
      <c r="J4812" s="23" t="inlineStr">
        <is>
          <t>978-5-227-06377-9</t>
        </is>
      </c>
      <c r="K4812" s="23" t="inlineStr">
        <is>
          <t>84x108 1/32</t>
        </is>
      </c>
      <c r="L4812" s="23" t="inlineStr">
        <is>
          <t>тв</t>
        </is>
      </c>
      <c r="M4812" s="23" t="n">
        <v>416</v>
      </c>
      <c r="N4812" s="23" t="n">
        <v>2016</v>
      </c>
      <c r="O4812" s="23" t="n">
        <v>342</v>
      </c>
      <c r="P4812" s="23" t="n"/>
      <c r="Q4812" s="23" t="n"/>
      <c r="R4812" s="25" t="n"/>
      <c r="S4812" s="26">
        <f>HYPERLINK("http://www.cnpol.ru/covers/16478.jpg","фото на сайте")</f>
        <v/>
      </c>
    </row>
    <row r="4813" ht="50.1" customHeight="1" s="3">
      <c r="A4813" s="23" t="n"/>
      <c r="B4813" s="24" t="inlineStr">
        <is>
          <t>17031</t>
        </is>
      </c>
      <c r="C4813" s="23" t="inlineStr">
        <is>
          <t>УКРАИНА</t>
        </is>
      </c>
      <c r="D4813" s="23" t="inlineStr">
        <is>
          <t>Марголин А.Д.</t>
        </is>
      </c>
      <c r="E4813" s="23" t="inlineStr">
        <is>
          <t>Украина и политика Антанты. Записки еврея и гражданина</t>
        </is>
      </c>
      <c r="F4813" s="23" t="inlineStr">
        <is>
          <t>        </t>
        </is>
      </c>
      <c r="G4813" s="23" t="n">
        <v>534</v>
      </c>
      <c r="H4813" s="23" t="n">
        <v>10</v>
      </c>
      <c r="I4813" s="23" t="n">
        <v>10</v>
      </c>
      <c r="J4813" s="23" t="inlineStr">
        <is>
          <t>978-5-227-06596-4</t>
        </is>
      </c>
      <c r="K4813" s="23" t="inlineStr">
        <is>
          <t>84x108 1/32</t>
        </is>
      </c>
      <c r="L4813" s="23" t="inlineStr">
        <is>
          <t>тв</t>
        </is>
      </c>
      <c r="M4813" s="23" t="n">
        <v>320</v>
      </c>
      <c r="N4813" s="23" t="n">
        <v>2016</v>
      </c>
      <c r="O4813" s="23" t="n">
        <v>260</v>
      </c>
      <c r="P4813" s="23" t="n"/>
      <c r="Q4813" s="23" t="n"/>
      <c r="R4813" s="25" t="n"/>
      <c r="S4813" s="26">
        <f>HYPERLINK("http://www.cnpol.ru/covers/17031.jpg","фото на сайте")</f>
        <v/>
      </c>
    </row>
    <row r="4814" ht="50.1" customHeight="1" s="3">
      <c r="A4814" s="23" t="n"/>
      <c r="B4814" s="24" t="inlineStr">
        <is>
          <t>20300</t>
        </is>
      </c>
      <c r="C4814" s="23" t="inlineStr">
        <is>
          <t>УКРАИНА</t>
        </is>
      </c>
      <c r="D4814" s="23" t="inlineStr">
        <is>
          <t>Армстронг Джон</t>
        </is>
      </c>
      <c r="E4814" s="23" t="inlineStr">
        <is>
          <t>Украинский национализм. Факты и исследования</t>
        </is>
      </c>
      <c r="F4814" s="23" t="inlineStr">
        <is>
          <t>        </t>
        </is>
      </c>
      <c r="G4814" s="27" t="n">
        <v>1084</v>
      </c>
      <c r="H4814" s="23" t="n">
        <v>10</v>
      </c>
      <c r="I4814" s="23" t="n">
        <v>12</v>
      </c>
      <c r="J4814" s="23" t="inlineStr">
        <is>
          <t>978-5-9524-5816-1</t>
        </is>
      </c>
      <c r="K4814" s="23" t="inlineStr">
        <is>
          <t>84x108 1/32</t>
        </is>
      </c>
      <c r="L4814" s="23" t="inlineStr">
        <is>
          <t>тв</t>
        </is>
      </c>
      <c r="M4814" s="23" t="n">
        <v>368</v>
      </c>
      <c r="N4814" s="23" t="n">
        <v>2022</v>
      </c>
      <c r="O4814" s="23" t="n">
        <v>298</v>
      </c>
      <c r="P4814" s="23" t="n"/>
      <c r="Q4814" s="23" t="n"/>
      <c r="R4814" s="25" t="n"/>
      <c r="S4814" s="26">
        <f>HYPERLINK("http://www.cnpol.ru/covers/20300.jpg","фото на сайте")</f>
        <v/>
      </c>
    </row>
    <row r="4815" ht="50.1" customHeight="1" s="3">
      <c r="A4815" s="23" t="n"/>
      <c r="B4815" s="24" t="inlineStr">
        <is>
          <t>15867</t>
        </is>
      </c>
      <c r="C4815" s="23" t="inlineStr">
        <is>
          <t>УКРАИНА</t>
        </is>
      </c>
      <c r="D4815" s="23" t="inlineStr">
        <is>
          <t>Марчуков А.В.</t>
        </is>
      </c>
      <c r="E4815" s="23" t="inlineStr">
        <is>
          <t>Украинское национальное движение. УССР 1920-1930-е годов</t>
        </is>
      </c>
      <c r="F4815" s="23" t="inlineStr">
        <is>
          <t>        </t>
        </is>
      </c>
      <c r="G4815" s="27" t="n">
        <v>1036</v>
      </c>
      <c r="H4815" s="23" t="n">
        <v>10</v>
      </c>
      <c r="I4815" s="23" t="n">
        <v>10</v>
      </c>
      <c r="J4815" s="23" t="inlineStr">
        <is>
          <t>978-5-227-05824-9</t>
        </is>
      </c>
      <c r="K4815" s="23" t="inlineStr">
        <is>
          <t>60x90 1/16</t>
        </is>
      </c>
      <c r="L4815" s="23" t="inlineStr">
        <is>
          <t>тв</t>
        </is>
      </c>
      <c r="M4815" s="23" t="n">
        <v>593</v>
      </c>
      <c r="N4815" s="23" t="n">
        <v>2015</v>
      </c>
      <c r="O4815" s="23" t="n">
        <v>674</v>
      </c>
      <c r="P4815" s="23" t="n"/>
      <c r="Q4815" s="23" t="n"/>
      <c r="R4815" s="25" t="n"/>
      <c r="S4815" s="26">
        <f>HYPERLINK("http://www.cnpol.ru/covers/15867.jpg","фото на сайте")</f>
        <v/>
      </c>
    </row>
    <row r="4816" ht="50.1" customHeight="1" s="3">
      <c r="A4816" s="23" t="n"/>
      <c r="B4816" s="24" t="inlineStr">
        <is>
          <t>20299</t>
        </is>
      </c>
      <c r="C4816" s="23" t="inlineStr">
        <is>
          <t>УМНАЯ УСАДЬБА</t>
        </is>
      </c>
      <c r="D4816" s="23" t="inlineStr">
        <is>
          <t>Зорина А.И.</t>
        </is>
      </c>
      <c r="E4816" s="23" t="inlineStr">
        <is>
          <t>Безупречный газон своими руками. Виды газонов, подготовка почвы, удобрения, уход</t>
        </is>
      </c>
      <c r="F4816" s="23" t="inlineStr">
        <is>
          <t>        </t>
        </is>
      </c>
      <c r="G4816" s="23" t="n">
        <v>134</v>
      </c>
      <c r="H4816" s="23" t="n">
        <v>10</v>
      </c>
      <c r="I4816" s="23" t="n">
        <v>30</v>
      </c>
      <c r="J4816" s="23" t="inlineStr">
        <is>
          <t>978-5-227-09781-1</t>
        </is>
      </c>
      <c r="K4816" s="23" t="inlineStr">
        <is>
          <t>70x100 1/32</t>
        </is>
      </c>
      <c r="L4816" s="23" t="inlineStr">
        <is>
          <t>мяг</t>
        </is>
      </c>
      <c r="M4816" s="23" t="n">
        <v>127</v>
      </c>
      <c r="N4816" s="23" t="n">
        <v>2022</v>
      </c>
      <c r="O4816" s="23" t="n">
        <v>86</v>
      </c>
      <c r="P4816" s="23" t="n"/>
      <c r="Q4816" s="23" t="n"/>
      <c r="R4816" s="25" t="inlineStr">
        <is>
          <t>В этой книге Анна Зорина без утайки поделится секретами выращивания идеального газона, где бы вы ни решили его вырастить. Дачный участок или склон в городском парке, площадка у подъезда или футбольное поле, — газон можно посадить в самых разных местах. В городе он прекрасно увлажняет воздух, на даче приятно щекочет усталые от города ноги, на детской площадке смягчает падение, на откосах укрепляет почву, прекрасно осаждает пыль и выделяет кислород._x000D_
Искусственно выведенные сорта газонных трав способны переносить сложные климатические условия и устойчивы к бытовой химии. Попадая в траву, вредные вещества впитываются ею, где и нейтрализуются. Сложно оценить все плюсы ровной зелёной лужайки, которую можно быстро и недорого организовать на выбранной территории. Владелец участка подбирает или обустраивает газон не только по внешнему виду, но и по составу трав, с учётом условий эксплуатации — стандартный, спортивный, парковый, мавританский, универсальный… Узнайте все тонкости выращивания безупречного природного ковра и научитесь правилам ухода за ним.</t>
        </is>
      </c>
      <c r="S4816" s="26">
        <f>HYPERLINK("http://www.cnpol.ru/covers/20299.jpg","фото на сайте")</f>
        <v/>
      </c>
    </row>
    <row r="4817" ht="50.1" customHeight="1" s="3">
      <c r="A4817" s="23" t="n"/>
      <c r="B4817" s="24" t="inlineStr">
        <is>
          <t>19517</t>
        </is>
      </c>
      <c r="C4817" s="23" t="inlineStr">
        <is>
          <t>УМНАЯ УСАДЬБА</t>
        </is>
      </c>
      <c r="D4817" s="23" t="inlineStr">
        <is>
          <t>Зорина А.И.</t>
        </is>
      </c>
      <c r="E4817" s="23" t="inlineStr">
        <is>
          <t>Вёшенки. Сажаем, выращиваем, заготавливаем. Уникальные лечебные свойства и кулинарные рецепты</t>
        </is>
      </c>
      <c r="F4817" s="23" t="inlineStr">
        <is>
          <t>        </t>
        </is>
      </c>
      <c r="G4817" s="23" t="n">
        <v>134</v>
      </c>
      <c r="H4817" s="23" t="n">
        <v>10</v>
      </c>
      <c r="I4817" s="23" t="n">
        <v>40</v>
      </c>
      <c r="J4817" s="23" t="inlineStr">
        <is>
          <t>978-5-227-09366-0</t>
        </is>
      </c>
      <c r="K4817" s="23" t="inlineStr">
        <is>
          <t>70x100 1/32</t>
        </is>
      </c>
      <c r="L4817" s="23" t="inlineStr">
        <is>
          <t>мяг</t>
        </is>
      </c>
      <c r="M4817" s="23" t="n">
        <v>126</v>
      </c>
      <c r="N4817" s="23" t="n">
        <v>2021</v>
      </c>
      <c r="O4817" s="23" t="n">
        <v>60</v>
      </c>
      <c r="P4817" s="23" t="n"/>
      <c r="Q4817" s="23" t="n"/>
      <c r="R4817" s="25" t="inlineStr">
        <is>
          <t>Вёшенки широко применяют в кулинарии. Их жарят, отваривают, тушат, солят и маринуют. Эти грибы содержат минеральные соли, фосфор, железо, калий, кальций, цинк, марганец, медь, селен… Биотин обеспечивает хорошее состояние кожи, волос и ногтей, бодрит и улучшает настроение. Уникальные свойства вёшенок позволяют использовать их для регулирования уровня сахара и холестерина в крови, стимулирования процессов кроветворения и улучшения аппетита. Полезны вёшенки и для печени, они являются эффективным средством для предупреждения развития холецистита, гастрита, язвы желудка и двенадцатиперстной кишки. Также очень полезно употреблять вёшенки при гипертонии, тромбофлебите, сахарном диабете, опухолях, для профилактики сердечно­сосудистых заболеваний. Они восстанавливают микрофлору кишечника, обладают антиоксидантным и противоаллергическим действием, очень полезны при неврологических заболеваниях. Как вырастить и использовать это дарующее здоровье чудо природы, читайте в нашей книге.</t>
        </is>
      </c>
      <c r="S4817" s="26">
        <f>HYPERLINK("http://www.cnpol.ru/covers/19517.jpg","фото на сайте")</f>
        <v/>
      </c>
    </row>
    <row r="4818" ht="50.1" customHeight="1" s="3">
      <c r="A4818" s="23" t="n"/>
      <c r="B4818" s="24" t="inlineStr">
        <is>
          <t>16835</t>
        </is>
      </c>
      <c r="C4818" s="23" t="inlineStr">
        <is>
          <t>УМНАЯ УСАДЬБА</t>
        </is>
      </c>
      <c r="D4818" s="23" t="inlineStr">
        <is>
          <t>Зорина А.И.</t>
        </is>
      </c>
      <c r="E4818" s="23" t="inlineStr">
        <is>
          <t>Грибы. Собираем, выращиваем</t>
        </is>
      </c>
      <c r="F4818" s="23" t="inlineStr">
        <is>
          <t>        </t>
        </is>
      </c>
      <c r="G4818" s="23" t="n">
        <v>134</v>
      </c>
      <c r="H4818" s="23" t="n">
        <v>10</v>
      </c>
      <c r="I4818" s="23" t="n">
        <v>40</v>
      </c>
      <c r="J4818" s="23" t="inlineStr">
        <is>
          <t>978-5-227-06901-6</t>
        </is>
      </c>
      <c r="K4818" s="23" t="inlineStr">
        <is>
          <t>70x100 1/32</t>
        </is>
      </c>
      <c r="L4818" s="23" t="inlineStr">
        <is>
          <t>мяг</t>
        </is>
      </c>
      <c r="M4818" s="23" t="n">
        <v>128</v>
      </c>
      <c r="N4818" s="23" t="n">
        <v>2016</v>
      </c>
      <c r="O4818" s="23" t="n">
        <v>60</v>
      </c>
      <c r="P4818" s="23" t="n"/>
      <c r="Q4818" s="23" t="n"/>
      <c r="R4818" s="25" t="inlineStr">
        <is>
          <t>Анна Зорина — большой любитель «тихой охоты». В своей новой книге она рассказывает о грибах. Не растения и не животные, сытные, как мясо, и в то же время постные… Но самое главное — вкусные и полезные в любом виде: сыром, жареном, соленом, маринованном!_x000D_
Где искать и когда собирать, какие грибы хороши на тарелке, а какие опасны для здоровья и как сохранить «добычу» — обо всем этом вы узнаете из книги. А любителям экзотики, не желающим часами бродить по лесу, — рассказ о том, как вырастить грибы дома или на даче.</t>
        </is>
      </c>
      <c r="S4818" s="26">
        <f>HYPERLINK("http://www.cnpol.ru/covers/16835.jpg","фото на сайте")</f>
        <v/>
      </c>
    </row>
    <row r="4819" ht="50.1" customHeight="1" s="3">
      <c r="A4819" s="23" t="n"/>
      <c r="B4819" s="24" t="inlineStr">
        <is>
          <t>16787</t>
        </is>
      </c>
      <c r="C4819" s="23" t="inlineStr">
        <is>
          <t>УМНАЯ УСАДЬБА</t>
        </is>
      </c>
      <c r="D4819" s="23" t="inlineStr">
        <is>
          <t>Зорина А.И.</t>
        </is>
      </c>
      <c r="E4819" s="23" t="inlineStr">
        <is>
          <t>Декоративные кустарники</t>
        </is>
      </c>
      <c r="F4819" s="23" t="inlineStr">
        <is>
          <t>        </t>
        </is>
      </c>
      <c r="G4819" s="23" t="n">
        <v>134</v>
      </c>
      <c r="H4819" s="23" t="n">
        <v>10</v>
      </c>
      <c r="I4819" s="23" t="n">
        <v>20</v>
      </c>
      <c r="J4819" s="23" t="inlineStr">
        <is>
          <t>978-5-227-06892-7</t>
        </is>
      </c>
      <c r="K4819" s="23" t="inlineStr">
        <is>
          <t>70x100 1/32</t>
        </is>
      </c>
      <c r="L4819" s="23" t="inlineStr">
        <is>
          <t>мяг</t>
        </is>
      </c>
      <c r="M4819" s="23" t="n">
        <v>128</v>
      </c>
      <c r="N4819" s="23" t="n">
        <v>2016</v>
      </c>
      <c r="O4819" s="23" t="n">
        <v>60</v>
      </c>
      <c r="P4819" s="23" t="n"/>
      <c r="Q4819" s="23" t="n"/>
      <c r="R4819" s="25" t="inlineStr">
        <is>
          <t>Анна Зорина, садовод со стажем, рассказывает все о декоративных кустарниках, которые часто используются для ограждения и украшения участка. Одни из них выращивают ради красоты листьев и цветов и формы кроны. Другие помимо чисто эстетического удовольствия приносят еще и вкусные и полезные плоды — ягоды. Третьи способны защитить ваш участок симпатичной с виду, но непроходимой для непрошеных гостей, плотной, колючей изгородью… Все об особенностях ухода, посадки, о возможных заболеваниях и необходимой обрезке и стрижке вы найдете в этой книге. Приведенные в ней сведения и рекомендации помогут создать свой неповторимый уголок природы, который будет радовать вас долгие годы.</t>
        </is>
      </c>
      <c r="S4819" s="26">
        <f>HYPERLINK("http://www.cnpol.ru/covers/16787.jpg","фото на сайте")</f>
        <v/>
      </c>
    </row>
    <row r="4820" ht="50.1" customHeight="1" s="3">
      <c r="A4820" s="23" t="n"/>
      <c r="B4820" s="24" t="inlineStr">
        <is>
          <t>16785</t>
        </is>
      </c>
      <c r="C4820" s="23" t="inlineStr">
        <is>
          <t>УМНАЯ УСАДЬБА</t>
        </is>
      </c>
      <c r="D4820" s="23" t="inlineStr">
        <is>
          <t>Зорина А.И.</t>
        </is>
      </c>
      <c r="E4820" s="23" t="inlineStr">
        <is>
          <t>Декоративный сад своими руками</t>
        </is>
      </c>
      <c r="F4820" s="23" t="inlineStr">
        <is>
          <t>        </t>
        </is>
      </c>
      <c r="G4820" s="23" t="n">
        <v>134</v>
      </c>
      <c r="H4820" s="23" t="n">
        <v>10</v>
      </c>
      <c r="I4820" s="23" t="n">
        <v>20</v>
      </c>
      <c r="J4820" s="23" t="inlineStr">
        <is>
          <t>978-5-227-06888-0</t>
        </is>
      </c>
      <c r="K4820" s="23" t="inlineStr">
        <is>
          <t>70x100 1/32</t>
        </is>
      </c>
      <c r="L4820" s="23" t="inlineStr">
        <is>
          <t>мяг</t>
        </is>
      </c>
      <c r="M4820" s="23" t="n">
        <v>128</v>
      </c>
      <c r="N4820" s="23" t="n">
        <v>2016</v>
      </c>
      <c r="O4820" s="23" t="n">
        <v>60</v>
      </c>
      <c r="P4820" s="23" t="n"/>
      <c r="Q4820" s="23" t="n"/>
      <c r="R4820" s="25" t="inlineStr">
        <is>
          <t>Можно так оформить свой участок, что помимо скучных овощных грядок и трудолюбивых плодовых деревьев на нем найдет­ся место и декоративной растительности. Главное — так подобрать цветы и кустарники, чтобы цветение не прерывалось с весны до глубокой осени._x000D_
Автор поделится с вами секретами оформления декоративного сада и ухода за ним. Газоны и бордюры, клумбы, альпийские горки и одиноко стоящие роскошные декоративные деревья будут радовать ваш глаз с ранней весны и до поздней осени.</t>
        </is>
      </c>
      <c r="S4820" s="26">
        <f>HYPERLINK("http://www.cnpol.ru/covers/16785.jpg","фото на сайте")</f>
        <v/>
      </c>
    </row>
    <row r="4821" ht="50.1" customHeight="1" s="3">
      <c r="A4821" s="23" t="n"/>
      <c r="B4821" s="24" t="inlineStr">
        <is>
          <t>20374</t>
        </is>
      </c>
      <c r="C4821" s="23" t="inlineStr">
        <is>
          <t>УМНАЯ УСАДЬБА</t>
        </is>
      </c>
      <c r="D4821" s="23" t="inlineStr">
        <is>
          <t>Зорина А.И.</t>
        </is>
      </c>
      <c r="E4821" s="23" t="inlineStr">
        <is>
          <t>Домашние заготовки. Дешево, просто и вкусно</t>
        </is>
      </c>
      <c r="F4821" s="23" t="inlineStr">
        <is>
          <t>        </t>
        </is>
      </c>
      <c r="G4821" s="23" t="n">
        <v>134</v>
      </c>
      <c r="H4821" s="23" t="n">
        <v>10</v>
      </c>
      <c r="I4821" s="23" t="n">
        <v>30</v>
      </c>
      <c r="J4821" s="23" t="inlineStr">
        <is>
          <t>978-5-227-10048-1</t>
        </is>
      </c>
      <c r="K4821" s="23" t="inlineStr">
        <is>
          <t>70x100 1/32</t>
        </is>
      </c>
      <c r="L4821" s="23" t="inlineStr">
        <is>
          <t>мяг</t>
        </is>
      </c>
      <c r="M4821" s="23" t="n">
        <v>128</v>
      </c>
      <c r="N4821" s="23" t="n">
        <v>2022</v>
      </c>
      <c r="O4821" s="23" t="n">
        <v>60</v>
      </c>
      <c r="P4821" s="23" t="n"/>
      <c r="Q4821" s="23" t="n"/>
      <c r="R4821" s="25" t="n"/>
      <c r="S4821" s="26">
        <f>HYPERLINK("http://www.cnpol.ru/covers/20374.jpg","фото на сайте")</f>
        <v/>
      </c>
    </row>
    <row r="4822" ht="50.1" customHeight="1" s="3">
      <c r="A4822" s="23" t="n"/>
      <c r="B4822" s="24" t="inlineStr">
        <is>
          <t>16876</t>
        </is>
      </c>
      <c r="C4822" s="23" t="inlineStr">
        <is>
          <t>УМНАЯ УСАДЬБА</t>
        </is>
      </c>
      <c r="D4822" s="23" t="inlineStr">
        <is>
          <t>Зорин И.</t>
        </is>
      </c>
      <c r="E4822" s="23" t="inlineStr">
        <is>
          <t>Домашняя коптильня</t>
        </is>
      </c>
      <c r="F4822" s="23" t="inlineStr">
        <is>
          <t>        </t>
        </is>
      </c>
      <c r="G4822" s="23" t="n">
        <v>123</v>
      </c>
      <c r="H4822" s="23" t="n">
        <v>10</v>
      </c>
      <c r="I4822" s="23" t="n">
        <v>20</v>
      </c>
      <c r="J4822" s="23" t="inlineStr">
        <is>
          <t>978-5-227-06916-0</t>
        </is>
      </c>
      <c r="K4822" s="23" t="inlineStr">
        <is>
          <t>70x100 1/32</t>
        </is>
      </c>
      <c r="L4822" s="23" t="inlineStr">
        <is>
          <t>мяг</t>
        </is>
      </c>
      <c r="M4822" s="23" t="n">
        <v>128</v>
      </c>
      <c r="N4822" s="23" t="n">
        <v>2016</v>
      </c>
      <c r="O4822" s="23" t="n">
        <v>60</v>
      </c>
      <c r="P4822" s="23" t="n"/>
      <c r="Q4822" s="23" t="n"/>
      <c r="R4822" s="25" t="inlineStr">
        <is>
          <t>Иван Зорин откроет вам секреты домашнего копчения. Он расскажет, как из подручных материалов сделать элементарную, эффективную и недорогую коптильню. Самодельная коптильня, в отличие от покупной, дает возможность вносить в нее усовершенствования, что­то менять, экспериментировать. Коптить можно практически любой продукт. В книге содержится большое количество старинных и современных рецептов: тут и копченая говядина по­гамбургски, и копченое мясо с серебряной закваской, и копченая "матрешка". Кроме этого, вы узна­ете, как правильно подобрать дрова для копчения, как долго и при каких условиях хранить готовый продукт, чем вреден "жидкий дым" и многое другое.</t>
        </is>
      </c>
      <c r="S4822" s="26">
        <f>HYPERLINK("http://www.cnpol.ru/covers/16876.jpg","фото на сайте")</f>
        <v/>
      </c>
    </row>
    <row r="4823" ht="50.1" customHeight="1" s="3">
      <c r="A4823" s="23" t="n"/>
      <c r="B4823" s="24" t="inlineStr">
        <is>
          <t>16789</t>
        </is>
      </c>
      <c r="C4823" s="23" t="inlineStr">
        <is>
          <t>УМНАЯ УСАДЬБА</t>
        </is>
      </c>
      <c r="D4823" s="23" t="inlineStr">
        <is>
          <t>Зорина А.И.</t>
        </is>
      </c>
      <c r="E4823" s="23" t="inlineStr">
        <is>
          <t>Изгороди и заборы своими руками</t>
        </is>
      </c>
      <c r="F4823" s="23" t="inlineStr">
        <is>
          <t>        </t>
        </is>
      </c>
      <c r="G4823" s="23" t="n">
        <v>134</v>
      </c>
      <c r="H4823" s="23" t="n">
        <v>10</v>
      </c>
      <c r="I4823" s="23" t="n">
        <v>20</v>
      </c>
      <c r="J4823" s="23" t="inlineStr">
        <is>
          <t>978-5-227-06891-0</t>
        </is>
      </c>
      <c r="K4823" s="23" t="inlineStr">
        <is>
          <t>70x100 1/32</t>
        </is>
      </c>
      <c r="L4823" s="23" t="inlineStr">
        <is>
          <t>мяг</t>
        </is>
      </c>
      <c r="M4823" s="23" t="n">
        <v>128</v>
      </c>
      <c r="N4823" s="23" t="n">
        <v>2016</v>
      </c>
      <c r="O4823" s="23" t="n">
        <v>60</v>
      </c>
      <c r="P4823" s="23" t="n"/>
      <c r="Q4823" s="23" t="n"/>
      <c r="R4823" s="25" t="inlineStr">
        <is>
          <t>Следуя пошаговым рекомендациям, приведенным в этой книге, вы сможете в кратчайшие сроки построить на своем дачном или садовом участке надежное ограждение: будь то плетень, глухой деревянный забор, частокол, кованая ограда, стена из ивняка, изгородь из габионов, сетки, штакетника или жердей. А для ценителей красоты и комфорта предлагается множество вариантов живых изгородей: с живописными кронами, яркими соцветиями, привлекательными плодами или пестрой листвой.</t>
        </is>
      </c>
      <c r="S4823" s="26">
        <f>HYPERLINK("http://www.cnpol.ru/covers/16789.jpg","фото на сайте")</f>
        <v/>
      </c>
    </row>
    <row r="4824" ht="50.1" customHeight="1" s="3">
      <c r="A4824" s="23" t="n"/>
      <c r="B4824" s="24" t="inlineStr">
        <is>
          <t>16836</t>
        </is>
      </c>
      <c r="C4824" s="23" t="inlineStr">
        <is>
          <t>УМНАЯ УСАДЬБА</t>
        </is>
      </c>
      <c r="D4824" s="23" t="inlineStr">
        <is>
          <t>Зорина А.И.</t>
        </is>
      </c>
      <c r="E4824" s="23" t="inlineStr">
        <is>
          <t>Консервирование и заготовки</t>
        </is>
      </c>
      <c r="F4824" s="23" t="inlineStr">
        <is>
          <t>        </t>
        </is>
      </c>
      <c r="G4824" s="23" t="n">
        <v>134</v>
      </c>
      <c r="H4824" s="23" t="n">
        <v>10</v>
      </c>
      <c r="I4824" s="23" t="n">
        <v>40</v>
      </c>
      <c r="J4824" s="23" t="inlineStr">
        <is>
          <t>978-5-227-06902-3</t>
        </is>
      </c>
      <c r="K4824" s="23" t="inlineStr">
        <is>
          <t>70x100 1/32</t>
        </is>
      </c>
      <c r="L4824" s="23" t="inlineStr">
        <is>
          <t>мяг</t>
        </is>
      </c>
      <c r="M4824" s="23" t="n">
        <v>128</v>
      </c>
      <c r="N4824" s="23" t="n">
        <v>2016</v>
      </c>
      <c r="O4824" s="23" t="n">
        <v>60</v>
      </c>
      <c r="P4824" s="23" t="n"/>
      <c r="Q4824" s="23" t="n"/>
      <c r="R4824" s="25" t="inlineStr">
        <is>
          <t>Для того чтобы сохранить собранный урожай, придумали разные методы консервирования, соления горячим и холодным способом, маринования, сушки. Плюс засолка, квашение, замораживание и так далее…_x000D_
Как грамотно свершить все выше описанное и удивить гостей и близких разносолами, вареньями, джемами и другими домашними рукотворными вкусностями — рассказывает Анна Зорина.</t>
        </is>
      </c>
      <c r="S4824" s="26">
        <f>HYPERLINK("http://www.cnpol.ru/covers/16836.jpg","фото на сайте")</f>
        <v/>
      </c>
    </row>
    <row r="4825" ht="50.1" customHeight="1" s="3">
      <c r="A4825" s="23" t="n"/>
      <c r="B4825" s="24" t="inlineStr">
        <is>
          <t>17592</t>
        </is>
      </c>
      <c r="C4825" s="23" t="inlineStr">
        <is>
          <t>УМНАЯ УСАДЬБА</t>
        </is>
      </c>
      <c r="D4825" s="23" t="inlineStr">
        <is>
          <t>Зорина А.И.</t>
        </is>
      </c>
      <c r="E4825" s="23" t="inlineStr">
        <is>
          <t>Консервирование и заготовки</t>
        </is>
      </c>
      <c r="F4825" s="23" t="inlineStr">
        <is>
          <t>        </t>
        </is>
      </c>
      <c r="G4825" s="23" t="n">
        <v>134</v>
      </c>
      <c r="H4825" s="23" t="n">
        <v>10</v>
      </c>
      <c r="I4825" s="23" t="n">
        <v>20</v>
      </c>
      <c r="J4825" s="23" t="inlineStr">
        <is>
          <t>978-5-227-07558-1</t>
        </is>
      </c>
      <c r="K4825" s="23" t="inlineStr">
        <is>
          <t>70x100 1/32</t>
        </is>
      </c>
      <c r="L4825" s="23" t="inlineStr">
        <is>
          <t>мяг</t>
        </is>
      </c>
      <c r="M4825" s="23" t="n">
        <v>128</v>
      </c>
      <c r="N4825" s="23" t="n">
        <v>2017</v>
      </c>
      <c r="O4825" s="23" t="n">
        <v>60</v>
      </c>
      <c r="P4825" s="23" t="n"/>
      <c r="Q4825" s="23" t="n"/>
      <c r="R4825" s="25" t="inlineStr">
        <is>
          <t>Для того чтобы сохранить собранный урожай, придумали разные методы консервирования, соления горячим и холодным способом, маринования, сушки. Плюс засолка, квашение, замораживание и так далее…_x000D_
Как грамотно свершить все выше описанное и удивить гостей и близких разносолами, вареньями, джемами и другими домашними рукотворными вкусностями — рассказывает Анна Зорина.</t>
        </is>
      </c>
      <c r="S4825" s="26">
        <f>HYPERLINK("http://www.cnpol.ru/covers/17592.jpg","фото на сайте")</f>
        <v/>
      </c>
    </row>
    <row r="4826" ht="50.1" customHeight="1" s="3">
      <c r="A4826" s="23" t="n"/>
      <c r="B4826" s="24" t="inlineStr">
        <is>
          <t>17363</t>
        </is>
      </c>
      <c r="C4826" s="23" t="inlineStr">
        <is>
          <t>УМНАЯ УСАДЬБА</t>
        </is>
      </c>
      <c r="D4826" s="23" t="inlineStr">
        <is>
          <t>Зорина А.И.</t>
        </is>
      </c>
      <c r="E4826" s="23" t="inlineStr">
        <is>
          <t>Крепкая рассада для огорода. Гарантия высокого урожая</t>
        </is>
      </c>
      <c r="F4826" s="23" t="inlineStr">
        <is>
          <t>        </t>
        </is>
      </c>
      <c r="G4826" s="23" t="n">
        <v>134</v>
      </c>
      <c r="H4826" s="23" t="n">
        <v>10</v>
      </c>
      <c r="I4826" s="23" t="n">
        <v>28</v>
      </c>
      <c r="J4826" s="23" t="inlineStr">
        <is>
          <t>978-5-227-07405-8</t>
        </is>
      </c>
      <c r="K4826" s="23" t="inlineStr">
        <is>
          <t>70x100 1/32</t>
        </is>
      </c>
      <c r="L4826" s="23" t="inlineStr">
        <is>
          <t>мяг</t>
        </is>
      </c>
      <c r="M4826" s="23" t="n">
        <v>128</v>
      </c>
      <c r="N4826" s="23" t="n">
        <v>2017</v>
      </c>
      <c r="O4826" s="23" t="n">
        <v>60</v>
      </c>
      <c r="P4826" s="23" t="n"/>
      <c r="Q4826" s="23" t="n"/>
      <c r="R4826" s="25" t="inlineStr">
        <is>
          <t>Анна Зорина — садовод со стажем — поделится с вами секретами выращивания крепкой и здоровой рассады. Она расска­жет вам, как подобрать почву и подготовить семена, как закали­вать, пикировать и поливать. Вы узнаете, сколько лет сохраняют всхожесть семена различных растений, как их опудривать, дражировать, стратифицировать, прогревать и много другой информации, благодаря которой вы гарантированно получите ранний и высокий урожай!</t>
        </is>
      </c>
      <c r="S4826" s="26">
        <f>HYPERLINK("http://www.cnpol.ru/covers/17363.jpg","фото на сайте")</f>
        <v/>
      </c>
    </row>
    <row r="4827" ht="50.1" customHeight="1" s="3">
      <c r="A4827" s="23" t="n"/>
      <c r="B4827" s="24" t="inlineStr">
        <is>
          <t>17591</t>
        </is>
      </c>
      <c r="C4827" s="23" t="inlineStr">
        <is>
          <t>УМНАЯ УСАДЬБА</t>
        </is>
      </c>
      <c r="D4827" s="23" t="inlineStr">
        <is>
          <t>Зорина А.И.</t>
        </is>
      </c>
      <c r="E4827" s="23" t="inlineStr">
        <is>
          <t>Лучшие блюда из грибов</t>
        </is>
      </c>
      <c r="F4827" s="23" t="inlineStr">
        <is>
          <t>        </t>
        </is>
      </c>
      <c r="G4827" s="23" t="n">
        <v>134</v>
      </c>
      <c r="H4827" s="23" t="n">
        <v>10</v>
      </c>
      <c r="I4827" s="23" t="n">
        <v>20</v>
      </c>
      <c r="J4827" s="23" t="inlineStr">
        <is>
          <t>978-5-227-07548-2</t>
        </is>
      </c>
      <c r="K4827" s="23" t="inlineStr">
        <is>
          <t>70x100 1/32</t>
        </is>
      </c>
      <c r="L4827" s="23" t="inlineStr">
        <is>
          <t>мяг</t>
        </is>
      </c>
      <c r="M4827" s="23" t="n">
        <v>128</v>
      </c>
      <c r="N4827" s="23" t="n">
        <v>2017</v>
      </c>
      <c r="O4827" s="23" t="n">
        <v>60</v>
      </c>
      <c r="P4827" s="23" t="n"/>
      <c r="Q4827" s="23" t="n"/>
      <c r="R4827" s="25" t="inlineStr">
        <is>
          <t>Русские знают толк в грибах! Ни в одной другой стране мира нет столько любителей «тихой охоты», как в России, и соответственно рецептов по приготовлению и заготовке этих чудо-творений природы у нас тоже рекордное количество. Автор рада поделиться лучшими из них._x000D_
Грибы используют для приготовления первых блюд: очень вкусны щи, лапша и другие супы с грибами. Грибы прекрасно сочетаются с овощами, поэтому они хороши и во вторых блюдах. Самые популярные холодные грибные закуски — грибная икра, соленые грибы, бутерброды, паштеты, салаты. А уж хрустящий соленый груздь или верткий маринованный масленок под стопку… Слюнки текут!</t>
        </is>
      </c>
      <c r="S4827" s="26">
        <f>HYPERLINK("http://www.cnpol.ru/covers/17591.jpg","фото на сайте")</f>
        <v/>
      </c>
    </row>
    <row r="4828" ht="50.1" customHeight="1" s="3">
      <c r="A4828" s="23" t="n"/>
      <c r="B4828" s="24" t="inlineStr">
        <is>
          <t>16833</t>
        </is>
      </c>
      <c r="C4828" s="23" t="inlineStr">
        <is>
          <t>УМНАЯ УСАДЬБА</t>
        </is>
      </c>
      <c r="D4828" s="23" t="inlineStr">
        <is>
          <t>Зорина А.И.</t>
        </is>
      </c>
      <c r="E4828" s="23" t="inlineStr">
        <is>
          <t>Овощи и зелень</t>
        </is>
      </c>
      <c r="F4828" s="23" t="inlineStr">
        <is>
          <t>        </t>
        </is>
      </c>
      <c r="G4828" s="23" t="n">
        <v>123</v>
      </c>
      <c r="H4828" s="23" t="n">
        <v>10</v>
      </c>
      <c r="I4828" s="23" t="n">
        <v>20</v>
      </c>
      <c r="J4828" s="23" t="inlineStr">
        <is>
          <t>978-5-227-06906-1</t>
        </is>
      </c>
      <c r="K4828" s="23" t="inlineStr">
        <is>
          <t>70x100 1/32</t>
        </is>
      </c>
      <c r="L4828" s="23" t="inlineStr">
        <is>
          <t>мяг</t>
        </is>
      </c>
      <c r="M4828" s="23" t="n">
        <v>128</v>
      </c>
      <c r="N4828" s="23" t="n">
        <v>2016</v>
      </c>
      <c r="O4828" s="23" t="n">
        <v>60</v>
      </c>
      <c r="P4828" s="23" t="n"/>
      <c r="Q4828" s="23" t="n"/>
      <c r="R4828" s="25" t="n"/>
      <c r="S4828" s="26">
        <f>HYPERLINK("http://www.cnpol.ru/covers/16833.jpg","фото на сайте")</f>
        <v/>
      </c>
    </row>
    <row r="4829" ht="50.1" customHeight="1" s="3">
      <c r="A4829" s="23" t="n"/>
      <c r="B4829" s="24" t="inlineStr">
        <is>
          <t>19854</t>
        </is>
      </c>
      <c r="C4829" s="23" t="inlineStr">
        <is>
          <t>УМНАЯ УСАДЬБА</t>
        </is>
      </c>
      <c r="D4829" s="23" t="inlineStr">
        <is>
          <t>Зорина А.И.</t>
        </is>
      </c>
      <c r="E4829" s="23" t="inlineStr">
        <is>
          <t>Осенние работы в саду и огороде. Защита от болезней, посадки, удобрения, уборка, обрезка, подготовка</t>
        </is>
      </c>
      <c r="F4829" s="23" t="inlineStr">
        <is>
          <t>        </t>
        </is>
      </c>
      <c r="G4829" s="23" t="n">
        <v>134</v>
      </c>
      <c r="H4829" s="23" t="n">
        <v>10</v>
      </c>
      <c r="I4829" s="23" t="n">
        <v>30</v>
      </c>
      <c r="J4829" s="23" t="inlineStr">
        <is>
          <t>978-5-227-09711-8</t>
        </is>
      </c>
      <c r="K4829" s="23" t="inlineStr">
        <is>
          <t>70x100 1/32</t>
        </is>
      </c>
      <c r="L4829" s="23" t="inlineStr">
        <is>
          <t>мяг</t>
        </is>
      </c>
      <c r="M4829" s="23" t="n">
        <v>128</v>
      </c>
      <c r="N4829" s="23" t="n">
        <v>2021</v>
      </c>
      <c r="O4829" s="23" t="n">
        <v>86</v>
      </c>
      <c r="P4829" s="23" t="n"/>
      <c r="Q4829" s="23" t="n"/>
      <c r="R4829" s="25" t="n"/>
      <c r="S4829" s="26">
        <f>HYPERLINK("http://www.cnpol.ru/covers/19854.jpg","фото на сайте")</f>
        <v/>
      </c>
    </row>
    <row r="4830" ht="50.1" customHeight="1" s="3">
      <c r="A4830" s="23" t="n"/>
      <c r="B4830" s="24" t="inlineStr">
        <is>
          <t>16877</t>
        </is>
      </c>
      <c r="C4830" s="23" t="inlineStr">
        <is>
          <t>УМНАЯ УСАДЬБА</t>
        </is>
      </c>
      <c r="D4830" s="23" t="inlineStr">
        <is>
          <t>Зорин И.</t>
        </is>
      </c>
      <c r="E4830" s="23" t="inlineStr">
        <is>
          <t>Печи и камины своими руками</t>
        </is>
      </c>
      <c r="F4830" s="23" t="inlineStr">
        <is>
          <t>        </t>
        </is>
      </c>
      <c r="G4830" s="23" t="n">
        <v>123</v>
      </c>
      <c r="H4830" s="23" t="n">
        <v>10</v>
      </c>
      <c r="I4830" s="23" t="n">
        <v>20</v>
      </c>
      <c r="J4830" s="23" t="inlineStr">
        <is>
          <t>978-5-227-06917-7</t>
        </is>
      </c>
      <c r="K4830" s="23" t="inlineStr">
        <is>
          <t>70x100 1/32</t>
        </is>
      </c>
      <c r="L4830" s="23" t="inlineStr">
        <is>
          <t>мяг</t>
        </is>
      </c>
      <c r="M4830" s="23" t="n">
        <v>128</v>
      </c>
      <c r="N4830" s="23" t="n">
        <v>2016</v>
      </c>
      <c r="O4830" s="23" t="n">
        <v>60</v>
      </c>
      <c r="P4830" s="23" t="n"/>
      <c r="Q4830" s="23" t="n"/>
      <c r="R4830" s="25" t="n"/>
      <c r="S4830" s="26">
        <f>HYPERLINK("http://www.cnpol.ru/covers/16877.jpg","фото на сайте")</f>
        <v/>
      </c>
    </row>
    <row r="4831" ht="50.1" customHeight="1" s="3">
      <c r="A4831" s="23" t="n"/>
      <c r="B4831" s="24" t="inlineStr">
        <is>
          <t>20697</t>
        </is>
      </c>
      <c r="C4831" s="23" t="inlineStr">
        <is>
          <t>УМНАЯ УСАДЬБА</t>
        </is>
      </c>
      <c r="D4831" s="23" t="inlineStr">
        <is>
          <t>Зорина А.И.</t>
        </is>
      </c>
      <c r="E4831" s="23" t="inlineStr">
        <is>
          <t>Плодовый сад. Минимум знаний для максимального урожая…</t>
        </is>
      </c>
      <c r="F4831" s="23" t="inlineStr">
        <is>
          <t>        </t>
        </is>
      </c>
      <c r="G4831" s="23" t="n">
        <v>134</v>
      </c>
      <c r="H4831" s="23" t="n">
        <v>10</v>
      </c>
      <c r="I4831" s="23" t="n">
        <v>40</v>
      </c>
      <c r="J4831" s="23" t="inlineStr">
        <is>
          <t>978-5-227-09724-8</t>
        </is>
      </c>
      <c r="K4831" s="23" t="inlineStr">
        <is>
          <t>75x100 1/32</t>
        </is>
      </c>
      <c r="L4831" s="23" t="inlineStr">
        <is>
          <t>мяг</t>
        </is>
      </c>
      <c r="M4831" s="23" t="n">
        <v>127</v>
      </c>
      <c r="N4831" s="23" t="n">
        <v>2023</v>
      </c>
      <c r="O4831" s="23" t="n">
        <v>62</v>
      </c>
      <c r="P4831" s="23" t="n"/>
      <c r="Q4831" s="23" t="n"/>
      <c r="R4831" s="25" t="inlineStr">
        <is>
          <t>В этой книге опытный садовод и огородник Анна Зорина даст вам самый необходимый минимум знаний для того, чтобы при небольших трудозатратах вырастить максимальный урожай ягод и плодов. Вы узнаете, как повысить приживаемость саженцев, получите правила ухода за ними; как правильно выбрать место для посадки данного вида; кого выбрать в соседи для данного растения, чтобы всем было комфортно; как бороться с болезнями и паразитами; как подготовить грунт; сколько поливать, чем удобрять, и многое другое. Читайте книгу — и яблони и вишни, барбарис и сливы, малина и смородина, крыжовник и жимолость, ежевика и клубника, голубика и облепиха порадуют вас крепким здоровьем, быстрым ростом, обильным цветением и высоким урожаем.</t>
        </is>
      </c>
      <c r="S4831" s="26">
        <f>HYPERLINK("http://www.cnpol.ru/covers/20697.jpg","фото на сайте")</f>
        <v/>
      </c>
    </row>
    <row r="4832" ht="50.1" customHeight="1" s="3">
      <c r="A4832" s="23" t="n"/>
      <c r="B4832" s="24" t="inlineStr">
        <is>
          <t>16676</t>
        </is>
      </c>
      <c r="C4832" s="23" t="inlineStr">
        <is>
          <t>УМНАЯ УСАДЬБА</t>
        </is>
      </c>
      <c r="D4832" s="23" t="inlineStr">
        <is>
          <t>Зорина А.И.</t>
        </is>
      </c>
      <c r="E4832" s="23" t="inlineStr">
        <is>
          <t>Садово-огородные хитрости. Постройки и инвентарь</t>
        </is>
      </c>
      <c r="F4832" s="23" t="inlineStr">
        <is>
          <t>        </t>
        </is>
      </c>
      <c r="G4832" s="23" t="n">
        <v>134</v>
      </c>
      <c r="H4832" s="23" t="n">
        <v>10</v>
      </c>
      <c r="I4832" s="23" t="n">
        <v>20</v>
      </c>
      <c r="J4832" s="23" t="inlineStr">
        <is>
          <t>978-5-227-06667-1</t>
        </is>
      </c>
      <c r="K4832" s="23" t="inlineStr">
        <is>
          <t>70x100 1/32</t>
        </is>
      </c>
      <c r="L4832" s="23" t="inlineStr">
        <is>
          <t>мяг</t>
        </is>
      </c>
      <c r="M4832" s="23" t="n">
        <v>128</v>
      </c>
      <c r="N4832" s="23" t="n">
        <v>2016</v>
      </c>
      <c r="O4832" s="23" t="n">
        <v>60</v>
      </c>
      <c r="P4832" s="23" t="n"/>
      <c r="Q4832" s="23" t="n"/>
      <c r="R4832" s="25" t="n"/>
      <c r="S4832" s="26">
        <f>HYPERLINK("http://www.cnpol.ru/covers/16676.jpg","фото на сайте")</f>
        <v/>
      </c>
    </row>
    <row r="4833" ht="50.1" customHeight="1" s="3">
      <c r="A4833" s="23" t="n"/>
      <c r="B4833" s="24" t="inlineStr">
        <is>
          <t>16834</t>
        </is>
      </c>
      <c r="C4833" s="23" t="inlineStr">
        <is>
          <t>УМНАЯ УСАДЬБА</t>
        </is>
      </c>
      <c r="D4833" s="23" t="inlineStr">
        <is>
          <t>Зорина А.И.</t>
        </is>
      </c>
      <c r="E4833" s="23" t="inlineStr">
        <is>
          <t>Секреты домашних маринадов</t>
        </is>
      </c>
      <c r="F4833" s="23" t="inlineStr">
        <is>
          <t>        </t>
        </is>
      </c>
      <c r="G4833" s="23" t="n">
        <v>134</v>
      </c>
      <c r="H4833" s="23" t="n">
        <v>10</v>
      </c>
      <c r="I4833" s="23" t="n">
        <v>20</v>
      </c>
      <c r="J4833" s="23" t="inlineStr">
        <is>
          <t>978-5-227-06903-0</t>
        </is>
      </c>
      <c r="K4833" s="23" t="inlineStr">
        <is>
          <t>70x100 1/32</t>
        </is>
      </c>
      <c r="L4833" s="23" t="inlineStr">
        <is>
          <t>мяг</t>
        </is>
      </c>
      <c r="M4833" s="23" t="n">
        <v>128</v>
      </c>
      <c r="N4833" s="23" t="n">
        <v>2016</v>
      </c>
      <c r="O4833" s="23" t="n">
        <v>60</v>
      </c>
      <c r="P4833" s="23" t="n"/>
      <c r="Q4833" s="23" t="n"/>
      <c r="R4833" s="25" t="n"/>
      <c r="S4833" s="26">
        <f>HYPERLINK("http://www.cnpol.ru/covers/16834.jpg","фото на сайте")</f>
        <v/>
      </c>
    </row>
    <row r="4834" ht="50.1" customHeight="1" s="3">
      <c r="A4834" s="23" t="n"/>
      <c r="B4834" s="24" t="inlineStr">
        <is>
          <t>16832</t>
        </is>
      </c>
      <c r="C4834" s="23" t="inlineStr">
        <is>
          <t>УМНАЯ УСАДЬБА</t>
        </is>
      </c>
      <c r="D4834" s="23" t="inlineStr">
        <is>
          <t>Зорина А.И.</t>
        </is>
      </c>
      <c r="E4834" s="23" t="inlineStr">
        <is>
          <t>Строительство водоемов на участке</t>
        </is>
      </c>
      <c r="F4834" s="23" t="inlineStr">
        <is>
          <t>        </t>
        </is>
      </c>
      <c r="G4834" s="23" t="n">
        <v>134</v>
      </c>
      <c r="H4834" s="23" t="n">
        <v>10</v>
      </c>
      <c r="I4834" s="23" t="n">
        <v>20</v>
      </c>
      <c r="J4834" s="23" t="inlineStr">
        <is>
          <t>978-5-227-06905-4</t>
        </is>
      </c>
      <c r="K4834" s="23" t="inlineStr">
        <is>
          <t>70x100 1/32</t>
        </is>
      </c>
      <c r="L4834" s="23" t="inlineStr">
        <is>
          <t>мяг</t>
        </is>
      </c>
      <c r="M4834" s="23" t="n">
        <v>128</v>
      </c>
      <c r="N4834" s="23" t="n">
        <v>2016</v>
      </c>
      <c r="O4834" s="23" t="n">
        <v>60</v>
      </c>
      <c r="P4834" s="23" t="n"/>
      <c r="Q4834" s="23" t="n"/>
      <c r="R4834" s="25" t="n"/>
      <c r="S4834" s="26">
        <f>HYPERLINK("http://www.cnpol.ru/covers/16832.jpg","фото на сайте")</f>
        <v/>
      </c>
    </row>
    <row r="4835" ht="50.1" customHeight="1" s="3">
      <c r="A4835" s="23" t="n"/>
      <c r="B4835" s="24" t="inlineStr">
        <is>
          <t>19554</t>
        </is>
      </c>
      <c r="C4835" s="23" t="inlineStr">
        <is>
          <t>УМНАЯ УСАДЬБА</t>
        </is>
      </c>
      <c r="D4835" s="23" t="inlineStr">
        <is>
          <t>Зорина А.И.</t>
        </is>
      </c>
      <c r="E4835" s="23" t="inlineStr">
        <is>
          <t>Шампиньоны. Сажаем, выращиваем, заготавливаем. Уникальные лечебные свойства и кулинарные рецепты</t>
        </is>
      </c>
      <c r="F4835" s="23" t="inlineStr">
        <is>
          <t>        </t>
        </is>
      </c>
      <c r="G4835" s="23" t="n">
        <v>134</v>
      </c>
      <c r="H4835" s="23" t="n">
        <v>10</v>
      </c>
      <c r="I4835" s="23" t="n">
        <v>30</v>
      </c>
      <c r="J4835" s="23" t="inlineStr">
        <is>
          <t>978-5-227-09372-1</t>
        </is>
      </c>
      <c r="K4835" s="23" t="inlineStr">
        <is>
          <t>70x100 1/32</t>
        </is>
      </c>
      <c r="L4835" s="23" t="inlineStr">
        <is>
          <t>мяг</t>
        </is>
      </c>
      <c r="M4835" s="23" t="n">
        <v>126</v>
      </c>
      <c r="N4835" s="23" t="n">
        <v>2021</v>
      </c>
      <c r="O4835" s="23" t="n">
        <v>60</v>
      </c>
      <c r="P4835" s="23" t="n"/>
      <c r="Q4835" s="23" t="n"/>
      <c r="R4835" s="25" t="n"/>
      <c r="S4835" s="26">
        <f>HYPERLINK("http://www.cnpol.ru/covers/19554.jpg","фото на сайте")</f>
        <v/>
      </c>
    </row>
    <row r="4836" ht="50.1" customHeight="1" s="3">
      <c r="A4836" s="23" t="n"/>
      <c r="B4836" s="24" t="inlineStr">
        <is>
          <t>16875</t>
        </is>
      </c>
      <c r="C4836" s="23" t="inlineStr">
        <is>
          <t>УМНАЯ УСАДЬБА</t>
        </is>
      </c>
      <c r="D4836" s="23" t="inlineStr">
        <is>
          <t>Зорина А.И.</t>
        </is>
      </c>
      <c r="E4836" s="23" t="inlineStr">
        <is>
          <t>Ягоды и фрукты</t>
        </is>
      </c>
      <c r="F4836" s="23" t="inlineStr">
        <is>
          <t>        </t>
        </is>
      </c>
      <c r="G4836" s="23" t="n">
        <v>134</v>
      </c>
      <c r="H4836" s="23" t="n">
        <v>10</v>
      </c>
      <c r="I4836" s="23" t="n">
        <v>20</v>
      </c>
      <c r="J4836" s="23" t="inlineStr">
        <is>
          <t>978-5-227-06915-3</t>
        </is>
      </c>
      <c r="K4836" s="23" t="inlineStr">
        <is>
          <t>70x100 1/32</t>
        </is>
      </c>
      <c r="L4836" s="23" t="inlineStr">
        <is>
          <t>мяг</t>
        </is>
      </c>
      <c r="M4836" s="23" t="n">
        <v>128</v>
      </c>
      <c r="N4836" s="23" t="n">
        <v>2016</v>
      </c>
      <c r="O4836" s="23" t="n">
        <v>60</v>
      </c>
      <c r="P4836" s="23" t="n"/>
      <c r="Q4836" s="23" t="n"/>
      <c r="R4836" s="25" t="n"/>
      <c r="S4836" s="26">
        <f>HYPERLINK("http://www.cnpol.ru/covers/16875.jpg","фото на сайте")</f>
        <v/>
      </c>
    </row>
    <row r="4837" ht="50.1" customHeight="1" s="3">
      <c r="A4837" s="23" t="n"/>
      <c r="B4837" s="24" t="inlineStr">
        <is>
          <t>20488</t>
        </is>
      </c>
      <c r="C4837" s="23" t="inlineStr">
        <is>
          <t>УС МЕТ</t>
        </is>
      </c>
      <c r="D4837" s="23" t="inlineStr">
        <is>
          <t>Падус Э.</t>
        </is>
      </c>
      <c r="E4837" s="23" t="inlineStr">
        <is>
          <t>Исцеляющая сила мысли. Уникальные современные методики</t>
        </is>
      </c>
      <c r="F4837" s="23" t="inlineStr">
        <is>
          <t>        </t>
        </is>
      </c>
      <c r="G4837" s="23" t="n">
        <v>936</v>
      </c>
      <c r="H4837" s="23" t="n">
        <v>10</v>
      </c>
      <c r="I4837" s="23" t="n">
        <v>10</v>
      </c>
      <c r="J4837" s="23" t="inlineStr">
        <is>
          <t>978-5-227-10000-9</t>
        </is>
      </c>
      <c r="K4837" s="23" t="inlineStr">
        <is>
          <t>84x108 1/32</t>
        </is>
      </c>
      <c r="L4837" s="23" t="inlineStr">
        <is>
          <t>тв</t>
        </is>
      </c>
      <c r="M4837" s="23" t="n">
        <v>283</v>
      </c>
      <c r="N4837" s="23" t="n">
        <v>2023</v>
      </c>
      <c r="O4837" s="23" t="n">
        <v>180</v>
      </c>
      <c r="P4837" s="23" t="n"/>
      <c r="Q4837" s="23" t="n"/>
      <c r="R4837" s="25" t="inlineStr">
        <is>
          <t>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самоощущение._x000D_
В вашем распоряжении: рассказ о правильном питании для усиления работы мысли; осознанное использование релаксации; методика сохранения равновесия и уверенности в критических ситуациях; эффективное применение сильных сторон интеллекта…_x000D_
Ищите также другие книги автора: «Исцеляющая сила чувств» и «Исцеляющая сила эмоций». Уверяем вас, что после прочтения всей трилогии (каждая книга которой самостоятельна) ваша жизнь улучшится в три раза быстрее!</t>
        </is>
      </c>
      <c r="S4837" s="26">
        <f>HYPERLINK("http://www.cnpol.ru/covers/20488.jpg","фото на сайте")</f>
        <v/>
      </c>
    </row>
    <row r="4838" ht="50.1" customHeight="1" s="3">
      <c r="A4838" s="23" t="n"/>
      <c r="B4838" s="24" t="inlineStr">
        <is>
          <t>20489</t>
        </is>
      </c>
      <c r="C4838" s="23" t="inlineStr">
        <is>
          <t>УС МЕТ</t>
        </is>
      </c>
      <c r="D4838" s="23" t="inlineStr">
        <is>
          <t>Падус Э.</t>
        </is>
      </c>
      <c r="E4838" s="23" t="inlineStr">
        <is>
          <t>Исцеляющая сила чувств. Уникальные современные методики</t>
        </is>
      </c>
      <c r="F4838" s="23" t="inlineStr">
        <is>
          <t>        </t>
        </is>
      </c>
      <c r="G4838" s="23" t="n">
        <v>936</v>
      </c>
      <c r="H4838" s="23" t="n">
        <v>10</v>
      </c>
      <c r="I4838" s="23" t="n">
        <v>12</v>
      </c>
      <c r="J4838" s="23" t="inlineStr">
        <is>
          <t>978-5-227-09992-1</t>
        </is>
      </c>
      <c r="K4838" s="23" t="inlineStr">
        <is>
          <t>84x108 1/32</t>
        </is>
      </c>
      <c r="L4838" s="23" t="inlineStr">
        <is>
          <t>тв</t>
        </is>
      </c>
      <c r="M4838" s="23" t="n">
        <v>252</v>
      </c>
      <c r="N4838" s="23" t="n">
        <v>2023</v>
      </c>
      <c r="O4838" s="23" t="n">
        <v>275</v>
      </c>
      <c r="P4838" s="23" t="n"/>
      <c r="Q4838" s="23" t="n"/>
      <c r="R4838" s="25" t="inlineStr">
        <is>
          <t>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самоощущение._x000D_
В вашем распоряжении: телесно-душевные техники, ослабляющие боль; практическое руководство по исцелению; методики овладения позитивными чувствами; настрои для стимуляции иммунной системы…_x000D_
Ищите также другие книги автора: «Исцеляющая сила мыслей» и «Исцеляющая сила эмоций». Уверяем вас, что после прочтения всей трилогии (каждая книга которой самостоятельна) ваша жизнь улучшится в три раза быстрее!</t>
        </is>
      </c>
      <c r="S4838" s="26">
        <f>HYPERLINK("http://www.cnpol.ru/covers/20489.jpg","фото на сайте")</f>
        <v/>
      </c>
    </row>
    <row r="4839" ht="50.1" customHeight="1" s="3">
      <c r="A4839" s="23" t="n"/>
      <c r="B4839" s="24" t="inlineStr">
        <is>
          <t>20411</t>
        </is>
      </c>
      <c r="C4839" s="23" t="inlineStr">
        <is>
          <t>УС МЕТ</t>
        </is>
      </c>
      <c r="D4839" s="23" t="inlineStr">
        <is>
          <t>Падус Э.</t>
        </is>
      </c>
      <c r="E4839" s="23" t="inlineStr">
        <is>
          <t>Исцеляющая сила эмоций. Уникальные современные методики</t>
        </is>
      </c>
      <c r="F4839" s="23" t="inlineStr">
        <is>
          <t>        </t>
        </is>
      </c>
      <c r="G4839" s="27" t="n">
        <v>1004</v>
      </c>
      <c r="H4839" s="23" t="n">
        <v>10</v>
      </c>
      <c r="I4839" s="23" t="n">
        <v>14</v>
      </c>
      <c r="J4839" s="23" t="inlineStr">
        <is>
          <t>978-5-227-09996-9</t>
        </is>
      </c>
      <c r="K4839" s="23" t="inlineStr">
        <is>
          <t>84x108 1/32</t>
        </is>
      </c>
      <c r="L4839" s="23" t="inlineStr">
        <is>
          <t>тв</t>
        </is>
      </c>
      <c r="M4839" s="23" t="n">
        <v>315</v>
      </c>
      <c r="N4839" s="23" t="n">
        <v>2022</v>
      </c>
      <c r="O4839" s="23" t="n">
        <v>275</v>
      </c>
      <c r="P4839" s="23" t="n"/>
      <c r="Q4839" s="23" t="n"/>
      <c r="R4839" s="25" t="inlineStr">
        <is>
          <t>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самоощущение._x000D_
В вашем распоряжении: программа восстановления после профессионального выгорания; методика успешного снижения веса; упражнения для избавления от сильной тревоги; девятнадцать способов проснуться бодрым…_x000D_
Ищите также другие книги автора: «Исцеляющая сила чувств» и «Исцеляющая сила мысли». Уверяем вас, что после прочтения всей трилогии (каждая книга которой самостоятельна) ваша жизнь улучшится в три раза быстрее!</t>
        </is>
      </c>
      <c r="S4839" s="26">
        <f>HYPERLINK("http://www.cnpol.ru/covers/20411.jpg","фото на сайте")</f>
        <v/>
      </c>
    </row>
    <row r="4840" ht="50.1" customHeight="1" s="3">
      <c r="A4840" s="23" t="n"/>
      <c r="B4840" s="24" t="inlineStr">
        <is>
          <t>20975</t>
        </is>
      </c>
      <c r="C4840" s="23" t="inlineStr">
        <is>
          <t>УУС</t>
        </is>
      </c>
      <c r="D4840" s="23" t="inlineStr">
        <is>
          <t>Богданов А.В.</t>
        </is>
      </c>
      <c r="E4840" s="23" t="inlineStr">
        <is>
          <t>Немецкий язык. 30 уроков. От нуля до совершенства</t>
        </is>
      </c>
      <c r="F4840" s="23" t="inlineStr">
        <is>
          <t>        </t>
        </is>
      </c>
      <c r="G4840" s="23" t="n">
        <v>308</v>
      </c>
      <c r="H4840" s="23" t="n">
        <v>10</v>
      </c>
      <c r="I4840" s="23" t="n">
        <v>8</v>
      </c>
      <c r="J4840" s="23" t="inlineStr">
        <is>
          <t>978-5-227-10263-8</t>
        </is>
      </c>
      <c r="K4840" s="23" t="inlineStr">
        <is>
          <t>84x108 1/32 (обл)</t>
        </is>
      </c>
      <c r="L4840" s="23" t="inlineStr">
        <is>
          <t>мяг</t>
        </is>
      </c>
      <c r="M4840" s="23" t="n">
        <v>318</v>
      </c>
      <c r="N4840" s="23" t="n">
        <v>2024</v>
      </c>
      <c r="O4840" s="23" t="n">
        <v>186</v>
      </c>
      <c r="P4840" s="23" t="n"/>
      <c r="Q4840" s="23" t="n"/>
      <c r="R4840" s="25" t="inlineStr">
        <is>
          <t>А.В. Богданов, автор нескольких учебников и научных книг, в результате многолетней практики преподавания разработал безотказную систему обучения, успешно применяемую им с 1993 года. Следуя ей, вы сможете уверенно говорить на немецком языке всего лишь за 30 уроков.</t>
        </is>
      </c>
      <c r="S4840" s="26">
        <f>HYPERLINK("http://www.cnpol.ru/covers/20975.jpg","фото на сайте")</f>
        <v/>
      </c>
    </row>
    <row r="4841" ht="50.1" customHeight="1" s="3">
      <c r="A4841" s="23" t="n"/>
      <c r="B4841" s="24" t="inlineStr">
        <is>
          <t>5158</t>
        </is>
      </c>
      <c r="C4841" s="23" t="inlineStr">
        <is>
          <t>УУС</t>
        </is>
      </c>
      <c r="D4841" s="23" t="inlineStr">
        <is>
          <t>Опаленко</t>
        </is>
      </c>
      <c r="E4841" s="23" t="inlineStr">
        <is>
          <t>Читаем газеты по английски</t>
        </is>
      </c>
      <c r="F4841" s="23" t="inlineStr">
        <is>
          <t>        </t>
        </is>
      </c>
      <c r="G4841" s="23" t="n">
        <v>186</v>
      </c>
      <c r="H4841" s="23" t="n">
        <v>10</v>
      </c>
      <c r="I4841" s="23" t="n">
        <v>30</v>
      </c>
      <c r="J4841" s="23" t="inlineStr">
        <is>
          <t>5-9524-1192-4</t>
        </is>
      </c>
      <c r="K4841" s="23" t="inlineStr">
        <is>
          <t>84x108 1/32 (обл)</t>
        </is>
      </c>
      <c r="L4841" s="23" t="inlineStr">
        <is>
          <t>мяг</t>
        </is>
      </c>
      <c r="M4841" s="23" t="n">
        <v>138</v>
      </c>
      <c r="N4841" s="23" t="n">
        <v>2004</v>
      </c>
      <c r="O4841" s="23" t="n">
        <v>90</v>
      </c>
      <c r="P4841" s="23" t="n"/>
      <c r="Q4841" s="23" t="n"/>
      <c r="R4841" s="25" t="n"/>
      <c r="S4841" s="26">
        <f>HYPERLINK("http://www.cnpol.ru/covers/5158.jpg","фото на сайте")</f>
        <v/>
      </c>
    </row>
    <row r="4842" ht="50.1" customHeight="1" s="3">
      <c r="A4842" s="23" t="n"/>
      <c r="B4842" s="24" t="inlineStr">
        <is>
          <t>5079</t>
        </is>
      </c>
      <c r="C4842" s="23" t="inlineStr">
        <is>
          <t>УУС</t>
        </is>
      </c>
      <c r="D4842" s="23" t="inlineStr">
        <is>
          <t>Тушева</t>
        </is>
      </c>
      <c r="E4842" s="23" t="inlineStr">
        <is>
          <t>Школьникам о грамматике английского языка</t>
        </is>
      </c>
      <c r="F4842" s="23" t="inlineStr">
        <is>
          <t>        </t>
        </is>
      </c>
      <c r="G4842" s="23" t="n">
        <v>168</v>
      </c>
      <c r="H4842" s="23" t="n">
        <v>10</v>
      </c>
      <c r="I4842" s="23" t="n">
        <v>40</v>
      </c>
      <c r="J4842" s="23" t="inlineStr">
        <is>
          <t>5-9524-1175-4</t>
        </is>
      </c>
      <c r="K4842" s="23" t="inlineStr">
        <is>
          <t>84x108 1/32 (обл)</t>
        </is>
      </c>
      <c r="L4842" s="23" t="inlineStr">
        <is>
          <t>мяг</t>
        </is>
      </c>
      <c r="M4842" s="23" t="n">
        <v>144</v>
      </c>
      <c r="N4842" s="23" t="n">
        <v>2004</v>
      </c>
      <c r="O4842" s="23" t="n">
        <v>108</v>
      </c>
      <c r="P4842" s="23" t="n"/>
      <c r="Q4842" s="23" t="n"/>
      <c r="R4842" s="25" t="n"/>
      <c r="S4842" s="26">
        <f>HYPERLINK("http://www.cnpol.ru/covers/5079.jpg","фото на сайте")</f>
        <v/>
      </c>
    </row>
    <row r="4843" ht="50.1" customHeight="1" s="3">
      <c r="A4843" s="23" t="n"/>
      <c r="B4843" s="24" t="inlineStr">
        <is>
          <t>16728</t>
        </is>
      </c>
      <c r="C4843" s="23" t="inlineStr">
        <is>
          <t>УЧАСТОК У ДАЧИ</t>
        </is>
      </c>
      <c r="D4843" s="23" t="inlineStr">
        <is>
          <t>Зорина А.И.</t>
        </is>
      </c>
      <c r="E4843" s="23" t="inlineStr">
        <is>
          <t>Календарь садовода и огородника</t>
        </is>
      </c>
      <c r="F4843" s="23" t="inlineStr">
        <is>
          <t>        </t>
        </is>
      </c>
      <c r="G4843" s="23" t="n">
        <v>358</v>
      </c>
      <c r="H4843" s="23" t="n">
        <v>10</v>
      </c>
      <c r="I4843" s="23" t="n">
        <v>20</v>
      </c>
      <c r="J4843" s="23" t="inlineStr">
        <is>
          <t>978-5-227-06694-7</t>
        </is>
      </c>
      <c r="K4843" s="23" t="inlineStr">
        <is>
          <t>84x108 1/32</t>
        </is>
      </c>
      <c r="L4843" s="23" t="inlineStr">
        <is>
          <t>тв</t>
        </is>
      </c>
      <c r="M4843" s="23" t="n">
        <v>256</v>
      </c>
      <c r="N4843" s="23" t="n">
        <v>2016</v>
      </c>
      <c r="O4843" s="23" t="n">
        <v>240</v>
      </c>
      <c r="P4843" s="23" t="n"/>
      <c r="Q4843" s="23" t="n"/>
      <c r="R4843" s="25" t="inlineStr">
        <is>
          <t>В книге даны рекомендации по сезонным работам на земле на каждый месяц года, ведь земельные работы не прекращаются даже зимой!_x000D_
Вооруженный знаниями, данными в этой книге, начинающий огородник научится грамотно, а главное — своевременно:_x000D_
Сеять и жать, рыхлить и поливать, удобрять и укрывать._x000D_
Как сохранить урожай, как выиграть войну с вредителями и болезнями, не применяя химии… _x000D_
Химикаты , конечно убивают вредных насекомых и возбудителей болезни, но их использование ведёт к к снижению качества фруктов и овощей и к отравлению окружающей среды…_x000D_
Поэтому лучше применять описанные в книге агротехнические, физико- механические, биологические методы, а также экологические средства, рецепты которых даны в этой книге.</t>
        </is>
      </c>
      <c r="S4843" s="26">
        <f>HYPERLINK("http://www.cnpol.ru/covers/16728.jpg","фото на сайте")</f>
        <v/>
      </c>
    </row>
    <row r="4844" ht="50.1" customHeight="1" s="3">
      <c r="A4844" s="23" t="n"/>
      <c r="B4844" s="24" t="inlineStr">
        <is>
          <t>16727</t>
        </is>
      </c>
      <c r="C4844" s="23" t="inlineStr">
        <is>
          <t>УЧАСТОК У ДАЧИ</t>
        </is>
      </c>
      <c r="D4844" s="23" t="inlineStr">
        <is>
          <t>Зорина А.И.</t>
        </is>
      </c>
      <c r="E4844" s="23" t="inlineStr">
        <is>
          <t>Сад и огород без затрат и хлопот</t>
        </is>
      </c>
      <c r="F4844" s="23" t="inlineStr">
        <is>
          <t>        </t>
        </is>
      </c>
      <c r="G4844" s="23" t="n">
        <v>358</v>
      </c>
      <c r="H4844" s="23" t="n">
        <v>10</v>
      </c>
      <c r="I4844" s="23" t="n">
        <v>20</v>
      </c>
      <c r="J4844" s="23" t="inlineStr">
        <is>
          <t>978-5-227-06693-0</t>
        </is>
      </c>
      <c r="K4844" s="23" t="inlineStr">
        <is>
          <t>84x108 1/32</t>
        </is>
      </c>
      <c r="L4844" s="23" t="inlineStr">
        <is>
          <t>тв</t>
        </is>
      </c>
      <c r="M4844" s="23" t="n">
        <v>256</v>
      </c>
      <c r="N4844" s="23" t="n">
        <v>2016</v>
      </c>
      <c r="O4844" s="23" t="n">
        <v>240</v>
      </c>
      <c r="P4844" s="23" t="n"/>
      <c r="Q4844" s="23" t="n"/>
      <c r="R4844" s="25" t="n"/>
      <c r="S4844" s="26">
        <f>HYPERLINK("http://www.cnpol.ru/covers/16727.jpg","фото на сайте")</f>
        <v/>
      </c>
    </row>
    <row r="4845" ht="50.1" customHeight="1" s="3">
      <c r="A4845" s="23" t="n"/>
      <c r="B4845" s="24" t="inlineStr">
        <is>
          <t>14817</t>
        </is>
      </c>
      <c r="C4845" s="23" t="inlineStr">
        <is>
          <t>ХВ</t>
        </is>
      </c>
      <c r="D4845" s="23" t="inlineStr">
        <is>
          <t>Тернер Д.</t>
        </is>
      </c>
      <c r="E4845" s="23" t="inlineStr">
        <is>
          <t>Сталинград. День за днем Величайшая победа над смертью</t>
        </is>
      </c>
      <c r="F4845" s="23" t="inlineStr">
        <is>
          <t>        </t>
        </is>
      </c>
      <c r="G4845" s="23" t="n">
        <v>682</v>
      </c>
      <c r="H4845" s="23" t="n">
        <v>10</v>
      </c>
      <c r="I4845" s="23" t="n">
        <v>10</v>
      </c>
      <c r="J4845" s="23" t="inlineStr">
        <is>
          <t>978-5-227-04748-9</t>
        </is>
      </c>
      <c r="K4845" s="23" t="inlineStr">
        <is>
          <t>84x108 1/16</t>
        </is>
      </c>
      <c r="L4845" s="23" t="inlineStr">
        <is>
          <t>тв</t>
        </is>
      </c>
      <c r="M4845" s="23" t="n">
        <v>192</v>
      </c>
      <c r="N4845" s="23" t="n">
        <v>2014</v>
      </c>
      <c r="O4845" s="23" t="n">
        <v>504</v>
      </c>
      <c r="P4845" s="23" t="n"/>
      <c r="Q4845" s="23" t="n"/>
      <c r="R4845" s="25" t="n"/>
      <c r="S4845" s="26">
        <f>HYPERLINK("http://www.cnpol.ru/covers/14817.jpg","фото на сайте")</f>
        <v/>
      </c>
    </row>
    <row r="4846" ht="50.1" customHeight="1" s="3">
      <c r="A4846" s="23" t="n"/>
      <c r="B4846" s="24" t="inlineStr">
        <is>
          <t>19659</t>
        </is>
      </c>
      <c r="C4846" s="23" t="inlineStr">
        <is>
          <t>ХВЗ</t>
        </is>
      </c>
      <c r="D4846" s="23" t="inlineStr">
        <is>
          <t>Стародумов М.</t>
        </is>
      </c>
      <c r="E4846" s="23" t="inlineStr">
        <is>
          <t>Замечательные изобретения известных людей, авторство которых забыто</t>
        </is>
      </c>
      <c r="F4846" s="23" t="inlineStr">
        <is>
          <t>        </t>
        </is>
      </c>
      <c r="G4846" s="23" t="n">
        <v>593</v>
      </c>
      <c r="H4846" s="23" t="n">
        <v>10</v>
      </c>
      <c r="I4846" s="23" t="n">
        <v>8</v>
      </c>
      <c r="J4846" s="23" t="inlineStr">
        <is>
          <t>978-5-227-09447-6</t>
        </is>
      </c>
      <c r="K4846" s="23" t="inlineStr">
        <is>
          <t>82x100 1/32</t>
        </is>
      </c>
      <c r="L4846" s="23" t="inlineStr">
        <is>
          <t>тв</t>
        </is>
      </c>
      <c r="M4846" s="23" t="n">
        <v>384</v>
      </c>
      <c r="N4846" s="23" t="n">
        <v>2021</v>
      </c>
      <c r="O4846" s="23" t="n">
        <v>322</v>
      </c>
      <c r="P4846" s="23" t="n"/>
      <c r="Q4846" s="23" t="n"/>
      <c r="R4846" s="25" t="inlineStr">
        <is>
          <t>Как много изобретателей и ученых, которые незаслуженно забыты или известны благодаря совершенно другим заслугам. Мы пользуемся плодами их трудов и даже не задумываемся над тем, кто стоял за открытием многих привычных для нас вещей. Знаете ли вы, кто изобрел давно привычный нам комуфляж? А известно вам, что первый одометр был изобретен еще до нашей эры? Думали над тем, чья светлая голова придумала для нас любимое цветное телевидение? Могли ли предположить, что винт простой современной мясорубки работает по принципу Архимеда? Ответы на эти и многие другие вопросы любознательные читатели найдут в этой книге.</t>
        </is>
      </c>
      <c r="S4846" s="26">
        <f>HYPERLINK("http://www.cnpol.ru/covers/19659.jpg","фото на сайте")</f>
        <v/>
      </c>
    </row>
    <row r="4847" ht="50.1" customHeight="1" s="3">
      <c r="A4847" s="23" t="n"/>
      <c r="B4847" s="24" t="inlineStr">
        <is>
          <t>18822</t>
        </is>
      </c>
      <c r="C4847" s="23" t="inlineStr">
        <is>
          <t>ХВЗ</t>
        </is>
      </c>
      <c r="D4847" s="23" t="inlineStr">
        <is>
          <t>Столетов Ф.</t>
        </is>
      </c>
      <c r="E4847" s="23" t="inlineStr">
        <is>
          <t>Занимательная история мер измерений, или Какого роста дюймовочка</t>
        </is>
      </c>
      <c r="F4847" s="23" t="inlineStr">
        <is>
          <t>        </t>
        </is>
      </c>
      <c r="G4847" s="23" t="n">
        <v>534</v>
      </c>
      <c r="H4847" s="23" t="n">
        <v>10</v>
      </c>
      <c r="I4847" s="23" t="n">
        <v>20</v>
      </c>
      <c r="J4847" s="23" t="inlineStr">
        <is>
          <t>978-5-227-08802-4</t>
        </is>
      </c>
      <c r="K4847" s="23" t="inlineStr">
        <is>
          <t>82x100 1/32</t>
        </is>
      </c>
      <c r="L4847" s="23" t="inlineStr">
        <is>
          <t>тв</t>
        </is>
      </c>
      <c r="M4847" s="23" t="n">
        <v>256</v>
      </c>
      <c r="N4847" s="23" t="n">
        <v>2019</v>
      </c>
      <c r="O4847" s="23" t="n">
        <v>200</v>
      </c>
      <c r="P4847" s="23" t="n"/>
      <c r="Q4847" s="23" t="n"/>
      <c r="R4847" s="25" t="n"/>
      <c r="S4847" s="26">
        <f>HYPERLINK("http://www.cnpol.ru/covers/18822.jpg","фото на сайте")</f>
        <v/>
      </c>
    </row>
    <row r="4848" ht="50.1" customHeight="1" s="3">
      <c r="A4848" s="23" t="n"/>
      <c r="B4848" s="24" t="inlineStr">
        <is>
          <t>20305</t>
        </is>
      </c>
      <c r="C4848" s="23" t="inlineStr">
        <is>
          <t>ХВЗ</t>
        </is>
      </c>
      <c r="D4848" s="23" t="inlineStr">
        <is>
          <t>Грин Е.</t>
        </is>
      </c>
      <c r="E4848" s="23" t="inlineStr">
        <is>
          <t>История денег. От раковин каури до евро</t>
        </is>
      </c>
      <c r="F4848" s="23" t="inlineStr">
        <is>
          <t>        </t>
        </is>
      </c>
      <c r="G4848" s="23" t="n">
        <v>593</v>
      </c>
      <c r="H4848" s="23" t="n">
        <v>10</v>
      </c>
      <c r="I4848" s="23" t="n">
        <v>16</v>
      </c>
      <c r="J4848" s="23" t="inlineStr">
        <is>
          <t>978-5-227-09773-6</t>
        </is>
      </c>
      <c r="K4848" s="23" t="inlineStr">
        <is>
          <t>82x100 1/32</t>
        </is>
      </c>
      <c r="L4848" s="23" t="inlineStr">
        <is>
          <t>тв</t>
        </is>
      </c>
      <c r="M4848" s="23" t="n">
        <v>319</v>
      </c>
      <c r="N4848" s="23" t="n">
        <v>2022</v>
      </c>
      <c r="O4848" s="23" t="n">
        <v>303</v>
      </c>
      <c r="P4848" s="23" t="n"/>
      <c r="Q4848" s="23" t="n"/>
      <c r="R4848" s="25" t="n"/>
      <c r="S4848" s="26">
        <f>HYPERLINK("http://www.cnpol.ru/covers/20305.jpg","фото на сайте")</f>
        <v/>
      </c>
    </row>
    <row r="4849" ht="50.1" customHeight="1" s="3">
      <c r="A4849" s="23" t="n"/>
      <c r="B4849" s="24" t="inlineStr">
        <is>
          <t>19807</t>
        </is>
      </c>
      <c r="C4849" s="23" t="inlineStr">
        <is>
          <t>ХВЗ</t>
        </is>
      </c>
      <c r="D4849" s="23" t="inlineStr">
        <is>
          <t>Шпигель А.</t>
        </is>
      </c>
      <c r="E4849" s="23" t="inlineStr">
        <is>
          <t>История зеркал. От отражения в воде до космической оптики</t>
        </is>
      </c>
      <c r="F4849" s="23" t="inlineStr">
        <is>
          <t>        </t>
        </is>
      </c>
      <c r="G4849" s="23" t="n">
        <v>593</v>
      </c>
      <c r="H4849" s="23" t="n">
        <v>10</v>
      </c>
      <c r="I4849" s="23" t="n">
        <v>14</v>
      </c>
      <c r="J4849" s="23" t="inlineStr">
        <is>
          <t>978-5-227-09646-3</t>
        </is>
      </c>
      <c r="K4849" s="23" t="inlineStr">
        <is>
          <t>82x100 1/32</t>
        </is>
      </c>
      <c r="L4849" s="23" t="inlineStr">
        <is>
          <t>тв</t>
        </is>
      </c>
      <c r="M4849" s="23" t="n">
        <v>320</v>
      </c>
      <c r="N4849" s="23" t="n">
        <v>2021</v>
      </c>
      <c r="O4849" s="23" t="n">
        <v>303</v>
      </c>
      <c r="P4849" s="23" t="n"/>
      <c r="Q4849" s="23" t="n"/>
      <c r="R4849" s="25" t="inlineStr">
        <is>
          <t>Зеркало… Это целая Вселенная! И хотя этот предмет присутствует в каждом доме, он окружен курьезами, загадками и мистикой. Человека влечет к зеркалам с момента их появления, и объяснить природу этой страсти невозможно. Зеркало — один из самых энергетически сильных предметов. Энергия, которую хранит в себе зеркало, способна изменить нашу жизнь как в лучшую, так и в худшую сторону. Но, к счастью, человек может управлять своим самым уникальным и удивительным изобретением. Мы расскажем, каково его происхождение, каким образом возникали народные приметы, связанные с этим изделием, и насколько расширилась сфера использования зеркал в нашей жизни. Сегодня существование человека без зеркал не представляется возможным, они нашли широкое применение в различных отраслях науки и техники. Зеркальное стекло нашло свое применение в оптических приборах: телескопах, лазерах, спектрометрах, зеркальных фотоаппаратах, перископах. Испокон веков вогнутые зеркала используют в медицинских инструментах. При помощи зеркальной терапии борются с фантомными болями. Где и когда появилось первое зеркало, точно неизвестно. Но мы знаем, что древний миф о Персее повествует о том, что уже тогда щит древнего героя позволил обратить в камень смертоносную горгону Медузу… Итак: Свет мой, зеркальце! Скажи да всю правду доложи…</t>
        </is>
      </c>
      <c r="S4849" s="26">
        <f>HYPERLINK("http://www.cnpol.ru/covers/19807.jpg","фото на сайте")</f>
        <v/>
      </c>
    </row>
    <row r="4850" ht="50.1" customHeight="1" s="3">
      <c r="A4850" s="23" t="n"/>
      <c r="B4850" s="24" t="inlineStr">
        <is>
          <t>19497</t>
        </is>
      </c>
      <c r="C4850" s="23" t="inlineStr">
        <is>
          <t>ХВЗ</t>
        </is>
      </c>
      <c r="D4850" s="23" t="inlineStr">
        <is>
          <t>Мельников А.</t>
        </is>
      </c>
      <c r="E4850" s="23" t="inlineStr">
        <is>
          <t>История колеса. От гончарного круга до шасси авиалайнера</t>
        </is>
      </c>
      <c r="F4850" s="23" t="inlineStr">
        <is>
          <t>        </t>
        </is>
      </c>
      <c r="G4850" s="23" t="n">
        <v>593</v>
      </c>
      <c r="H4850" s="23" t="n">
        <v>10</v>
      </c>
      <c r="I4850" s="23" t="n">
        <v>16</v>
      </c>
      <c r="J4850" s="23" t="inlineStr">
        <is>
          <t>978-5-227-09364-6</t>
        </is>
      </c>
      <c r="K4850" s="23" t="inlineStr">
        <is>
          <t>82x100 1/32</t>
        </is>
      </c>
      <c r="L4850" s="23" t="inlineStr">
        <is>
          <t>тв</t>
        </is>
      </c>
      <c r="M4850" s="23" t="n">
        <v>351</v>
      </c>
      <c r="N4850" s="23" t="n">
        <v>2021</v>
      </c>
      <c r="O4850" s="23" t="n">
        <v>278</v>
      </c>
      <c r="P4850" s="23" t="n"/>
      <c r="Q4850" s="23" t="n"/>
      <c r="R4850" s="25" t="inlineStr">
        <is>
          <t>Есть такие изобретения, которые стали колоссальным толчком для развития нашей цивилизации и не устареют никогда. К ним относится колесо. Во всём мире оно признано одним из самых старых и важных изобретений человечества! Пожалуй, трудно найти другое открытие, которое дало бы такой мощный импульс к развитию техники. Колесо, круг являются основой очень многих механических вещей. Представьте — из нашей жизни исчезло колесо. Тут же остановили бы своё движение прялка, гончарный круг, водяные колёса перестали бы поднимать воду в оросительные каналы, жернова прекратили бы размол зерна. Остановили бы свою работу все механизмы, работающие на шестерёнках. Не узнали бы мы телеги, велосипеда, машины и даже самолёта. У нас не было бы ни одного транспортного средства!_x000D_
Конечно, в такой маленькой работе нельзя рассмотреть все механизмы, где применяются различные типы колёс, но тем не менее вас ждёт очень много интересной и полезной информации.</t>
        </is>
      </c>
      <c r="S4850" s="26">
        <f>HYPERLINK("http://www.cnpol.ru/covers/19497.jpg","фото на сайте")</f>
        <v/>
      </c>
    </row>
    <row r="4851" ht="50.1" customHeight="1" s="3">
      <c r="A4851" s="23" t="n"/>
      <c r="B4851" s="24" t="inlineStr">
        <is>
          <t>19687</t>
        </is>
      </c>
      <c r="C4851" s="23" t="inlineStr">
        <is>
          <t>ХВЗ</t>
        </is>
      </c>
      <c r="D4851" s="23" t="inlineStr">
        <is>
          <t>Максаков К.</t>
        </is>
      </c>
      <c r="E4851" s="23" t="inlineStr">
        <is>
          <t>История маски. От египетских фараонов до венецианского карнавала</t>
        </is>
      </c>
      <c r="F4851" s="23" t="inlineStr">
        <is>
          <t>        </t>
        </is>
      </c>
      <c r="G4851" s="23" t="n">
        <v>593</v>
      </c>
      <c r="H4851" s="23" t="n">
        <v>10</v>
      </c>
      <c r="I4851" s="23" t="n">
        <v>16</v>
      </c>
      <c r="J4851" s="23" t="inlineStr">
        <is>
          <t>978-5-227-09526-8</t>
        </is>
      </c>
      <c r="K4851" s="23" t="inlineStr">
        <is>
          <t>84x108 1/32</t>
        </is>
      </c>
      <c r="L4851" s="23" t="inlineStr">
        <is>
          <t>тв</t>
        </is>
      </c>
      <c r="M4851" s="23" t="n">
        <v>320</v>
      </c>
      <c r="N4851" s="23" t="n">
        <v>2021</v>
      </c>
      <c r="O4851" s="23" t="n">
        <v>270</v>
      </c>
      <c r="P4851" s="23" t="n"/>
      <c r="Q4851" s="23" t="n"/>
      <c r="R4851" s="25" t="inlineStr">
        <is>
          <t>Пожалуй, нет на нашей планете ни одной культуры, в которой не использовались маски. Об этом свидетельствуют древние наскальные рисунки, изображающие охотников в масках животных. У разных народов маска сначала являлась одним из важнейших атрибутов ритуальных священнодействий, в которых играла сакральную роль, затем маски перекочевали в театры… Постепенно из обрядов и театральной жизни маски перешли в реальную, став обязательным атрибутом карнавалов и костюмированных балов. Но помимо масок украшающих и устрашающих, существует огромное количество профессиональных масок, имеющих специфические свойства: хирургическая — защищающая чистоту операционного поля, кислородная — подающая воздух больным и ныряльщикам, спортивные маски, сохраняющие лица от повреждений. И даже противогаз, надеваемый при химической атаке, тоже маска! Каждая дама знакома с масками косметическими, а печальные посмертные маски сохраняют для потомков лица ушедших людей… Сегодня, когда весь мир вынужден носить маски, история этого атрибута особенно актуальна и интересна. Приятного чтения!</t>
        </is>
      </c>
      <c r="S4851" s="26">
        <f>HYPERLINK("http://www.cnpol.ru/covers/19687.jpg","фото на сайте")</f>
        <v/>
      </c>
    </row>
    <row r="4852" ht="50.1" customHeight="1" s="3">
      <c r="A4852" s="23" t="n"/>
      <c r="B4852" s="24" t="inlineStr">
        <is>
          <t>19955</t>
        </is>
      </c>
      <c r="C4852" s="23" t="inlineStr">
        <is>
          <t>ХВЗ</t>
        </is>
      </c>
      <c r="D4852" s="23" t="inlineStr">
        <is>
          <t>Бакинский П.</t>
        </is>
      </c>
      <c r="E4852" s="23" t="inlineStr">
        <is>
          <t>История нефти. «Чёрное золото» — универсальный продукт</t>
        </is>
      </c>
      <c r="F4852" s="23" t="inlineStr">
        <is>
          <t>        </t>
        </is>
      </c>
      <c r="G4852" s="23" t="n">
        <v>593</v>
      </c>
      <c r="H4852" s="23" t="n">
        <v>10</v>
      </c>
      <c r="I4852" s="23" t="n">
        <v>12</v>
      </c>
      <c r="J4852" s="23" t="inlineStr">
        <is>
          <t>978-5-227-09763-7</t>
        </is>
      </c>
      <c r="K4852" s="23" t="inlineStr">
        <is>
          <t>84x100 1/32</t>
        </is>
      </c>
      <c r="L4852" s="23" t="inlineStr">
        <is>
          <t>тв</t>
        </is>
      </c>
      <c r="M4852" s="23" t="n">
        <v>319</v>
      </c>
      <c r="N4852" s="23" t="n">
        <v>2021</v>
      </c>
      <c r="O4852" s="23" t="n">
        <v>270</v>
      </c>
      <c r="P4852" s="23" t="n"/>
      <c r="Q4852" s="23" t="n"/>
      <c r="R4852" s="25" t="inlineStr">
        <is>
          <t>Нефть — это уникальный природный продукт, без которого сегодня невозможно представить себе существование современного мира. Её неспроста называют «чёрным золотом», ведь из нефти можно сделать практически всё! Да, да, не удивляйтесь, это чудо природы универсально по своим возможностям. Посудите сами, практически каждое изделие или продукт в современном мире имеет в своём составе производные переработки нефти. Конечно, в первую очередь это топливо: бензин, дизельное топливо, керосин и мазут. Пластик — тоже нефть. Он очень удобен, так как легко принимает любую форму и имеет свойства, полезные для производства бытовых предметов. Синтетические ткани — снова нефть! Из них делают не только одежду, но самые разные вещи и предметы, как для обыденной жизни, так и различного специального назначения. Из синтетического каучука делают шины для различного транспорта. Из нефти научились производить пищевые продукты, синтетический белок, который стал более дешёвой заменой животному белку. Самое известное лекарство из нефти — это аспирин. Учёные открыли принцип выработки салициловой кислоты из фенола, и с тех пор аспирин стал одним из самых популярных в мире лекарств. Парафиновые смолы, которые получают из нефти, используют для производства жевательной резинки. И даже дивные ароматы наших любимых духов практически все синтезируются из продуктов нефтехимии…</t>
        </is>
      </c>
      <c r="S4852" s="26">
        <f>HYPERLINK("http://www.cnpol.ru/covers/19955.jpg","фото на сайте")</f>
        <v/>
      </c>
    </row>
    <row r="4853" ht="50.1" customHeight="1" s="3">
      <c r="A4853" s="23" t="n"/>
      <c r="B4853" s="24" t="inlineStr">
        <is>
          <t>19160</t>
        </is>
      </c>
      <c r="C4853" s="23" t="inlineStr">
        <is>
          <t>ХВЗ</t>
        </is>
      </c>
      <c r="D4853" s="23" t="inlineStr">
        <is>
          <t>Взоров Н.</t>
        </is>
      </c>
      <c r="E4853" s="23" t="inlineStr">
        <is>
          <t>История очков, или Вооруженный взгляд</t>
        </is>
      </c>
      <c r="F4853" s="23" t="inlineStr">
        <is>
          <t>        </t>
        </is>
      </c>
      <c r="G4853" s="23" t="n">
        <v>593</v>
      </c>
      <c r="H4853" s="23" t="n">
        <v>10</v>
      </c>
      <c r="I4853" s="23" t="n">
        <v>16</v>
      </c>
      <c r="J4853" s="23" t="inlineStr">
        <is>
          <t>978-5-227-08992-2</t>
        </is>
      </c>
      <c r="K4853" s="23" t="inlineStr">
        <is>
          <t>82x100 1/32</t>
        </is>
      </c>
      <c r="L4853" s="23" t="inlineStr">
        <is>
          <t>тв</t>
        </is>
      </c>
      <c r="M4853" s="23" t="n">
        <v>320</v>
      </c>
      <c r="N4853" s="23" t="n">
        <v>2020</v>
      </c>
      <c r="O4853" s="23" t="n">
        <v>276</v>
      </c>
      <c r="P4853" s="23" t="n"/>
      <c r="Q4853" s="23" t="n"/>
      <c r="R4853" s="25" t="inlineStr">
        <is>
          <t>Доказано, что большую часть информации об окружающем мире мы получаем через глаза... И если бесценный дар природы — зрение нарушается, в ход идут приспособления для его коррекции. Очки — вещь настолько привычная для нас сегодня, что с трудом можно представить, что было время, когда их не существовало…_x000D_
Наша книга расскажет, как шла эволюция оптических приборов от первых очков, найденных в гробнице Тутанхамона, до современных 3D­очков и сверхмощных телескопов._x000D_
Вы прочтете о контактных линзах, корригирующих, бифокальных, спортивных, солнцезащитных, компьютерных очках… Узнаете, что такое рефракция, близорукость, дальнозоркость, астигматизм, пресбиопия, адаптация, аккомодация… Лорнеты, монокли, пенсне, микроскопы, бинокли, подзорные трубы, лупы — все эти оптические приборы тоже нашли место в этой познавательной книге, которая будет интересна и взрослым и детям.</t>
        </is>
      </c>
      <c r="S4853" s="26">
        <f>HYPERLINK("http://www.cnpol.ru/covers/19160.jpg","фото на сайте")</f>
        <v/>
      </c>
    </row>
    <row r="4854" ht="50.1" customHeight="1" s="3">
      <c r="A4854" s="23" t="n"/>
      <c r="B4854" s="24" t="inlineStr">
        <is>
          <t>19430</t>
        </is>
      </c>
      <c r="C4854" s="23" t="inlineStr">
        <is>
          <t>ХВЗ</t>
        </is>
      </c>
      <c r="D4854" s="23" t="inlineStr">
        <is>
          <t>Водянова М.</t>
        </is>
      </c>
      <c r="E4854" s="23" t="inlineStr">
        <is>
          <t>История плавающих средств. От плота до субмарины</t>
        </is>
      </c>
      <c r="F4854" s="23" t="inlineStr">
        <is>
          <t>        </t>
        </is>
      </c>
      <c r="G4854" s="23" t="n">
        <v>593</v>
      </c>
      <c r="H4854" s="23" t="n">
        <v>10</v>
      </c>
      <c r="I4854" s="23" t="n">
        <v>16</v>
      </c>
      <c r="J4854" s="23" t="inlineStr">
        <is>
          <t>978-5-227-09314-1</t>
        </is>
      </c>
      <c r="K4854" s="23" t="inlineStr">
        <is>
          <t>82x100 1/32</t>
        </is>
      </c>
      <c r="L4854" s="23" t="inlineStr">
        <is>
          <t>тв</t>
        </is>
      </c>
      <c r="M4854" s="23" t="n">
        <v>352</v>
      </c>
      <c r="N4854" s="23" t="n">
        <v>2020</v>
      </c>
      <c r="O4854" s="23" t="n">
        <v>248</v>
      </c>
      <c r="P4854" s="23" t="n"/>
      <c r="Q4854" s="23" t="n"/>
      <c r="R4854" s="25" t="inlineStr">
        <is>
          <t>Человек покорил водную стихию уже много тысячелетий назад. В легендах и сказаниях всех народов плавательные средства оставили свой «мокрый» след. Великий Гомер в «Илиаде» и «Одиссее» пишет о кораблях и мореплавателях. И это уже не речные лодки, а морские корабли! Древнегреческий герой Ясон отправляется за золотым руном на легендарном «Арго». В мрачном царстве Аида, на лодке обтянутой кожей, перевозит через ледяные воды Стикса души умерших старец Харон…_x000D_
В задачу этой увлекательной книги не входит изложение всей истории кораблестроения. Такой труд по силам лишь коллективу историков и уместится в многотомном издании. Ведь даже простое перечисление одних только названий типов судов, существовавших в разные времена и у разных народов, займет несколько страниц._x000D_
Автор кратко, интересно и познавательно рассказывает историю плавательных средств от плота до подводной лодки.</t>
        </is>
      </c>
      <c r="S4854" s="26">
        <f>HYPERLINK("http://www.cnpol.ru/covers/19430.jpg","фото на сайте")</f>
        <v/>
      </c>
    </row>
    <row r="4855" ht="50.1" customHeight="1" s="3">
      <c r="A4855" s="23" t="n"/>
      <c r="B4855" s="24" t="inlineStr">
        <is>
          <t>19258</t>
        </is>
      </c>
      <c r="C4855" s="23" t="inlineStr">
        <is>
          <t>ХВЗ</t>
        </is>
      </c>
      <c r="D4855" s="23" t="inlineStr">
        <is>
          <t>Флаер С.</t>
        </is>
      </c>
      <c r="E4855" s="23" t="inlineStr">
        <is>
          <t>История полёта. От крыльев Икара до космических ракет</t>
        </is>
      </c>
      <c r="F4855" s="23" t="inlineStr">
        <is>
          <t>        </t>
        </is>
      </c>
      <c r="G4855" s="23" t="n">
        <v>593</v>
      </c>
      <c r="H4855" s="23" t="n">
        <v>10</v>
      </c>
      <c r="I4855" s="23" t="n">
        <v>14</v>
      </c>
      <c r="J4855" s="23" t="inlineStr">
        <is>
          <t>978-5-227-09133-8</t>
        </is>
      </c>
      <c r="K4855" s="23" t="inlineStr">
        <is>
          <t>82x100 1/32</t>
        </is>
      </c>
      <c r="L4855" s="23" t="inlineStr">
        <is>
          <t>тв</t>
        </is>
      </c>
      <c r="M4855" s="23" t="n">
        <v>384</v>
      </c>
      <c r="N4855" s="23" t="n">
        <v>2020</v>
      </c>
      <c r="O4855" s="23" t="n">
        <v>302</v>
      </c>
      <c r="P4855" s="23" t="n"/>
      <c r="Q4855" s="23" t="n"/>
      <c r="R4855" s="25" t="inlineStr">
        <is>
          <t>Без преувеличения тысячелетиями небо манило человека. В легендах и сказаниях всех народов жили летающие герои. Небо бороздили Баба-яга в ступе и Змей Горыныч, взмывал ввысь крылатый Пегас, а первая транспортная авиа ция — ковер-самолёт — перевозила пассажиров. Человеку всегда хотелось летать. Полёт — это скорость, это свобода, это восторг! Прошло время, и наконец-то мечта осуществилась. После многих неудачных и трагических попыток и экспериментов человек освоил воздушную стихию, хотя путь этот был сложным и тернистым. В нашей книге мы расскажем историю полёта от первого полёта воздушного шара до современных сверхзвуковых самолётов и космических аппаратов.</t>
        </is>
      </c>
      <c r="S4855" s="26">
        <f>HYPERLINK("http://www.cnpol.ru/covers/19258.jpg","фото на сайте")</f>
        <v/>
      </c>
    </row>
    <row r="4856" ht="50.1" customHeight="1" s="3">
      <c r="A4856" s="23" t="n"/>
      <c r="B4856" s="24" t="inlineStr">
        <is>
          <t>20113</t>
        </is>
      </c>
      <c r="C4856" s="23" t="inlineStr">
        <is>
          <t>ХВЗ</t>
        </is>
      </c>
      <c r="D4856" s="23" t="inlineStr">
        <is>
          <t>Перов М.</t>
        </is>
      </c>
      <c r="E4856" s="23" t="inlineStr">
        <is>
          <t>История почты. От голубиной до электронной</t>
        </is>
      </c>
      <c r="F4856" s="23" t="inlineStr">
        <is>
          <t>        </t>
        </is>
      </c>
      <c r="G4856" s="23" t="n">
        <v>593</v>
      </c>
      <c r="H4856" s="23" t="n">
        <v>10</v>
      </c>
      <c r="I4856" s="23" t="n">
        <v>16</v>
      </c>
      <c r="J4856" s="23" t="inlineStr">
        <is>
          <t>978-5-227-09885-6</t>
        </is>
      </c>
      <c r="K4856" s="23" t="inlineStr">
        <is>
          <t>82x100 1/32</t>
        </is>
      </c>
      <c r="L4856" s="23" t="inlineStr">
        <is>
          <t>тв</t>
        </is>
      </c>
      <c r="M4856" s="23" t="n">
        <v>319</v>
      </c>
      <c r="N4856" s="23" t="n">
        <v>2022</v>
      </c>
      <c r="O4856" s="23" t="n">
        <v>255</v>
      </c>
      <c r="P4856" s="23" t="n"/>
      <c r="Q4856" s="23" t="n"/>
      <c r="R4856" s="25" t="inlineStr">
        <is>
          <t>Развитие почты как системы передачи корреспонденции заняло сотни лет, и для этого человек приспосабливал многие свои изобретения. Так от голубиной почты или сигнального дыма от костров мы пришли к доставке корреспонденции дронами и электронной почте. Древнегреческий историк Геродот сказал: «Ни снег, ни дождь, ни жара, ни мрак ночи не удержат курьеров от скорейшего завершения предначертанного пути». Эти слова настолько правильно отображают главную задачу почты, что стали неофициальным девизом Почтовой службы США. В нашей книге вы найдете множество интересных фактов и узнаете: что такое хобби, как коллекционирование почтовых открыток, занимает во всем мире третье место по популярности; что службу чтения чужих писем называют «Чёрный кабинет»; что люди ежедневно отправляют более 267 миллиардов электронных писем; что в России была особая порода лошадей для почтовых троек — вятская лошадь. Это о ней писал Гоголь, сравнивая Русь с птицей-тройкой… А знали вы, что существует подводная почта, катастрофная почта, трамвайная почта?! Об этом и многом другом читайте на страницах этой увлекательной книги.</t>
        </is>
      </c>
      <c r="S4856" s="26">
        <f>HYPERLINK("http://www.cnpol.ru/covers/20113.jpg","фото на сайте")</f>
        <v/>
      </c>
    </row>
    <row r="4857" ht="50.1" customHeight="1" s="3">
      <c r="A4857" s="23" t="n"/>
      <c r="B4857" s="24" t="inlineStr">
        <is>
          <t>20427</t>
        </is>
      </c>
      <c r="C4857" s="23" t="inlineStr">
        <is>
          <t>ХВЗ</t>
        </is>
      </c>
      <c r="D4857" s="23" t="inlineStr">
        <is>
          <t>Мармеладова Т.</t>
        </is>
      </c>
      <c r="E4857" s="23" t="inlineStr">
        <is>
          <t>История сладостей.  От дикого мёда до эскимо</t>
        </is>
      </c>
      <c r="F4857" s="23" t="inlineStr">
        <is>
          <t>        </t>
        </is>
      </c>
      <c r="G4857" s="23" t="n">
        <v>593</v>
      </c>
      <c r="H4857" s="23" t="n">
        <v>10</v>
      </c>
      <c r="I4857" s="23" t="n">
        <v>16</v>
      </c>
      <c r="J4857" s="23" t="inlineStr">
        <is>
          <t>978-5-227-09920-4</t>
        </is>
      </c>
      <c r="K4857" s="23" t="inlineStr">
        <is>
          <t>82x100 1/32</t>
        </is>
      </c>
      <c r="L4857" s="23" t="inlineStr">
        <is>
          <t>тв</t>
        </is>
      </c>
      <c r="M4857" s="23" t="n">
        <v>319</v>
      </c>
      <c r="N4857" s="23" t="n">
        <v>2022</v>
      </c>
      <c r="O4857" s="23" t="n">
        <v>303</v>
      </c>
      <c r="P4857" s="23" t="n"/>
      <c r="Q4857" s="23" t="n"/>
      <c r="R4857" s="25" t="inlineStr">
        <is>
          <t>Взрослые и дети, грустные и весёлые, худые и пышные — практически все, за редким исключением, любят сладкое… Кто-то обожает мороженое, кто-то сахарную вату, а кто-то не может и дня прожить без дольки шоколада или просто маленького леденца. Сегодня автор расскажет вам всё о сладостях. Вы прочтёте, что первым лакомством в Европе был мёд, который и  стал началом «сладкой истории». Сахар прибыл в Европу лишь в IV веке до н. э. вместе с Александром Македонским после похода в Индию. Узнаете, что испанец Энрике Берната придумал «чупа-чупс», что по-испански означает всего-навсего «сосалка», а автором дизайна первого фантика стал легендарный Сальвадор Дали; что Георг Ландрин, он же Фёдор Гаврилов, назвал свои конфеты «монпансье» в честь воспетой в романах Дюма французской герцогини; что выпуск отечественных конфет «Белочка» и «Мишка на Севере» не прекращался даже во время блокады Ленинграда, и ещё много, много «сладкой» информации.</t>
        </is>
      </c>
      <c r="S4857" s="26">
        <f>HYPERLINK("http://www.cnpol.ru/covers/20427.jpg","фото на сайте")</f>
        <v/>
      </c>
    </row>
    <row r="4858" ht="50.1" customHeight="1" s="3">
      <c r="A4858" s="23" t="n"/>
      <c r="B4858" s="24" t="inlineStr">
        <is>
          <t>20506</t>
        </is>
      </c>
      <c r="C4858" s="23" t="inlineStr">
        <is>
          <t>ХВЗ</t>
        </is>
      </c>
      <c r="D4858" s="23" t="inlineStr">
        <is>
          <t>Борцов В.</t>
        </is>
      </c>
      <c r="E4858" s="23" t="inlineStr">
        <is>
          <t>История спорта. От Древней Греции до наших дней</t>
        </is>
      </c>
      <c r="F4858" s="23" t="inlineStr">
        <is>
          <t>        </t>
        </is>
      </c>
      <c r="G4858" s="23" t="n">
        <v>593</v>
      </c>
      <c r="H4858" s="23" t="n">
        <v>10</v>
      </c>
      <c r="I4858" s="23" t="n">
        <v>16</v>
      </c>
      <c r="J4858" s="23" t="inlineStr">
        <is>
          <t>978-5-227-10058-0</t>
        </is>
      </c>
      <c r="K4858" s="23" t="inlineStr">
        <is>
          <t>84x108 1/32</t>
        </is>
      </c>
      <c r="L4858" s="23" t="inlineStr">
        <is>
          <t>тв</t>
        </is>
      </c>
      <c r="M4858" s="23" t="n">
        <v>350</v>
      </c>
      <c r="N4858" s="23" t="n">
        <v>2023</v>
      </c>
      <c r="O4858" s="23" t="n">
        <v>350</v>
      </c>
      <c r="P4858" s="23" t="n"/>
      <c r="Q4858" s="23" t="n"/>
      <c r="R4858" s="25" t="inlineStr">
        <is>
          <t>Спортивные состязания пришли к нам из далёкой древности. Уже много тысяч лет назад, во времена каменного века, наши предки соревновались между собой в меткости, скорости, силе и выносливости. Многие наскальные рисунки, которым уже около 30 000 лет, рассказывают, как это происходило тогда. Конечно, пока это были не те виды спорта, к которым мы привыкли сегодня, но начало развитию спорта было положено._x000D_
Шли времена, и люди придумывали новые, порой очень странные на наш современный взгляд спортивные развлечения, такие как сбивание белок с деревьев, перетягивание угрей, драки рыбаков на лодках и прыжки через спины быков… Дальше — больше, и вот уже в Древней Греции проходят первые Олимпийские игры, и с этого момента история спорта стремительно развивается. В небольшой книге, к сожалению, нельзя рассказать полную историю такого значимого для нашей цивилизации явления, но вы прочтёте интересную информацию о самых популярных видах спорта, выдающихся спортсменах, международных спортивных организациях и ещё много, много интересного.</t>
        </is>
      </c>
      <c r="S4858" s="26">
        <f>HYPERLINK("http://www.cnpol.ru/covers/20506.jpg","фото на сайте")</f>
        <v/>
      </c>
    </row>
    <row r="4859" ht="50.1" customHeight="1" s="3">
      <c r="A4859" s="23" t="n"/>
      <c r="B4859" s="24" t="inlineStr">
        <is>
          <t>19894</t>
        </is>
      </c>
      <c r="C4859" s="23" t="inlineStr">
        <is>
          <t>ХВЗ</t>
        </is>
      </c>
      <c r="D4859" s="23" t="inlineStr">
        <is>
          <t>Песков С.И.</t>
        </is>
      </c>
      <c r="E4859" s="23" t="inlineStr">
        <is>
          <t>История стекла. От стеклянного оружия до стекол иллюминаторов космических кораблей</t>
        </is>
      </c>
      <c r="F4859" s="23" t="inlineStr">
        <is>
          <t>        </t>
        </is>
      </c>
      <c r="G4859" s="23" t="n">
        <v>593</v>
      </c>
      <c r="H4859" s="23" t="n">
        <v>10</v>
      </c>
      <c r="I4859" s="23" t="n">
        <v>12</v>
      </c>
      <c r="J4859" s="23" t="inlineStr">
        <is>
          <t>978-5-227-09709-5</t>
        </is>
      </c>
      <c r="K4859" s="23" t="inlineStr">
        <is>
          <t>82x100 1/32</t>
        </is>
      </c>
      <c r="L4859" s="23" t="inlineStr">
        <is>
          <t>тв</t>
        </is>
      </c>
      <c r="M4859" s="23" t="n">
        <v>320</v>
      </c>
      <c r="N4859" s="23" t="n">
        <v>2021</v>
      </c>
      <c r="O4859" s="23" t="n">
        <v>236</v>
      </c>
      <c r="P4859" s="23" t="n"/>
      <c r="Q4859" s="23" t="n"/>
      <c r="R4859" s="25" t="inlineStr">
        <is>
          <t>Еще в каменном веке люди научились обрабатывать вулканическое стекло — обсидиан. Из него делали наконечники стрел, топоры и другой режущий инструмент! С той далекой поры этот уникальный материал эволюционировал рядом с человеком. Сегодня стекло является неотъемлемой частью каждого помещения, используется во внешней и внутренней отделке. Оно максимально увеличивает световые потоки и расширяет пространство. Возможности этого материала безграничны. Он прочен, экологически чист, долговечен, не горюч, относительно легко поддается резке и обработке. Это позволяет изготавливать из стекла витражи, дверные полотна, украшения… Оптические приборы, линзы, телескопы, очки не появились бы в нашей жизни без открытия стекла. Сегодня благодаря огромным зеркальным телескопам мы имеем возможность заглянуть в другие галактики! Для современного человека стекло стало чем­то обыденным, но мы хотим рассказать вам как можно больше об этом сказочном материале, который рождается в горниле огня. Читайте!</t>
        </is>
      </c>
      <c r="S4859" s="26">
        <f>HYPERLINK("http://www.cnpol.ru/covers/19894.jpg","фото на сайте")</f>
        <v/>
      </c>
    </row>
    <row r="4860" ht="50.1" customHeight="1" s="3">
      <c r="A4860" s="23" t="n"/>
      <c r="B4860" s="24" t="inlineStr">
        <is>
          <t>18741</t>
        </is>
      </c>
      <c r="C4860" s="23" t="inlineStr">
        <is>
          <t>ХВЗ</t>
        </is>
      </c>
      <c r="D4860" s="23" t="inlineStr">
        <is>
          <t>Стародумов М.</t>
        </is>
      </c>
      <c r="E4860" s="23" t="inlineStr">
        <is>
          <t>Кто придумал велосипед</t>
        </is>
      </c>
      <c r="F4860" s="23" t="inlineStr">
        <is>
          <t>        </t>
        </is>
      </c>
      <c r="G4860" s="23" t="n">
        <v>593</v>
      </c>
      <c r="H4860" s="23" t="n">
        <v>10</v>
      </c>
      <c r="I4860" s="23" t="n">
        <v>14</v>
      </c>
      <c r="J4860" s="23" t="inlineStr">
        <is>
          <t>978-5-227-08742-3</t>
        </is>
      </c>
      <c r="K4860" s="23" t="inlineStr">
        <is>
          <t>82x100 1/32</t>
        </is>
      </c>
      <c r="L4860" s="23" t="inlineStr">
        <is>
          <t>тв</t>
        </is>
      </c>
      <c r="M4860" s="23" t="n">
        <v>384</v>
      </c>
      <c r="N4860" s="23" t="n">
        <v>2019</v>
      </c>
      <c r="O4860" s="23" t="n">
        <v>298</v>
      </c>
      <c r="P4860" s="23" t="n"/>
      <c r="Q4860" s="23" t="n"/>
      <c r="R4860" s="25" t="inlineStr">
        <is>
          <t>Мы привычно пользуемся многими вещами, не задумываясь, кто же их изобрел! Чистим зубы зубной пастой, жарим в тостере душистые гренки, ныряем на отдыхе с аквалангом, ездим на велосипеде, разгадываем кроссворды, рисуем карандашами… А ведь все эти изобретения и пришли к нам из прошлых веков — великого времени, давшего толчок к развитию не только промышленности, транспорта, но и к новому мышлению. У каждого изобретения есть автор! Обладатели нового мышления дали человечеству и такие «мелочи», как зажигалка, бритвенный станок, кукла Барби… Изобретатели умеют мыслить нестандартно и способны находить новаторские решения различных проблем. Они создают разные вещи: оружие, призванное охранять покой родины, механизмы, которые делают нашу жизнь комфортнее, изобретают уникальные приборы, лекарства, вакцины…_x000D_
В этой книге мы хотим рассказать о самых популярных новаторских выдумках, которые пришли к нам из XVIII —XX века, но актуальны и сегодня.</t>
        </is>
      </c>
      <c r="S4860" s="26">
        <f>HYPERLINK("http://www.cnpol.ru/covers/18741.jpg","фото на сайте")</f>
        <v/>
      </c>
    </row>
    <row r="4861" ht="50.1" customHeight="1" s="3">
      <c r="A4861" s="23" t="n"/>
      <c r="B4861" s="24" t="inlineStr">
        <is>
          <t>19476</t>
        </is>
      </c>
      <c r="C4861" s="23" t="inlineStr">
        <is>
          <t>ХВЗ</t>
        </is>
      </c>
      <c r="D4861" s="23" t="inlineStr">
        <is>
          <t>Стародумов М.</t>
        </is>
      </c>
      <c r="E4861" s="23" t="inlineStr">
        <is>
          <t>Самые популярные изобретения из прошлых веков, актуальные сегодня, или Кто придумал первого робота</t>
        </is>
      </c>
      <c r="F4861" s="23" t="inlineStr">
        <is>
          <t>        </t>
        </is>
      </c>
      <c r="G4861" s="23" t="n">
        <v>593</v>
      </c>
      <c r="H4861" s="23" t="n">
        <v>10</v>
      </c>
      <c r="I4861" s="23" t="n">
        <v>10</v>
      </c>
      <c r="J4861" s="23" t="inlineStr">
        <is>
          <t>978-5-227-09329-5</t>
        </is>
      </c>
      <c r="K4861" s="23" t="inlineStr">
        <is>
          <t>82x100 1/32</t>
        </is>
      </c>
      <c r="L4861" s="23" t="inlineStr">
        <is>
          <t>тв</t>
        </is>
      </c>
      <c r="M4861" s="23" t="n">
        <v>384</v>
      </c>
      <c r="N4861" s="23" t="n">
        <v>2021</v>
      </c>
      <c r="O4861" s="23" t="n">
        <v>316</v>
      </c>
      <c r="P4861" s="23" t="n"/>
      <c r="Q4861" s="23" t="n"/>
      <c r="R4861" s="25" t="n"/>
      <c r="S4861" s="26">
        <f>HYPERLINK("http://www.cnpol.ru/covers/19476.jpg","фото на сайте")</f>
        <v/>
      </c>
    </row>
    <row r="4862" ht="50.1" customHeight="1" s="3">
      <c r="A4862" s="23" t="inlineStr">
        <is>
          <t>Н</t>
        </is>
      </c>
      <c r="B4862" s="24" t="inlineStr">
        <is>
          <t>21903</t>
        </is>
      </c>
      <c r="C4862" s="23" t="inlineStr">
        <is>
          <t>ХЕЙЕР</t>
        </is>
      </c>
      <c r="D4862" s="23" t="inlineStr">
        <is>
          <t>Хейер Д.</t>
        </is>
      </c>
      <c r="E4862" s="23" t="inlineStr">
        <is>
          <t>Арабелла</t>
        </is>
      </c>
      <c r="F4862" s="23" t="inlineStr">
        <is>
          <t>        </t>
        </is>
      </c>
      <c r="G4862" s="23" t="n">
        <v>936</v>
      </c>
      <c r="H4862" s="23" t="n">
        <v>10</v>
      </c>
      <c r="I4862" s="23" t="n">
        <v>10</v>
      </c>
      <c r="J4862" s="23" t="inlineStr">
        <is>
          <t>978-5-9524-6568-8</t>
        </is>
      </c>
      <c r="K4862" s="23" t="inlineStr">
        <is>
          <t>84x108 1/32</t>
        </is>
      </c>
      <c r="L4862" s="23" t="inlineStr">
        <is>
          <t>тв</t>
        </is>
      </c>
      <c r="M4862" s="23" t="n">
        <v>287</v>
      </c>
      <c r="N4862" s="23" t="n">
        <v>2026</v>
      </c>
      <c r="O4862" s="23" t="n">
        <v>341</v>
      </c>
      <c r="P4862" s="23" t="n"/>
      <c r="Q4862" s="23" t="n"/>
      <c r="R4862" s="25" t="inlineStr">
        <is>
          <t>Старшая дочь бедного приходского священника в Йоркшире прекрасная Арабелла Тэллант по приглашению крестной отправляется на свой первый сезон в Лондон. Родители надеются, что она найдет там достойного жениха. Но случайная встреча по дороге в столицу толкает девушку на необдуманный поступок. Поддавшись минутному гневу, она выдает себя за богатую наследницу, вынужденную скрываться от бесчисленных охотников за приданым. Светский красавец и дамский угодник, возмущенный ее холодностью, решает проучить ее. Однако Арабелла приготовила ему совсем другую роль...</t>
        </is>
      </c>
      <c r="S4862" s="26">
        <f>HYPERLINK("http://www.cnpol.ru/covers/21903.jpg","фото на сайте")</f>
        <v/>
      </c>
    </row>
    <row r="4863" ht="50.1" customHeight="1" s="3">
      <c r="A4863" s="23" t="inlineStr">
        <is>
          <t>Н</t>
        </is>
      </c>
      <c r="B4863" s="24" t="inlineStr">
        <is>
          <t>22282</t>
        </is>
      </c>
      <c r="C4863" s="23" t="inlineStr">
        <is>
          <t>ХЕЙЕР</t>
        </is>
      </c>
      <c r="D4863" s="23" t="inlineStr">
        <is>
          <t>Хейер Д.</t>
        </is>
      </c>
      <c r="E4863" s="23" t="inlineStr">
        <is>
          <t>Бегство короля</t>
        </is>
      </c>
      <c r="F4863" s="23" t="inlineStr">
        <is>
          <t>        </t>
        </is>
      </c>
      <c r="G4863" s="27" t="n">
        <v>1184</v>
      </c>
      <c r="H4863" s="23" t="n">
        <v>10</v>
      </c>
      <c r="I4863" s="23" t="n">
        <v>10</v>
      </c>
      <c r="J4863" s="23" t="inlineStr">
        <is>
          <t>978-5-9524-6741-5</t>
        </is>
      </c>
      <c r="K4863" s="23" t="inlineStr">
        <is>
          <t>84x108 1/32</t>
        </is>
      </c>
      <c r="L4863" s="23" t="inlineStr">
        <is>
          <t>тв</t>
        </is>
      </c>
      <c r="M4863" s="23" t="n">
        <v>415</v>
      </c>
      <c r="N4863" s="23" t="n">
        <v>2026</v>
      </c>
      <c r="O4863" s="23" t="n">
        <v>452</v>
      </c>
      <c r="P4863" s="23" t="n"/>
      <c r="Q4863" s="23" t="n"/>
      <c r="R4863" s="25" t="inlineStr">
        <is>
          <t>1651 год. Попытка реставрации монархии в Англии потерпела крах. Юный Карл II Стюарт лишился права владеть короной. После поражения в Ворчестерской битве он вынужден спасаться бегством и вместе со своими приближенными пытается добраться до порта, чтобы отплыть во Францию. Однако с его весьма примечательной внешностью Карлу не так-то легко остаться неузнанным…</t>
        </is>
      </c>
      <c r="S4863" s="26">
        <f>HYPERLINK("http://www.cnpol.ru/covers/22282.jpg","фото на сайте")</f>
        <v/>
      </c>
    </row>
    <row r="4864" ht="50.1" customHeight="1" s="3">
      <c r="A4864" s="23" t="inlineStr">
        <is>
          <t>Н</t>
        </is>
      </c>
      <c r="B4864" s="24" t="inlineStr">
        <is>
          <t>21882</t>
        </is>
      </c>
      <c r="C4864" s="23" t="inlineStr">
        <is>
          <t>ХЕЙЕР</t>
        </is>
      </c>
      <c r="D4864" s="23" t="inlineStr">
        <is>
          <t>Хейер Д.</t>
        </is>
      </c>
      <c r="E4864" s="23" t="inlineStr">
        <is>
          <t>Великолепная Софи</t>
        </is>
      </c>
      <c r="F4864" s="23" t="inlineStr">
        <is>
          <t>        </t>
        </is>
      </c>
      <c r="G4864" s="27" t="n">
        <v>1117</v>
      </c>
      <c r="H4864" s="23" t="n">
        <v>10</v>
      </c>
      <c r="I4864" s="23" t="n">
        <v>10</v>
      </c>
      <c r="J4864" s="23" t="inlineStr">
        <is>
          <t>978-5-9524-6543-5</t>
        </is>
      </c>
      <c r="K4864" s="23" t="inlineStr">
        <is>
          <t>84x108 1/32</t>
        </is>
      </c>
      <c r="L4864" s="23" t="inlineStr">
        <is>
          <t>тв</t>
        </is>
      </c>
      <c r="M4864" s="23" t="n">
        <v>383</v>
      </c>
      <c r="N4864" s="23" t="n">
        <v>2025</v>
      </c>
      <c r="O4864" s="23" t="n">
        <v>422</v>
      </c>
      <c r="P4864" s="23" t="n"/>
      <c r="Q4864" s="23" t="n"/>
      <c r="R4864" s="25" t="inlineStr">
        <is>
          <t>Чопорная старая Англия эпохи регентства, Лондон: в дом своей тетушки леди Омберсли София Стэнтон-Лэйси, известная в обществе как Софи, ворвалась словно свежий ветер. Отличаясь независимым и решительным характером, девушка с завидной энергией принялась устраивать благополучие своих невеселых родственников. Несмотря на осуждение ее вызывающего, по мнению некоторых особ, поведения, она очень скоро достигла несомненных успехов на этом поприще. И неудивительно, что среди всей организованной Софи суматохи начинает вырисовываться и ее собственное счастливое будущее...</t>
        </is>
      </c>
      <c r="S4864" s="26">
        <f>HYPERLINK("http://www.cnpol.ru/covers/21882.jpg","фото на сайте")</f>
        <v/>
      </c>
    </row>
    <row r="4865" ht="50.1" customHeight="1" s="3">
      <c r="A4865" s="23" t="inlineStr">
        <is>
          <t>Н</t>
        </is>
      </c>
      <c r="B4865" s="24" t="inlineStr">
        <is>
          <t>22012</t>
        </is>
      </c>
      <c r="C4865" s="23" t="inlineStr">
        <is>
          <t>ХЕЙЕР</t>
        </is>
      </c>
      <c r="D4865" s="23" t="inlineStr">
        <is>
          <t>Хейер Д.</t>
        </is>
      </c>
      <c r="E4865" s="23" t="inlineStr">
        <is>
          <t>Девушка в муслиновом платье</t>
        </is>
      </c>
      <c r="F4865" s="23" t="inlineStr">
        <is>
          <t>        </t>
        </is>
      </c>
      <c r="G4865" s="23" t="n">
        <v>888</v>
      </c>
      <c r="H4865" s="23" t="n">
        <v>10</v>
      </c>
      <c r="I4865" s="23" t="n">
        <v>10</v>
      </c>
      <c r="J4865" s="23" t="inlineStr">
        <is>
          <t>978-5-9524-6631-9</t>
        </is>
      </c>
      <c r="K4865" s="23" t="inlineStr">
        <is>
          <t>84x108 1/32</t>
        </is>
      </c>
      <c r="L4865" s="23" t="inlineStr">
        <is>
          <t>тв</t>
        </is>
      </c>
      <c r="M4865" s="23" t="n">
        <v>255</v>
      </c>
      <c r="N4865" s="23" t="n">
        <v>2026</v>
      </c>
      <c r="O4865" s="23" t="n">
        <v>315</v>
      </c>
      <c r="P4865" s="23" t="n"/>
      <c r="Q4865" s="23" t="n"/>
      <c r="R4865" s="25" t="inlineStr">
        <is>
          <t>Сэр Гарет — убежденный холостяк с тех пор, как семь лет назад погибла его невеста. Многие красавицы высшего света с радостью вступили бы с ним в брак, но он решает жениться на девушке, которую знает много лет. Хестер не поражает красотой и не отличается живостью характера, потому, видимо, и не замужем в свои двадцать девять лет. Лорд Гарет — блестящая партия, но Хестер ему отказала, ведь он ее не любит. Внезапно в размеренную жизнь нескольких благородных семей врывается очаровательное юное и совершенно безрассудное создание по имени Аманда, она переворачивает все с ног на голову, отчего всем действующим лицам приходится пересмотреть свое отношение к жизни и друг к другу...</t>
        </is>
      </c>
      <c r="S4865" s="26">
        <f>HYPERLINK("http://www.cnpol.ru/covers/22012.jpg","фото на сайте")</f>
        <v/>
      </c>
    </row>
    <row r="4866" ht="50.1" customHeight="1" s="3">
      <c r="A4866" s="23" t="inlineStr">
        <is>
          <t>Н</t>
        </is>
      </c>
      <c r="B4866" s="24" t="inlineStr">
        <is>
          <t>22137</t>
        </is>
      </c>
      <c r="C4866" s="23" t="inlineStr">
        <is>
          <t>ХЕЙЕР</t>
        </is>
      </c>
      <c r="D4866" s="23" t="inlineStr">
        <is>
          <t>Хейер Д.</t>
        </is>
      </c>
      <c r="E4866" s="23" t="inlineStr">
        <is>
          <t>Коринфянин</t>
        </is>
      </c>
      <c r="F4866" s="23" t="inlineStr">
        <is>
          <t>        </t>
        </is>
      </c>
      <c r="G4866" s="23" t="n">
        <v>806</v>
      </c>
      <c r="H4866" s="23" t="n">
        <v>10</v>
      </c>
      <c r="I4866" s="23" t="n">
        <v>10</v>
      </c>
      <c r="J4866" s="23" t="inlineStr">
        <is>
          <t>978-5-9524-6687-6</t>
        </is>
      </c>
      <c r="K4866" s="23" t="inlineStr">
        <is>
          <t>84x108 1/32</t>
        </is>
      </c>
      <c r="L4866" s="23" t="inlineStr">
        <is>
          <t>тв</t>
        </is>
      </c>
      <c r="M4866" s="23" t="n">
        <v>223</v>
      </c>
      <c r="N4866" s="23" t="n">
        <v>2026</v>
      </c>
      <c r="O4866" s="23" t="n">
        <v>285</v>
      </c>
      <c r="P4866" s="23" t="n"/>
      <c r="Q4866" s="23" t="n"/>
      <c r="R4866" s="25" t="inlineStr">
        <is>
          <t>Уступая настоянию родных, богатый и знатный сэр Ричард Виндхэм уже почти согласился на брак с Мелиссой Брэндон. Но поздним вечером, когда сэр Ричард возвращался из своего клуба, с ним случилось странное происшествие: в его объятия буквально свалилось из окна удивительное создание — очаровательная девушка в костюме мальчика. Юная Пенелопа Крид тайком направлялась к своему другу детства, уверенная в том, что он ее любит и ждет. Сэр Ричард не разделял этой уверенности, но не мог отпустить беззащитную девушку одну в столь опасное путешествие и решил сопровождать ее. Почему бы и нет? Торопиться ему некуда, тем более что жениться на Мелиссе он как-то не очень хочет...</t>
        </is>
      </c>
      <c r="S4866" s="26">
        <f>HYPERLINK("http://www.cnpol.ru/covers/22137.jpg","фото на сайте")</f>
        <v/>
      </c>
    </row>
    <row r="4867" ht="50.1" customHeight="1" s="3">
      <c r="A4867" s="23" t="inlineStr">
        <is>
          <t>Н</t>
        </is>
      </c>
      <c r="B4867" s="24" t="inlineStr">
        <is>
          <t>22087</t>
        </is>
      </c>
      <c r="C4867" s="23" t="inlineStr">
        <is>
          <t>ХЕЙЕР</t>
        </is>
      </c>
      <c r="D4867" s="23" t="inlineStr">
        <is>
          <t>Хейер Д.</t>
        </is>
      </c>
      <c r="E4867" s="23" t="inlineStr">
        <is>
          <t>Кузина Кейт</t>
        </is>
      </c>
      <c r="F4867" s="23" t="inlineStr">
        <is>
          <t>        </t>
        </is>
      </c>
      <c r="G4867" s="27" t="n">
        <v>1009</v>
      </c>
      <c r="H4867" s="23" t="n">
        <v>10</v>
      </c>
      <c r="I4867" s="23" t="n">
        <v>10</v>
      </c>
      <c r="J4867" s="23" t="inlineStr">
        <is>
          <t>978-5-9524-6651-7</t>
        </is>
      </c>
      <c r="K4867" s="23" t="inlineStr">
        <is>
          <t>84x108 1/32</t>
        </is>
      </c>
      <c r="L4867" s="23" t="inlineStr">
        <is>
          <t>тв</t>
        </is>
      </c>
      <c r="M4867" s="23" t="n">
        <v>319</v>
      </c>
      <c r="N4867" s="23" t="n">
        <v>2026</v>
      </c>
      <c r="O4867" s="23" t="n">
        <v>373</v>
      </c>
      <c r="P4867" s="23" t="n"/>
      <c r="Q4867" s="23" t="n"/>
      <c r="R4867" s="25" t="inlineStr">
        <is>
          <t>После смерти отца Кейт осталась без средств к существованию и вынужденно поселилась у своей няни. Опасаясь за судьбу любимицы, няня обратилась к леди Минерве Брум — богатой дальней родственнице Кейт. Минерва пригласила девушку в свою семью, в поместье Стэплвуд. Живя в роскоши, осыпанная подарками, девушка не знала, как благодарить тетушку, но вскоре обнаружила, что щедрость Минервы не бескорыстна, — Кейт надлежит развлекать ее сына Торквила, красивого, но взбалмошного молодого человека. Подавленная скукой, царящей в поместье, Кейт радуется неожиданному появлению кузена Филипа, весьма интересного, достойного молодого мужчины, и влюбляется в него, не надеясь на счастливое будущее...</t>
        </is>
      </c>
      <c r="S4867" s="26">
        <f>HYPERLINK("http://www.cnpol.ru/covers/22087.jpg","фото на сайте")</f>
        <v/>
      </c>
    </row>
    <row r="4868" ht="50.1" customHeight="1" s="3">
      <c r="A4868" s="23" t="inlineStr">
        <is>
          <t>Н</t>
        </is>
      </c>
      <c r="B4868" s="24" t="inlineStr">
        <is>
          <t>22207</t>
        </is>
      </c>
      <c r="C4868" s="23" t="inlineStr">
        <is>
          <t>ХЕЙЕР</t>
        </is>
      </c>
      <c r="D4868" s="23" t="inlineStr">
        <is>
          <t>Хейер Д.</t>
        </is>
      </c>
      <c r="E4868" s="23" t="inlineStr">
        <is>
          <t>Маскарад</t>
        </is>
      </c>
      <c r="F4868" s="23" t="inlineStr">
        <is>
          <t>        </t>
        </is>
      </c>
      <c r="G4868" s="23" t="n">
        <v>936</v>
      </c>
      <c r="H4868" s="23" t="n">
        <v>10</v>
      </c>
      <c r="I4868" s="23" t="n">
        <v>10</v>
      </c>
      <c r="J4868" s="23" t="inlineStr">
        <is>
          <t>978-5-9524-6711-8</t>
        </is>
      </c>
      <c r="K4868" s="23" t="inlineStr">
        <is>
          <t>84x108 1/32</t>
        </is>
      </c>
      <c r="L4868" s="23" t="inlineStr">
        <is>
          <t>тв</t>
        </is>
      </c>
      <c r="M4868" s="23" t="n">
        <v>287</v>
      </c>
      <c r="N4868" s="23" t="n">
        <v>2026</v>
      </c>
      <c r="O4868" s="23" t="n">
        <v>348</v>
      </c>
      <c r="P4868" s="23" t="n"/>
      <c r="Q4868" s="23" t="n"/>
      <c r="R4868" s="25" t="inlineStr">
        <is>
          <t>Брат и сестра, Робин и Пруденс, втянуты в опасную игру своим сумасбродным отцом, который пообещал им богатство и почести. Избегая разоблачения, они меняют не только имена, но и облик: сестра — высокая и статная — становится Питером, а не слишком крупный Робин — сестрой Кейт. Молодые люди погружаются в водоворот светских интриг и невероятных приключений. Оба отличаются благородством, удивительной изобретательностью и отвагой, и тот и другой красивы и обаятельны, каждому избранная дорога сулит любовь и удачу...</t>
        </is>
      </c>
      <c r="S4868" s="26">
        <f>HYPERLINK("http://www.cnpol.ru/covers/22207.jpg","фото на сайте")</f>
        <v/>
      </c>
    </row>
    <row r="4869" ht="50.1" customHeight="1" s="3">
      <c r="A4869" s="23" t="inlineStr">
        <is>
          <t>Н</t>
        </is>
      </c>
      <c r="B4869" s="24" t="inlineStr">
        <is>
          <t>21983</t>
        </is>
      </c>
      <c r="C4869" s="23" t="inlineStr">
        <is>
          <t>ХЕЙЕР</t>
        </is>
      </c>
      <c r="D4869" s="23" t="inlineStr">
        <is>
          <t>Хейер Д.</t>
        </is>
      </c>
      <c r="E4869" s="23" t="inlineStr">
        <is>
          <t>Тени прошлого</t>
        </is>
      </c>
      <c r="F4869" s="23" t="inlineStr">
        <is>
          <t>        </t>
        </is>
      </c>
      <c r="G4869" s="27" t="n">
        <v>1009</v>
      </c>
      <c r="H4869" s="23" t="n">
        <v>10</v>
      </c>
      <c r="I4869" s="23" t="n">
        <v>10</v>
      </c>
      <c r="J4869" s="23" t="inlineStr">
        <is>
          <t>978-5-9524-6583-1</t>
        </is>
      </c>
      <c r="K4869" s="23" t="inlineStr">
        <is>
          <t>84x108 1/32</t>
        </is>
      </c>
      <c r="L4869" s="23" t="inlineStr">
        <is>
          <t>тв</t>
        </is>
      </c>
      <c r="M4869" s="23" t="n">
        <v>319</v>
      </c>
      <c r="N4869" s="23" t="n">
        <v>2026</v>
      </c>
      <c r="O4869" s="23" t="n">
        <v>370</v>
      </c>
      <c r="P4869" s="23" t="n"/>
      <c r="Q4869" s="23" t="n"/>
      <c r="R4869" s="25" t="inlineStr">
        <is>
          <t>Великолепный герцог Джастин Эвон, по прозвищу Сатана, вырывает из рук жестокосердных «родственников» переодетую мальчиком очаровательную девушку Леони. Живо заинтересовавшись ее судьбой и заметив, что она поразительно похожа на известную особу, герцог затевает интригу, в результате которой рассчитывает отомстить давнему обидчику и спасти прелестную Леони от несчастной доли...</t>
        </is>
      </c>
      <c r="S4869" s="26">
        <f>HYPERLINK("http://www.cnpol.ru/covers/21983.jpg","фото на сайте")</f>
        <v/>
      </c>
    </row>
    <row r="4870" ht="50.1" customHeight="1" s="3">
      <c r="A4870" s="23" t="inlineStr">
        <is>
          <t>Н</t>
        </is>
      </c>
      <c r="B4870" s="24" t="inlineStr">
        <is>
          <t>21945</t>
        </is>
      </c>
      <c r="C4870" s="23" t="inlineStr">
        <is>
          <t>ХЕЙЕР</t>
        </is>
      </c>
      <c r="D4870" s="23" t="inlineStr">
        <is>
          <t>Хейер Д.</t>
        </is>
      </c>
      <c r="E4870" s="23" t="inlineStr">
        <is>
          <t>Фредерика</t>
        </is>
      </c>
      <c r="F4870" s="23" t="inlineStr">
        <is>
          <t>        </t>
        </is>
      </c>
      <c r="G4870" s="27" t="n">
        <v>1218</v>
      </c>
      <c r="H4870" s="23" t="n">
        <v>10</v>
      </c>
      <c r="I4870" s="23" t="n">
        <v>6</v>
      </c>
      <c r="J4870" s="23" t="inlineStr">
        <is>
          <t>978-5-9524-6553-4</t>
        </is>
      </c>
      <c r="K4870" s="23" t="inlineStr">
        <is>
          <t>84x108 1/32</t>
        </is>
      </c>
      <c r="L4870" s="23" t="inlineStr">
        <is>
          <t>тв</t>
        </is>
      </c>
      <c r="M4870" s="23" t="n">
        <v>430</v>
      </c>
      <c r="N4870" s="23" t="n">
        <v>2026</v>
      </c>
      <c r="O4870" s="23" t="n">
        <v>460</v>
      </c>
      <c r="P4870" s="23" t="n"/>
      <c r="Q4870" s="23" t="n"/>
      <c r="R4870" s="25" t="inlineStr">
        <is>
          <t>Маркиз Вернон Элверстоук не привык потакать прихотям  родни, лишь Фредерике Мерривилл, дочери своего дальнего родственника, он не смог отказать. Высокомерный маркиз с неохотой соглашается выполнить просьбу девушки ввести ее младшую сестру в высшее общество. Но вскоре замечает, что его влечет к Фредерике — этой провинциалке, так не похожей на привычных ему светских львиц...</t>
        </is>
      </c>
      <c r="S4870" s="26">
        <f>HYPERLINK("http://www.cnpol.ru/covers/21945.jpg","фото на сайте")</f>
        <v/>
      </c>
    </row>
    <row r="4871" ht="50.1" customHeight="1" s="3">
      <c r="A4871" s="23" t="n"/>
      <c r="B4871" s="24" t="inlineStr">
        <is>
          <t>4169</t>
        </is>
      </c>
      <c r="C4871" s="23" t="inlineStr">
        <is>
          <t>ХИГИР</t>
        </is>
      </c>
      <c r="D4871" s="23" t="inlineStr">
        <is>
          <t>Хигир</t>
        </is>
      </c>
      <c r="E4871" s="23" t="inlineStr">
        <is>
          <t>Имя ключ к таланту</t>
        </is>
      </c>
      <c r="F4871" s="23" t="inlineStr">
        <is>
          <t>        </t>
        </is>
      </c>
      <c r="G4871" s="23" t="n">
        <v>88</v>
      </c>
      <c r="H4871" s="23" t="n">
        <v>10</v>
      </c>
      <c r="I4871" s="23" t="n">
        <v>20</v>
      </c>
      <c r="J4871" s="23" t="inlineStr">
        <is>
          <t>5-9524-0552-5</t>
        </is>
      </c>
      <c r="K4871" s="23" t="inlineStr">
        <is>
          <t>84x108 1/32 (обл)</t>
        </is>
      </c>
      <c r="L4871" s="23" t="inlineStr">
        <is>
          <t>мяг</t>
        </is>
      </c>
      <c r="M4871" s="23" t="inlineStr">
        <is>
          <t>    </t>
        </is>
      </c>
      <c r="N4871" s="23" t="inlineStr">
        <is>
          <t>    </t>
        </is>
      </c>
      <c r="O4871" s="23" t="inlineStr">
        <is>
          <t>     </t>
        </is>
      </c>
      <c r="P4871" s="23" t="n"/>
      <c r="Q4871" s="23" t="n"/>
      <c r="R4871" s="25" t="inlineStr">
        <is>
          <t>В книге дано около 200 психологических портретов людей, которых знают все. Благодаря уникальной авторской методике определения характера, склонностей человека по его имени, отчеству, фамилии и времени рождения, читатели смогут не только узнать много интересного о своих кумирах, но и понять, за счет каких личных качеств они добились выдающихся результатов.</t>
        </is>
      </c>
      <c r="S4871" s="26">
        <f>HYPERLINK("http://www.cnpol.ru/covers/4169.jpg","фото на сайте")</f>
        <v/>
      </c>
    </row>
    <row r="4872" ht="50.1" customHeight="1" s="3">
      <c r="A4872" s="23" t="n"/>
      <c r="B4872" s="24" t="inlineStr">
        <is>
          <t>5166</t>
        </is>
      </c>
      <c r="C4872" s="23" t="inlineStr">
        <is>
          <t>ХИГИР</t>
        </is>
      </c>
      <c r="D4872" s="23" t="inlineStr">
        <is>
          <t>Хигир</t>
        </is>
      </c>
      <c r="E4872" s="23" t="inlineStr">
        <is>
          <t>Имя ключ к таланту</t>
        </is>
      </c>
      <c r="F4872" s="23" t="inlineStr">
        <is>
          <t>        </t>
        </is>
      </c>
      <c r="G4872" s="23" t="n">
        <v>97</v>
      </c>
      <c r="H4872" s="23" t="n">
        <v>10</v>
      </c>
      <c r="I4872" s="23" t="n">
        <v>20</v>
      </c>
      <c r="J4872" s="23" t="inlineStr">
        <is>
          <t>5-9524-0552-5</t>
        </is>
      </c>
      <c r="K4872" s="23" t="inlineStr">
        <is>
          <t>84x108 1/32 (обл)</t>
        </is>
      </c>
      <c r="L4872" s="23" t="inlineStr">
        <is>
          <t>мяг</t>
        </is>
      </c>
      <c r="M4872" s="23" t="n">
        <v>350</v>
      </c>
      <c r="N4872" s="23" t="n">
        <v>2004</v>
      </c>
      <c r="O4872" s="23" t="inlineStr">
        <is>
          <t>     </t>
        </is>
      </c>
      <c r="P4872" s="23" t="n"/>
      <c r="Q4872" s="23" t="n"/>
      <c r="R4872" s="25" t="inlineStr">
        <is>
          <t>В книге дано около 200 психологических портретов людей, которых знают все. Благодаря уникальной авторской методике определения характера, склонностей человека по его имени, отчеству, фамилии и времени рождения, читатели смогут не только узнать много интересного о своих кумирах, но и понять, за счет каких личных качеств они добились выдающихся результатов.</t>
        </is>
      </c>
      <c r="S4872" s="26">
        <f>HYPERLINK("http://www.cnpol.ru/covers/5166.jpg","фото на сайте")</f>
        <v/>
      </c>
    </row>
    <row r="4873" ht="50.1" customHeight="1" s="3">
      <c r="A4873" s="23" t="n"/>
      <c r="B4873" s="24" t="inlineStr">
        <is>
          <t>5338</t>
        </is>
      </c>
      <c r="C4873" s="23" t="inlineStr">
        <is>
          <t>ХИГИР</t>
        </is>
      </c>
      <c r="D4873" s="23" t="inlineStr">
        <is>
          <t>Хигир</t>
        </is>
      </c>
      <c r="E4873" s="23" t="inlineStr">
        <is>
          <t>Имя ключ к таланту</t>
        </is>
      </c>
      <c r="F4873" s="23" t="inlineStr">
        <is>
          <t>        </t>
        </is>
      </c>
      <c r="G4873" s="23" t="n">
        <v>150</v>
      </c>
      <c r="H4873" s="23" t="n">
        <v>10</v>
      </c>
      <c r="I4873" s="23" t="n">
        <v>20</v>
      </c>
      <c r="J4873" s="23" t="inlineStr">
        <is>
          <t>5-9524-0552-5</t>
        </is>
      </c>
      <c r="K4873" s="23" t="inlineStr">
        <is>
          <t>84x108 1/32 (обл)</t>
        </is>
      </c>
      <c r="L4873" s="23" t="inlineStr">
        <is>
          <t>мяг</t>
        </is>
      </c>
      <c r="M4873" s="23" t="n">
        <v>350</v>
      </c>
      <c r="N4873" s="23" t="n">
        <v>2004</v>
      </c>
      <c r="O4873" s="23" t="n">
        <v>220</v>
      </c>
      <c r="P4873" s="23" t="n"/>
      <c r="Q4873" s="23" t="n"/>
      <c r="R4873" s="25" t="inlineStr">
        <is>
          <t>В книге дано около 200 психологических портретов людей, которых знают все. Благодаря уникальной авторской методике определения характера, склонностей человека по его имени, отчеству, фамилии и времени рождения, читатели смогут не только узнать много интересного о своих кумирах, но и понять, за счет каких личных качеств они добились выдающихся результатов.</t>
        </is>
      </c>
      <c r="S4873" s="26">
        <f>HYPERLINK("http://www.cnpol.ru/covers/5338.jpg","фото на сайте")</f>
        <v/>
      </c>
    </row>
    <row r="4874" ht="50.1" customHeight="1" s="3">
      <c r="A4874" s="23" t="n"/>
      <c r="B4874" s="24" t="inlineStr">
        <is>
          <t>19461</t>
        </is>
      </c>
      <c r="C4874" s="23" t="inlineStr">
        <is>
          <t>ХИРОЛОГИЯ</t>
        </is>
      </c>
      <c r="D4874" s="23" t="inlineStr">
        <is>
          <t>Бойцова Г.</t>
        </is>
      </c>
      <c r="E4874" s="23" t="inlineStr">
        <is>
          <t>Исцеляющая хирология. Живой дневник хиролога</t>
        </is>
      </c>
      <c r="F4874" s="23" t="inlineStr">
        <is>
          <t>        </t>
        </is>
      </c>
      <c r="G4874" s="23" t="n">
        <v>468</v>
      </c>
      <c r="H4874" s="23" t="n">
        <v>10</v>
      </c>
      <c r="I4874" s="23" t="n">
        <v>12</v>
      </c>
      <c r="J4874" s="23" t="inlineStr">
        <is>
          <t>978-5-227-09249-6</t>
        </is>
      </c>
      <c r="K4874" s="23" t="inlineStr">
        <is>
          <t>84x108 1/32</t>
        </is>
      </c>
      <c r="L4874" s="23" t="inlineStr">
        <is>
          <t>тв</t>
        </is>
      </c>
      <c r="M4874" s="23" t="n">
        <v>288</v>
      </c>
      <c r="N4874" s="23" t="n">
        <v>2021</v>
      </c>
      <c r="O4874" s="23" t="n">
        <v>302</v>
      </c>
      <c r="P4874" s="23" t="n"/>
      <c r="Q4874" s="23" t="n"/>
      <c r="R4874" s="25" t="inlineStr">
        <is>
          <t>Известному хирологу Галине Бойцовой (Даре) есть чем поделиться с миром и читателями. Через нее прошли тысячи клиентов, каждый со своей непростой судьбой, но такой по­человечески понятной ситуацией. Галина помогает всем и находит особый подход к любому обратившемуся к ней за поддержкой и советом. Глядя на то, как работает мастер, читая живые и правдивые истории людей, которым посчастливилось встретиться с Галиной, понимаешь, что есть чему поучиться у автора книги. Она не предлагает готовые решения: волшебной палочки не существует, но существует упорная и плодотворная работа над собой, которая обязательно приведет к результату. Проходя вместе с автором и ее клиентами уроки жизни, приручая своих «драконов», осознавая свою миссию на этой планете, понимая, как исправить программу своего рода, мы сами становимся человечнее и учимся любить, несмотря ни на что._x000D_
Книга подойдет самому широкому кругу заинтересованных читателей, начиная с практикующих хирологов и заканчивая людьми, которые никогда не слышали о хирологии, но хотят взять судьбу в свои руки.</t>
        </is>
      </c>
      <c r="S4874" s="26">
        <f>HYPERLINK("http://www.cnpol.ru/covers/19461.jpg","фото на сайте")</f>
        <v/>
      </c>
    </row>
    <row r="4875" ht="50.1" customHeight="1" s="3">
      <c r="A4875" s="23" t="n"/>
      <c r="B4875" s="24" t="inlineStr">
        <is>
          <t>19808</t>
        </is>
      </c>
      <c r="C4875" s="23" t="inlineStr">
        <is>
          <t>ХИРОЛОГИЯ</t>
        </is>
      </c>
      <c r="D4875" s="23" t="inlineStr">
        <is>
          <t>Бойцова Г.</t>
        </is>
      </c>
      <c r="E4875" s="23" t="inlineStr">
        <is>
          <t>Ментальный ЗОЖ. Хирология для исцеления души и судьбы</t>
        </is>
      </c>
      <c r="F4875" s="23" t="inlineStr">
        <is>
          <t>        </t>
        </is>
      </c>
      <c r="G4875" s="23" t="n">
        <v>468</v>
      </c>
      <c r="H4875" s="23" t="n">
        <v>10</v>
      </c>
      <c r="I4875" s="23" t="n">
        <v>16</v>
      </c>
      <c r="J4875" s="23" t="inlineStr">
        <is>
          <t>978-5-227-09535-0</t>
        </is>
      </c>
      <c r="K4875" s="23" t="inlineStr">
        <is>
          <t>84x108 1/32</t>
        </is>
      </c>
      <c r="L4875" s="23" t="inlineStr">
        <is>
          <t>тв</t>
        </is>
      </c>
      <c r="M4875" s="23" t="n">
        <v>258</v>
      </c>
      <c r="N4875" s="23" t="n">
        <v>2021</v>
      </c>
      <c r="O4875" s="23" t="n">
        <v>330</v>
      </c>
      <c r="P4875" s="23" t="n"/>
      <c r="Q4875" s="23" t="n"/>
      <c r="R4875" s="25" t="n"/>
      <c r="S4875" s="26">
        <f>HYPERLINK("http://www.cnpol.ru/covers/19808.jpg","фото на сайте")</f>
        <v/>
      </c>
    </row>
    <row r="4876" ht="50.1" customHeight="1" s="3">
      <c r="A4876" s="23" t="inlineStr">
        <is>
          <t>Н</t>
        </is>
      </c>
      <c r="B4876" s="24" t="inlineStr">
        <is>
          <t>22008</t>
        </is>
      </c>
      <c r="C4876" s="23" t="inlineStr">
        <is>
          <t>ХИРОЛОГИЯ</t>
        </is>
      </c>
      <c r="D4876" s="23" t="inlineStr">
        <is>
          <t>Нестлер Ю.</t>
        </is>
      </c>
      <c r="E4876" s="23" t="inlineStr">
        <is>
          <t>Полный курс хиромантии. Раскрываем тайны своей судьбы по руке</t>
        </is>
      </c>
      <c r="F4876" s="23" t="inlineStr">
        <is>
          <t>        </t>
        </is>
      </c>
      <c r="G4876" s="23" t="n">
        <v>835</v>
      </c>
      <c r="H4876" s="23" t="n">
        <v>10</v>
      </c>
      <c r="I4876" s="23" t="n">
        <v>10</v>
      </c>
      <c r="J4876" s="23" t="inlineStr">
        <is>
          <t>978-5-227-11265-1</t>
        </is>
      </c>
      <c r="K4876" s="23" t="inlineStr">
        <is>
          <t>84x108 1/32</t>
        </is>
      </c>
      <c r="L4876" s="23" t="inlineStr">
        <is>
          <t>тв</t>
        </is>
      </c>
      <c r="M4876" s="23" t="n">
        <v>223</v>
      </c>
      <c r="N4876" s="23" t="n">
        <v>2026</v>
      </c>
      <c r="O4876" s="23" t="n">
        <v>291</v>
      </c>
      <c r="P4876" s="23" t="n"/>
      <c r="Q4876" s="23" t="n"/>
      <c r="R4876" s="25" t="inlineStr">
        <is>
          <t>"Книга профессора Ю. Нестлера представляет собой полный учебный курс хиромантии – одной из древнейших систем гадания об индивидуальных особенностях человека, чертах его характера, о пережитых им событиях, и его будущем по форме руки, линиям и холмам на ладони. Автор подробно объясняет значение формы руки и пальцев, объясняет смысл каждой линии и то, каким образом он меняется в сочетании с другими линиями. Нестлер дает уверенное обоснование на право существования искусства чтения по руке, основанное на наблюдениях человечества с древнейших времен до наших дней и предлагает недоверчивым людям воспринимать хиромантию как приятное и невероятно увлекательное занятие.
Повествование сопровождается подробными рисунками."</t>
        </is>
      </c>
      <c r="S4876" s="26">
        <f>HYPERLINK("http://www.cnpol.ru/covers/22008.jpg","фото на сайте")</f>
        <v/>
      </c>
    </row>
    <row r="4877" ht="50.1" customHeight="1" s="3">
      <c r="A4877" s="23" t="n"/>
      <c r="B4877" s="24" t="inlineStr">
        <is>
          <t>17593</t>
        </is>
      </c>
      <c r="C4877" s="23" t="inlineStr">
        <is>
          <t>ХИРОЛОГИЯ</t>
        </is>
      </c>
      <c r="D4877" s="23" t="inlineStr">
        <is>
          <t>Бойцова Г.</t>
        </is>
      </c>
      <c r="E4877" s="23" t="inlineStr">
        <is>
          <t>Рука в руке. Кинестетическая коррекционная хирология. Знания, которые помогут изменить судьбу</t>
        </is>
      </c>
      <c r="F4877" s="23" t="inlineStr">
        <is>
          <t>        </t>
        </is>
      </c>
      <c r="G4877" s="23" t="n">
        <v>468</v>
      </c>
      <c r="H4877" s="23" t="n">
        <v>10</v>
      </c>
      <c r="I4877" s="23" t="n">
        <v>14</v>
      </c>
      <c r="J4877" s="23" t="inlineStr">
        <is>
          <t>978-5-227-07370-9</t>
        </is>
      </c>
      <c r="K4877" s="23" t="inlineStr">
        <is>
          <t>84x108 1/32</t>
        </is>
      </c>
      <c r="L4877" s="23" t="inlineStr">
        <is>
          <t>тв</t>
        </is>
      </c>
      <c r="M4877" s="23" t="n">
        <v>320</v>
      </c>
      <c r="N4877" s="23" t="n">
        <v>2017</v>
      </c>
      <c r="O4877" s="23" t="n">
        <v>274</v>
      </c>
      <c r="P4877" s="23" t="n"/>
      <c r="Q4877" s="23" t="n"/>
      <c r="R4877" s="25" t="n"/>
      <c r="S4877" s="26">
        <f>HYPERLINK("http://www.cnpol.ru/covers/17593.jpg","фото на сайте")</f>
        <v/>
      </c>
    </row>
    <row r="4878" ht="50.1" customHeight="1" s="3">
      <c r="A4878" s="23" t="inlineStr">
        <is>
          <t>Д</t>
        </is>
      </c>
      <c r="B4878" s="24" t="inlineStr">
        <is>
          <t>21907</t>
        </is>
      </c>
      <c r="C4878" s="23" t="inlineStr">
        <is>
          <t>ХИРОЛОГИЯ</t>
        </is>
      </c>
      <c r="D4878" s="23" t="inlineStr">
        <is>
          <t>Дебарроль А.</t>
        </is>
      </c>
      <c r="E4878" s="23" t="inlineStr">
        <is>
          <t>Тайны руки. Как узнать жизнь, характер и будущее по линиям на ладони</t>
        </is>
      </c>
      <c r="F4878" s="23" t="inlineStr">
        <is>
          <t>        </t>
        </is>
      </c>
      <c r="G4878" s="27" t="n">
        <v>1123</v>
      </c>
      <c r="H4878" s="23" t="n">
        <v>10</v>
      </c>
      <c r="I4878" s="23" t="n">
        <v>5</v>
      </c>
      <c r="J4878" s="23" t="inlineStr">
        <is>
          <t>978-5-227-11204-0</t>
        </is>
      </c>
      <c r="K4878" s="23" t="inlineStr">
        <is>
          <t>70x100 1/32</t>
        </is>
      </c>
      <c r="L4878" s="23" t="inlineStr">
        <is>
          <t>тв</t>
        </is>
      </c>
      <c r="M4878" s="23" t="n">
        <v>543</v>
      </c>
      <c r="N4878" s="23" t="n">
        <v>2026</v>
      </c>
      <c r="O4878" s="23" t="n">
        <v>408</v>
      </c>
      <c r="P4878" s="23" t="n"/>
      <c r="Q4878" s="23" t="n"/>
      <c r="R4878" s="25" t="inlineStr">
        <is>
          <t>"Перед вами основательный труд известного французского хироманта — о великой тайне, которая с рождения написана на ладонях наших рук.
Вы научитесь с легкостью ученого-френолога считывать со своей ладони ту информацию, которая «написана» на ней самой Природой. Вы получите множество «ключей» от давно терзающих вас, казалось бы, неразрешимых вопросов и ситуаций. Вы узнаете об особенностях своего характера и поведения; о подстерегающих вас болезнях; о своих истинных желаниях и предназначении."</t>
        </is>
      </c>
      <c r="S4878" s="26">
        <f>HYPERLINK("http://www.cnpol.ru/covers/21907.jpg","фото на сайте")</f>
        <v/>
      </c>
    </row>
    <row r="4879" ht="50.1" customHeight="1" s="3">
      <c r="A4879" s="23" t="inlineStr">
        <is>
          <t>Н</t>
        </is>
      </c>
      <c r="B4879" s="24" t="inlineStr">
        <is>
          <t>21823</t>
        </is>
      </c>
      <c r="C4879" s="23" t="inlineStr">
        <is>
          <t>ХОЗЯЙКА</t>
        </is>
      </c>
      <c r="D4879" s="23" t="inlineStr">
        <is>
          <t>Пигулевская И.С.</t>
        </is>
      </c>
      <c r="E4879" s="23" t="inlineStr">
        <is>
          <t>Винодельня на вашей кухне. Десертные, креплёные, лечебные вина, самогон, сидр, старинные рецепты</t>
        </is>
      </c>
      <c r="F4879" s="23" t="inlineStr">
        <is>
          <t>        </t>
        </is>
      </c>
      <c r="G4879" s="23" t="n">
        <v>301</v>
      </c>
      <c r="H4879" s="23" t="n">
        <v>10</v>
      </c>
      <c r="I4879" s="23" t="n">
        <v>10</v>
      </c>
      <c r="J4879" s="23" t="inlineStr">
        <is>
          <t>978-5-227-11066-4</t>
        </is>
      </c>
      <c r="K4879" s="23" t="inlineStr">
        <is>
          <t>84x108 1/32</t>
        </is>
      </c>
      <c r="L4879" s="23" t="inlineStr">
        <is>
          <t>мяг</t>
        </is>
      </c>
      <c r="M4879" s="23" t="n">
        <v>255</v>
      </c>
      <c r="N4879" s="23" t="n">
        <v>2025</v>
      </c>
      <c r="O4879" s="23" t="n">
        <v>191</v>
      </c>
      <c r="P4879" s="23" t="n"/>
      <c r="Q4879" s="23" t="n"/>
      <c r="R4879" s="25" t="inlineStr">
        <is>
          <t>Хотите удивить друзей своей сноровкой и умением вести хозяйство? Любите весёлое застолье с доброй выпивкой и хорошей закуской? Тогда вам наверняка пригодится наша книга. Автор откроет вам секреты изготовления домашнего алкоголя. Вы найдёте здесь рецепты самогона из самого разнообразного сырья: картофеля, яблок, свёклы, пшеницы, рябины, варенья и даже моркови… Узнаете всё о перегонке, очистке, ароматизации и придании цвета готовому продукту и то, как приготовить на основе домашней водки наливки, настойки, ликёры, домашний коньяк, кальвадос и даже абсент. Получите рецепты: пива, кваса, медовых напитков, игристых вин, сидров, крюшонов и даже лекарственных вин!</t>
        </is>
      </c>
      <c r="S4879" s="26">
        <f>HYPERLINK("http://www.cnpol.ru/covers/21823.jpg","фото на сайте")</f>
        <v/>
      </c>
    </row>
    <row r="4880" ht="50.1" customHeight="1" s="3">
      <c r="A4880" s="23" t="n"/>
      <c r="B4880" s="24" t="inlineStr">
        <is>
          <t>18718</t>
        </is>
      </c>
      <c r="C4880" s="23" t="inlineStr">
        <is>
          <t>ХОЗЯЙКА</t>
        </is>
      </c>
      <c r="D4880" s="23" t="inlineStr">
        <is>
          <t>Пигулевская И.С.</t>
        </is>
      </c>
      <c r="E4880" s="23" t="inlineStr">
        <is>
          <t>Косметический салон на вашей кухне</t>
        </is>
      </c>
      <c r="F4880" s="23" t="inlineStr">
        <is>
          <t>        </t>
        </is>
      </c>
      <c r="G4880" s="23" t="n">
        <v>301</v>
      </c>
      <c r="H4880" s="23" t="n">
        <v>10</v>
      </c>
      <c r="I4880" s="23" t="n">
        <v>12</v>
      </c>
      <c r="J4880" s="23" t="inlineStr">
        <is>
          <t>978-5-227-08620-4</t>
        </is>
      </c>
      <c r="K4880" s="23" t="inlineStr">
        <is>
          <t>84x108 1/32 (обл)</t>
        </is>
      </c>
      <c r="L4880" s="23" t="inlineStr">
        <is>
          <t>мяг</t>
        </is>
      </c>
      <c r="M4880" s="23" t="n">
        <v>320</v>
      </c>
      <c r="N4880" s="23" t="n">
        <v>2019</v>
      </c>
      <c r="O4880" s="23" t="n">
        <v>186</v>
      </c>
      <c r="P4880" s="23" t="n"/>
      <c r="Q4880" s="23" t="n"/>
      <c r="R4880" s="25" t="inlineStr">
        <is>
          <t>Хорошая косметика стоит дорого, и не каждая дама может себе её позволить… А быть красивыми хотят все, независимо от возраста и толщины кошелька! Что делать? Использовать подручные средства, ведь оказывается, на нашей кухне есть все для вашей молодости и красоты, просто откройте кухонный шкаф или холодильник и извлеките из него необходимое. Молоко сделает вашу кожу бархатной, как у царицы Клеопатры. Черные сухари придадут вашим волосам объем, а уксус — блеск. Морковь работает лучше автозагара. Кофейная гуща — великолепный скраб. А копеечные соль и сода вообще творят чудеса…</t>
        </is>
      </c>
      <c r="S4880" s="26">
        <f>HYPERLINK("http://www.cnpol.ru/covers/18718.jpg","фото на сайте")</f>
        <v/>
      </c>
    </row>
    <row r="4881" ht="50.1" customHeight="1" s="3">
      <c r="A4881" s="23" t="n"/>
      <c r="B4881" s="24" t="inlineStr">
        <is>
          <t>18875</t>
        </is>
      </c>
      <c r="C4881" s="23" t="inlineStr">
        <is>
          <t>ХОЗЯЙКА</t>
        </is>
      </c>
      <c r="D4881" s="23" t="inlineStr">
        <is>
          <t>Пигулевская И.С.</t>
        </is>
      </c>
      <c r="E4881" s="23" t="inlineStr">
        <is>
          <t>Лечебные комнатные растения. ТОП­20 лекарей с вашего подоконника</t>
        </is>
      </c>
      <c r="F4881" s="23" t="inlineStr">
        <is>
          <t>        </t>
        </is>
      </c>
      <c r="G4881" s="23" t="n">
        <v>301</v>
      </c>
      <c r="H4881" s="23" t="n">
        <v>10</v>
      </c>
      <c r="I4881" s="23" t="n">
        <v>12</v>
      </c>
      <c r="J4881" s="23" t="inlineStr">
        <is>
          <t>978-5-227-08817-8</t>
        </is>
      </c>
      <c r="K4881" s="23" t="inlineStr">
        <is>
          <t>84x108 1/32 (обл)</t>
        </is>
      </c>
      <c r="L4881" s="23" t="inlineStr">
        <is>
          <t>мяг</t>
        </is>
      </c>
      <c r="M4881" s="23" t="n">
        <v>320</v>
      </c>
      <c r="N4881" s="23" t="n">
        <v>2019</v>
      </c>
      <c r="O4881" s="23" t="n">
        <v>220</v>
      </c>
      <c r="P4881" s="23" t="n"/>
      <c r="Q4881" s="23" t="n"/>
      <c r="R4881" s="25" t="inlineStr">
        <is>
          <t>Практически в каждом доме или офисе есть комнатные растения. Они очищают воздух, радуют глаз и делают помещение уютнее. А ведь мало кто знает, что привычные толстянка или фикус могут существенно поправить наше здоровье!_x000D_
Мы предлагаем вашему вниманию подборку самых простых и популярных домашних цветов, которые помогут вам избавиться от множества болезней. Алоэ поможет при отите, гриппе и простуде, бальзамин очистит раны, бегония снизит давление, герань облегчит подагру, каланхоэ избавит от синусита, из плюща делают лекарство от бронхита, а сансевьера полезна при парадонтозе. На окне цветут фиалки? Отлично! Они избавят вас от мигрени.</t>
        </is>
      </c>
      <c r="S4881" s="26">
        <f>HYPERLINK("http://www.cnpol.ru/covers/18875.jpg","фото на сайте")</f>
        <v/>
      </c>
    </row>
    <row r="4882" ht="50.1" customHeight="1" s="3">
      <c r="A4882" s="23" t="n"/>
      <c r="B4882" s="24" t="inlineStr">
        <is>
          <t>18898</t>
        </is>
      </c>
      <c r="C4882" s="23" t="inlineStr">
        <is>
          <t>ХОЗЯЙКА</t>
        </is>
      </c>
      <c r="D4882" s="23" t="inlineStr">
        <is>
          <t>Пигулевская И.С.</t>
        </is>
      </c>
      <c r="E4882" s="23" t="inlineStr">
        <is>
          <t>Химчистка на вашей кухне. Все для идеальной чистоты дома. Моем, чистим, полируем своими руками</t>
        </is>
      </c>
      <c r="F4882" s="23" t="inlineStr">
        <is>
          <t>        </t>
        </is>
      </c>
      <c r="G4882" s="23" t="n">
        <v>301</v>
      </c>
      <c r="H4882" s="23" t="n">
        <v>10</v>
      </c>
      <c r="I4882" s="23" t="n">
        <v>16</v>
      </c>
      <c r="J4882" s="23" t="inlineStr">
        <is>
          <t>978-5-227-08845-1</t>
        </is>
      </c>
      <c r="K4882" s="23" t="inlineStr">
        <is>
          <t>84x108 1/32 (обл)</t>
        </is>
      </c>
      <c r="L4882" s="23" t="inlineStr">
        <is>
          <t>мяг</t>
        </is>
      </c>
      <c r="M4882" s="23" t="n">
        <v>256</v>
      </c>
      <c r="N4882" s="23" t="n">
        <v>2019</v>
      </c>
      <c r="O4882" s="23" t="n">
        <v>162</v>
      </c>
      <c r="P4882" s="23" t="n"/>
      <c r="Q4882" s="23" t="n"/>
      <c r="R4882" s="25" t="n"/>
      <c r="S4882" s="26">
        <f>HYPERLINK("http://www.cnpol.ru/covers/18898.jpg","фото на сайте")</f>
        <v/>
      </c>
    </row>
    <row r="4883" ht="50.1" customHeight="1" s="3">
      <c r="A4883" s="23" t="n"/>
      <c r="B4883" s="24" t="inlineStr">
        <is>
          <t>19414</t>
        </is>
      </c>
      <c r="C4883" s="23" t="inlineStr">
        <is>
          <t>ХХ ВЕК</t>
        </is>
      </c>
      <c r="D4883" s="23" t="inlineStr">
        <is>
          <t>Воротников В.И.</t>
        </is>
      </c>
      <c r="E4883" s="23" t="inlineStr">
        <is>
          <t>А было это так… Из дневника члена Политбюро ЦК КПСС</t>
        </is>
      </c>
      <c r="F4883" s="23" t="inlineStr">
        <is>
          <t>        </t>
        </is>
      </c>
      <c r="G4883" s="27" t="n">
        <v>1269</v>
      </c>
      <c r="H4883" s="23" t="n">
        <v>10</v>
      </c>
      <c r="I4883" s="23" t="n">
        <v>8</v>
      </c>
      <c r="J4883" s="23" t="inlineStr">
        <is>
          <t>978-5-227-07916-9</t>
        </is>
      </c>
      <c r="K4883" s="23" t="inlineStr">
        <is>
          <t>60x90 1/16</t>
        </is>
      </c>
      <c r="L4883" s="23" t="inlineStr">
        <is>
          <t>тв, супер</t>
        </is>
      </c>
      <c r="M4883" s="23" t="n">
        <v>592</v>
      </c>
      <c r="N4883" s="23" t="n">
        <v>2020</v>
      </c>
      <c r="O4883" s="23" t="n">
        <v>684</v>
      </c>
      <c r="P4883" s="23" t="n"/>
      <c r="Q4883" s="23" t="n"/>
      <c r="R4883" s="25" t="inlineStr">
        <is>
          <t>В книгу видного государственного и политического деятеля СССР и РСФСР вошли его дневниковые записи периода 1982—1999 гг., в которых раскрывается деятельность Политбюро ЦК КПСС, высшего государственного руководства, показывается механизм принятия решений, его закулисная сторона. _x000D_
Автор не ограничивается документальным изложением событий, а дает им оценку, делает выводы, анализирует, размышляет о судьбах страны._x000D_
Для широкого круга читателей.</t>
        </is>
      </c>
      <c r="S4883" s="26">
        <f>HYPERLINK("http://www.cnpol.ru/covers/19414.jpg","фото на сайте")</f>
        <v/>
      </c>
    </row>
    <row r="4884" ht="50.1" customHeight="1" s="3">
      <c r="A4884" s="23" t="n"/>
      <c r="B4884" s="24" t="inlineStr">
        <is>
          <t>16607</t>
        </is>
      </c>
      <c r="C4884" s="23" t="inlineStr">
        <is>
          <t>ХХ ВЕК</t>
        </is>
      </c>
      <c r="D4884" s="23" t="inlineStr">
        <is>
          <t>Фалин В.М.</t>
        </is>
      </c>
      <c r="E4884" s="23" t="inlineStr">
        <is>
          <t>Без скидок на обстоятельства</t>
        </is>
      </c>
      <c r="F4884" s="23" t="inlineStr">
        <is>
          <t>        </t>
        </is>
      </c>
      <c r="G4884" s="27" t="n">
        <v>1086</v>
      </c>
      <c r="H4884" s="23" t="n">
        <v>10</v>
      </c>
      <c r="I4884" s="23" t="n">
        <v>10</v>
      </c>
      <c r="J4884" s="23" t="inlineStr">
        <is>
          <t>978-5-227-06561-2</t>
        </is>
      </c>
      <c r="K4884" s="23" t="inlineStr">
        <is>
          <t>60x90 1/16</t>
        </is>
      </c>
      <c r="L4884" s="23" t="inlineStr">
        <is>
          <t>тв, супер</t>
        </is>
      </c>
      <c r="M4884" s="23" t="n">
        <v>448</v>
      </c>
      <c r="N4884" s="23" t="n">
        <v>2016</v>
      </c>
      <c r="O4884" s="23" t="n">
        <v>520</v>
      </c>
      <c r="P4884" s="23" t="n"/>
      <c r="Q4884" s="23" t="n"/>
      <c r="R4884" s="25" t="inlineStr">
        <is>
          <t>Центральное место в воспоминаниях В.М. Фалина отводится острейшей борьбе, которая шла вокруг одной из самых сложных послевоенных проблем — германского вопроса. Автор рассказывает также о принятии руководителями Советского государства решений по таким затрагивающим судьбы всеобщего мира вопросам, как войны в Корее и в Афганистане, урегулирование кубинского и ближневос­точных кризисов, события в Чехословакии в 1968 г., и многим другим, впервые открывая завесу секретных маневров ведущих советских и зарубежных деятелей.</t>
        </is>
      </c>
      <c r="S4884" s="26">
        <f>HYPERLINK("http://www.cnpol.ru/covers/16607.jpg","фото на сайте")</f>
        <v/>
      </c>
    </row>
    <row r="4885" ht="50.1" customHeight="1" s="3">
      <c r="A4885" s="23" t="inlineStr">
        <is>
          <t>Д</t>
        </is>
      </c>
      <c r="B4885" s="24" t="inlineStr">
        <is>
          <t>21713</t>
        </is>
      </c>
      <c r="C4885" s="23" t="inlineStr">
        <is>
          <t>ХХ ВЕК</t>
        </is>
      </c>
      <c r="D4885" s="23" t="inlineStr">
        <is>
          <t>Примаков Е.М.</t>
        </is>
      </c>
      <c r="E4885" s="23" t="inlineStr">
        <is>
          <t>Встречи на перекрестках</t>
        </is>
      </c>
      <c r="F4885" s="23" t="inlineStr">
        <is>
          <t>        </t>
        </is>
      </c>
      <c r="G4885" s="27" t="n">
        <v>1770</v>
      </c>
      <c r="H4885" s="23" t="n">
        <v>10</v>
      </c>
      <c r="I4885" s="23" t="n">
        <v>8</v>
      </c>
      <c r="J4885" s="23" t="inlineStr">
        <is>
          <t>978-5-227-07935-0</t>
        </is>
      </c>
      <c r="K4885" s="23" t="inlineStr">
        <is>
          <t>60x90 1/16</t>
        </is>
      </c>
      <c r="L4885" s="23" t="inlineStr">
        <is>
          <t>тв, супер</t>
        </is>
      </c>
      <c r="M4885" s="23" t="n">
        <v>607</v>
      </c>
      <c r="N4885" s="23" t="n">
        <v>2025</v>
      </c>
      <c r="O4885" s="23" t="n">
        <v>692</v>
      </c>
      <c r="P4885" s="23" t="n"/>
      <c r="Q4885" s="23" t="n"/>
      <c r="R4885" s="25" t="inlineStr">
        <is>
          <t>Евгений Примаков по роду своей деятельности был одним из самых секретных людей страны. Он начинал как журналист, был директором Института мировой экономики и международных отношений, который во времена СССР готовил закрытые доклады для руководства страны. На переломе эпохи от тоталитаризма к демократии был «брошен» М. Горбачевым и Б. Ельциным на Службу внешней разведки, а после — в Министерство иностранных дел. На должности премьер-министра был призван спасти страну после дефолта 1998 года. Все изложенное в этой книге Примаков пропустил через призму личного восприятия, заранее зная и не опасаясь того, что не все сказанное будет принято читателями.</t>
        </is>
      </c>
      <c r="S4885" s="26">
        <f>HYPERLINK("http://www.cnpol.ru/covers/21713.jpg","фото на сайте")</f>
        <v/>
      </c>
    </row>
    <row r="4886" ht="50.1" customHeight="1" s="3">
      <c r="A4886" s="23" t="n"/>
      <c r="B4886" s="24" t="inlineStr">
        <is>
          <t>16804</t>
        </is>
      </c>
      <c r="C4886" s="23" t="inlineStr">
        <is>
          <t>ХХ ВЕК</t>
        </is>
      </c>
      <c r="D4886" s="23" t="inlineStr">
        <is>
          <t>Шелест П.Е</t>
        </is>
      </c>
      <c r="E4886" s="23" t="inlineStr">
        <is>
          <t>Да не судимы будете</t>
        </is>
      </c>
      <c r="F4886" s="23" t="inlineStr">
        <is>
          <t>        </t>
        </is>
      </c>
      <c r="G4886" s="27" t="n">
        <v>1211</v>
      </c>
      <c r="H4886" s="23" t="n">
        <v>10</v>
      </c>
      <c r="I4886" s="23" t="n">
        <v>6</v>
      </c>
      <c r="J4886" s="23" t="inlineStr">
        <is>
          <t>978-5-227-06578-0</t>
        </is>
      </c>
      <c r="K4886" s="23" t="inlineStr">
        <is>
          <t>60x90 1/16</t>
        </is>
      </c>
      <c r="L4886" s="23" t="inlineStr">
        <is>
          <t>тв, супер</t>
        </is>
      </c>
      <c r="M4886" s="23" t="n">
        <v>592</v>
      </c>
      <c r="N4886" s="23" t="n">
        <v>2016</v>
      </c>
      <c r="O4886" s="23" t="n">
        <v>634</v>
      </c>
      <c r="P4886" s="23" t="n"/>
      <c r="Q4886" s="23" t="n"/>
      <c r="R4886" s="25" t="inlineStr">
        <is>
          <t>В политической истории Украины XX столетия Петру Шелесту принадлежит особое место. Пройдя нелегкий жизненный путь, он в 1963 году стал первым секретарем ЦК Компартии Украины. Поддерживал Н. Хрущева и его политическую линию, однако оказался среди тех, кто привел к власти Л. Брежнева. Выступал за подавление Пражской весны 1968 года и в то же время блокировал тотальное удушение инакомыслия в Украине. Признавал сталинский авторитет и одновременно требовал, чтобы московское руководство придерживалось официально декларированных принципов в отношениях центра и тогдашних «союзных респуб­лик». Был против демонтажа СССР и вместе с тем содействовал укреплению украинских национальных традиций, уважительному отношению к прошлому Украины. Его мемуары помогут найти ответы на многие вопросы нашей недавней истории.</t>
        </is>
      </c>
      <c r="S4886" s="26">
        <f>HYPERLINK("http://www.cnpol.ru/covers/16804.jpg","фото на сайте")</f>
        <v/>
      </c>
    </row>
    <row r="4887" ht="50.1" customHeight="1" s="3">
      <c r="A4887" s="23" t="inlineStr">
        <is>
          <t>Д</t>
        </is>
      </c>
      <c r="B4887" s="24" t="inlineStr">
        <is>
          <t>21297</t>
        </is>
      </c>
      <c r="C4887" s="23" t="inlineStr">
        <is>
          <t>ХХ ВЕК</t>
        </is>
      </c>
      <c r="D4887" s="23" t="inlineStr">
        <is>
          <t>Голованов А.Е.</t>
        </is>
      </c>
      <c r="E4887" s="23" t="inlineStr">
        <is>
          <t>Дальняя бомбардировочная... Воспоминания Главного маршала авиации. 1941—1945</t>
        </is>
      </c>
      <c r="F4887" s="23" t="inlineStr">
        <is>
          <t>        </t>
        </is>
      </c>
      <c r="G4887" s="27" t="n">
        <v>1611</v>
      </c>
      <c r="H4887" s="23" t="n">
        <v>10</v>
      </c>
      <c r="I4887" s="23" t="n">
        <v>8</v>
      </c>
      <c r="J4887" s="23" t="inlineStr">
        <is>
          <t>978-5-227-10747-3</t>
        </is>
      </c>
      <c r="K4887" s="23" t="inlineStr">
        <is>
          <t>60x90 1/16</t>
        </is>
      </c>
      <c r="L4887" s="23" t="inlineStr">
        <is>
          <t>тв, супер</t>
        </is>
      </c>
      <c r="M4887" s="23" t="n">
        <v>591</v>
      </c>
      <c r="N4887" s="23" t="n">
        <v>2024</v>
      </c>
      <c r="O4887" s="23" t="n">
        <v>762</v>
      </c>
      <c r="P4887" s="23" t="n"/>
      <c r="Q4887" s="23" t="n"/>
      <c r="R4887" s="25" t="inlineStr">
        <is>
          <t>Необычайно яркий взлет в 1941—1945 годах и необычайно долгое и глухое замалчивание после войны — такова судьба автора мемуаров «Дальняя бомбардировочная...» Главного маршала авиации А.Е. Голованова. Причина опалы заключалась в том, что его деятельность в годы войны была подчинена И.В. Сталину, о котором Голованов много пишет в своей книге. Увлекательно и живо рассказывает Главный маршал о самоотверженных полетах экипажей бомбардировщиков, о многих драматических эпизодах на фронтах и в Ставке, участником и свидетелем которых был. Книга А.Е. Голованова, несомненно, входит в золотой фонд российской военной мемуаристики.</t>
        </is>
      </c>
      <c r="S4887" s="26">
        <f>HYPERLINK("http://www.cnpol.ru/covers/21297.jpg","фото на сайте")</f>
        <v/>
      </c>
    </row>
    <row r="4888" ht="50.1" customHeight="1" s="3">
      <c r="A4888" s="23" t="n"/>
      <c r="B4888" s="24" t="inlineStr">
        <is>
          <t>15852</t>
        </is>
      </c>
      <c r="C4888" s="23" t="inlineStr">
        <is>
          <t>ХХ ВЕК</t>
        </is>
      </c>
      <c r="D4888" s="23" t="inlineStr">
        <is>
          <t>Бакатин В.В.</t>
        </is>
      </c>
      <c r="E4888" s="23" t="inlineStr">
        <is>
          <t>Дорога в прошедшем времени</t>
        </is>
      </c>
      <c r="F4888" s="23" t="inlineStr">
        <is>
          <t>        </t>
        </is>
      </c>
      <c r="G4888" s="27" t="n">
        <v>1086</v>
      </c>
      <c r="H4888" s="23" t="n">
        <v>10</v>
      </c>
      <c r="I4888" s="23" t="n">
        <v>10</v>
      </c>
      <c r="J4888" s="23" t="inlineStr">
        <is>
          <t>978-5-227-05726-6</t>
        </is>
      </c>
      <c r="K4888" s="23" t="inlineStr">
        <is>
          <t>60x90 1/16</t>
        </is>
      </c>
      <c r="L4888" s="23" t="inlineStr">
        <is>
          <t>тв, супер</t>
        </is>
      </c>
      <c r="M4888" s="23" t="n">
        <v>416</v>
      </c>
      <c r="N4888" s="23" t="n">
        <v>2015</v>
      </c>
      <c r="O4888" s="23" t="n">
        <v>522</v>
      </c>
      <c r="P4888" s="23" t="n"/>
      <c r="Q4888" s="23" t="n"/>
      <c r="R4888" s="25" t="inlineStr">
        <is>
          <t>Книга В.В. Бакатина была написана в конце 90­х годов. Многое изменилось с тех пор, и автор внимательно переработал и дополнил текст, учитывая реалии нынешнего времени. Но многие события, участником и свидетелем которых он был, изменить невозможно. И тем интереснее их оценка государственным деятелем и честным благородным человеком. Эта книга займет достойное место в ряду очень немногочисленной литературы о нашем недавнем прошлом.</t>
        </is>
      </c>
      <c r="S4888" s="26">
        <f>HYPERLINK("http://www.cnpol.ru/covers/15852.jpg","фото на сайте")</f>
        <v/>
      </c>
    </row>
    <row r="4889" ht="50.1" customHeight="1" s="3">
      <c r="A4889" s="23" t="n"/>
      <c r="B4889" s="24" t="inlineStr">
        <is>
          <t>17130</t>
        </is>
      </c>
      <c r="C4889" s="23" t="inlineStr">
        <is>
          <t>ХХ ВЕК</t>
        </is>
      </c>
      <c r="D4889" s="23" t="inlineStr">
        <is>
          <t>Пастухов Б.Н.</t>
        </is>
      </c>
      <c r="E4889" s="23" t="inlineStr">
        <is>
          <t>Друзей моих прекрасные черты. Воспоминания</t>
        </is>
      </c>
      <c r="F4889" s="23" t="inlineStr">
        <is>
          <t>        </t>
        </is>
      </c>
      <c r="G4889" s="27" t="n">
        <v>1086</v>
      </c>
      <c r="H4889" s="23" t="n">
        <v>10</v>
      </c>
      <c r="I4889" s="23" t="n">
        <v>10</v>
      </c>
      <c r="J4889" s="23" t="inlineStr">
        <is>
          <t>978-5-227-06603-9</t>
        </is>
      </c>
      <c r="K4889" s="23" t="inlineStr">
        <is>
          <t>60x90 1/16</t>
        </is>
      </c>
      <c r="L4889" s="23" t="inlineStr">
        <is>
          <t>тв, супер</t>
        </is>
      </c>
      <c r="M4889" s="23" t="n">
        <v>320</v>
      </c>
      <c r="N4889" s="23" t="n">
        <v>2016</v>
      </c>
      <c r="O4889" s="23" t="n">
        <v>462</v>
      </c>
      <c r="P4889" s="23" t="n"/>
      <c r="Q4889" s="23" t="n"/>
      <c r="R4889" s="25" t="inlineStr">
        <is>
          <t>Борис Николаевич Пастухов — государственный и общественный деятель, чья биография неразрывно связана с историей нашей страны. Его послужной список весьма обширен — первый секретарь Центрального комитета ВЛКСМ, председатель Государственного комитета СССР по делам издательств, полиграфии и книжной торговли, чрезвычайный и полномочный посол в Дании и Афганистане, первый заместитель министра иностранных дел, министр Правительства РФ по делам СНГ, старший вице­президент Торгово­промышленной палаты РФ. Воспоминания Б.Н. Пастухова привлекают внимание именами многих выда­ющихся личностей, среди которых Юрий Гагарин, Александра Пахмутова, митрополит Питирим, Наталия Сац, Михаил Ботвинник, Евгений Примаков. В очерках о тех, кто были его наставниками, товарищами и друзьями, автор дает новые штрихи к портретам этих незаурядных людей и делится своими взглядами о путях развития России.</t>
        </is>
      </c>
      <c r="S4889" s="26">
        <f>HYPERLINK("http://www.cnpol.ru/covers/17130.jpg","фото на сайте")</f>
        <v/>
      </c>
    </row>
    <row r="4890" ht="50.1" customHeight="1" s="3">
      <c r="A4890" s="23" t="n"/>
      <c r="B4890" s="24" t="inlineStr">
        <is>
          <t>18816</t>
        </is>
      </c>
      <c r="C4890" s="23" t="inlineStr">
        <is>
          <t>ХХ ВЕК</t>
        </is>
      </c>
      <c r="D4890" s="23" t="inlineStr">
        <is>
          <t>Ненашев М.Ф</t>
        </is>
      </c>
      <c r="E4890" s="23" t="inlineStr">
        <is>
          <t>Заложник времени. Заметки. Размышления. Свидетельства</t>
        </is>
      </c>
      <c r="F4890" s="23" t="inlineStr">
        <is>
          <t>        </t>
        </is>
      </c>
      <c r="G4890" s="27" t="n">
        <v>1086</v>
      </c>
      <c r="H4890" s="23" t="n">
        <v>10</v>
      </c>
      <c r="I4890" s="23" t="n">
        <v>12</v>
      </c>
      <c r="J4890" s="23" t="inlineStr">
        <is>
          <t>978-5-227-07903-9</t>
        </is>
      </c>
      <c r="K4890" s="23" t="inlineStr">
        <is>
          <t>60x90 1/16</t>
        </is>
      </c>
      <c r="L4890" s="23" t="inlineStr">
        <is>
          <t>тв, супер</t>
        </is>
      </c>
      <c r="M4890" s="23" t="n">
        <v>352</v>
      </c>
      <c r="N4890" s="23" t="n">
        <v>2019</v>
      </c>
      <c r="O4890" s="23" t="n">
        <v>466</v>
      </c>
      <c r="P4890" s="23" t="n"/>
      <c r="Q4890" s="23" t="n"/>
      <c r="R4890" s="25" t="inlineStr">
        <is>
          <t>Автор книги долгое время возглавлял газету «Советская Россия», Государственный комитет СССР по печати, Гостелерадио СССР. Заметки и размышления автора в связи с общением, встречами с М.С. Горбачевым, Б.Н. Ельциным, Н.И. Рыжковым, Е.К. Лигачевым, А.Н. Яковлевым и многими другими государственными и общественными деятелями СССР и новой России помогают лучше понять, что происходило с нашей страной в конце XX века._x000D_
Для широкого круга читателей.</t>
        </is>
      </c>
      <c r="S4890" s="26">
        <f>HYPERLINK("http://www.cnpol.ru/covers/18816.jpg","фото на сайте")</f>
        <v/>
      </c>
    </row>
    <row r="4891" ht="50.1" customHeight="1" s="3">
      <c r="A4891" s="23" t="n"/>
      <c r="B4891" s="24" t="inlineStr">
        <is>
          <t>19205</t>
        </is>
      </c>
      <c r="C4891" s="23" t="inlineStr">
        <is>
          <t>ХХ ВЕК</t>
        </is>
      </c>
      <c r="D4891" s="23" t="inlineStr">
        <is>
          <t>Конев И.С.</t>
        </is>
      </c>
      <c r="E4891" s="23" t="inlineStr">
        <is>
          <t>Записки командующего фронтом</t>
        </is>
      </c>
      <c r="F4891" s="23" t="inlineStr">
        <is>
          <t>        </t>
        </is>
      </c>
      <c r="G4891" s="27" t="n">
        <v>1357</v>
      </c>
      <c r="H4891" s="23" t="n">
        <v>10</v>
      </c>
      <c r="I4891" s="23" t="n">
        <v>6</v>
      </c>
      <c r="J4891" s="23" t="inlineStr">
        <is>
          <t>978-5-227-07917-6</t>
        </is>
      </c>
      <c r="K4891" s="23" t="inlineStr">
        <is>
          <t>60x90 1/16</t>
        </is>
      </c>
      <c r="L4891" s="23" t="inlineStr">
        <is>
          <t>тв, супер</t>
        </is>
      </c>
      <c r="M4891" s="23" t="n">
        <v>719</v>
      </c>
      <c r="N4891" s="23" t="n">
        <v>2020</v>
      </c>
      <c r="O4891" s="23" t="n">
        <v>852</v>
      </c>
      <c r="P4891" s="23" t="n"/>
      <c r="Q4891" s="23" t="n"/>
      <c r="R4891" s="25" t="inlineStr">
        <is>
          <t>В книге мемуаров одного из самых выдающихся советских полководцев ¬Маршала Советского Союза И.С. Конева впервые собраны все имеющиеся воспо¬минания автора — как знаменитые, но не переиздававшиеся в последние десятилетия работы «Сорок пятый» и «Записки командующего фронтом», так и отдельные главы, сохранившиеся в архиве семьи маршала в виде магнитофонных записей устных рассказов полководца о тех или иных событиях военной истории Отечества. Особенно интересны среди них воспоминания о становлении И.С. Конева как профессионального военного в годы Гражданской войны и в межвоенный период, его участии в первых сражениях Великой Отечественной войны, Московской битве, объективные оценки полководческих качеств И.В. Сталина и Г.К. Жукова. По тем или иным причинам, в том числе и цензурным, эти главы не были опубликованы при жизни автора или выходили отрывками._x000D_
Анализу автора воспоминаний присущ широкий стратегический охват событий и в то же время глубокое, скрупулезное проникновение во все детали операций, свидетелем и творцом которых он был лично. И.С. Конев широко использовал архивный материал, так что его работы обладают качествами полноценного исторического исследования. Несмотря на то что воспоминания И.С. Конева готовились в период, который называют «годами застоя», их отличает объективность оценок, твердость взглядов и убежденность автора в правоте дела, которому он посвятил всю жизнь.</t>
        </is>
      </c>
      <c r="S4891" s="26">
        <f>HYPERLINK("http://www.cnpol.ru/covers/19205.jpg","фото на сайте")</f>
        <v/>
      </c>
    </row>
    <row r="4892" ht="50.1" customHeight="1" s="3">
      <c r="A4892" s="23" t="n"/>
      <c r="B4892" s="24" t="inlineStr">
        <is>
          <t>18671</t>
        </is>
      </c>
      <c r="C4892" s="23" t="inlineStr">
        <is>
          <t>ХХ ВЕК</t>
        </is>
      </c>
      <c r="D4892" s="23" t="inlineStr">
        <is>
          <t>Дзасохов А.</t>
        </is>
      </c>
      <c r="E4892" s="23" t="inlineStr">
        <is>
          <t>Как много событий вмещает жизнь</t>
        </is>
      </c>
      <c r="F4892" s="23" t="inlineStr">
        <is>
          <t>        </t>
        </is>
      </c>
      <c r="G4892" s="27" t="n">
        <v>1086</v>
      </c>
      <c r="H4892" s="23" t="n">
        <v>10</v>
      </c>
      <c r="I4892" s="23" t="n">
        <v>10</v>
      </c>
      <c r="J4892" s="23" t="inlineStr">
        <is>
          <t>978-5-227-07902-2</t>
        </is>
      </c>
      <c r="K4892" s="23" t="inlineStr">
        <is>
          <t>60x90 1/16</t>
        </is>
      </c>
      <c r="L4892" s="23" t="inlineStr">
        <is>
          <t>тв, супер</t>
        </is>
      </c>
      <c r="M4892" s="23" t="n">
        <v>463</v>
      </c>
      <c r="N4892" s="23" t="n">
        <v>2019</v>
      </c>
      <c r="O4892" s="23" t="n">
        <v>594</v>
      </c>
      <c r="P4892" s="23" t="n"/>
      <c r="Q4892" s="23" t="n"/>
      <c r="R4892" s="25" t="inlineStr">
        <is>
          <t>Большую часть жизни А.С. Дзасохов был связан с внешнеполитической деятельностью, а точнее — с ее восточным направлением. Занимался Востоком и как практический политик, и как исследователь. Работая на международном направлении более пятидесяти лет, встречался, участвовал в беседах с первыми президентами, премьер-министрами и многими другими всемирно известными лидерами национально-освободительных движений. В 1986 году был назначен Чрезвычайным и полномочным послом СССР в Сирийской Республике. В 1988 году возвратился на работу в Осетию. В 1998 году избран Президентом Республики Северная Осетия — Алания. В этой книге автор постарался передать многое из того, что лично пережил, продумал за несколько десятилетий и чем захотел поделиться с широким кругом читателей, с новым поколением политиков.</t>
        </is>
      </c>
      <c r="S4892" s="26">
        <f>HYPERLINK("http://www.cnpol.ru/covers/18671.jpg","фото на сайте")</f>
        <v/>
      </c>
    </row>
    <row r="4893" ht="50.1" customHeight="1" s="3">
      <c r="A4893" s="23" t="n"/>
      <c r="B4893" s="24" t="inlineStr">
        <is>
          <t>16569</t>
        </is>
      </c>
      <c r="C4893" s="23" t="inlineStr">
        <is>
          <t>ХХ ВЕК</t>
        </is>
      </c>
      <c r="D4893" s="23" t="inlineStr">
        <is>
          <t>Кравченко Л.П</t>
        </is>
      </c>
      <c r="E4893" s="23" t="inlineStr">
        <is>
          <t>Как я был телевизионным камикадзе</t>
        </is>
      </c>
      <c r="F4893" s="23" t="inlineStr">
        <is>
          <t>        </t>
        </is>
      </c>
      <c r="G4893" s="27" t="n">
        <v>1086</v>
      </c>
      <c r="H4893" s="23" t="n">
        <v>10</v>
      </c>
      <c r="I4893" s="23" t="n">
        <v>10</v>
      </c>
      <c r="J4893" s="23" t="inlineStr">
        <is>
          <t>978-5-227-05796-9</t>
        </is>
      </c>
      <c r="K4893" s="23" t="inlineStr">
        <is>
          <t>60x90 1/16</t>
        </is>
      </c>
      <c r="L4893" s="23" t="inlineStr">
        <is>
          <t>тв, супер</t>
        </is>
      </c>
      <c r="M4893" s="23" t="n">
        <v>352</v>
      </c>
      <c r="N4893" s="23" t="n">
        <v>2016</v>
      </c>
      <c r="O4893" s="23" t="n">
        <v>466</v>
      </c>
      <c r="P4893" s="23" t="n"/>
      <c r="Q4893" s="23" t="n"/>
      <c r="R4893" s="25" t="inlineStr">
        <is>
          <t>80­е годы… Начало эпохи гласности и демократизации. Первые телемосты с США, демонстрация «полочных» фильмов, рождение новых передач, появление новых ведущих. Хотелось смотреть все. Автор книги, легенда отечественной журналистики Леонид Петрович Кравченко, в то время руководил телевидением СССР. Эти годы он считает хоть и трудными, но самыми счастливыми и интересными в своей жизни. Ведь ему выпала историческая миссия — руководить нелегким процессом становления нового живого ТВ. О поражениях и победах, о том, что осталось за рамками телеэкрана, о закулисной борьбе за телеэфир двух главных политических фигур перестроечного десятилетия — Горбачева и Ельцина — он увлекательно рассказывает в своей книге.</t>
        </is>
      </c>
      <c r="S4893" s="26">
        <f>HYPERLINK("http://www.cnpol.ru/covers/16569.jpg","фото на сайте")</f>
        <v/>
      </c>
    </row>
    <row r="4894" ht="50.1" customHeight="1" s="3">
      <c r="A4894" s="23" t="n"/>
      <c r="B4894" s="24" t="inlineStr">
        <is>
          <t>16987</t>
        </is>
      </c>
      <c r="C4894" s="23" t="inlineStr">
        <is>
          <t>ХХ ВЕК</t>
        </is>
      </c>
      <c r="D4894" s="23" t="inlineStr">
        <is>
          <t>Фалин В.М.</t>
        </is>
      </c>
      <c r="E4894" s="23" t="inlineStr">
        <is>
          <t>Конфликты в Кремле</t>
        </is>
      </c>
      <c r="F4894" s="23" t="inlineStr">
        <is>
          <t>        </t>
        </is>
      </c>
      <c r="G4894" s="27" t="n">
        <v>1086</v>
      </c>
      <c r="H4894" s="23" t="n">
        <v>10</v>
      </c>
      <c r="I4894" s="23" t="n">
        <v>12</v>
      </c>
      <c r="J4894" s="23" t="inlineStr">
        <is>
          <t>978-5-227-06590-2</t>
        </is>
      </c>
      <c r="K4894" s="23" t="inlineStr">
        <is>
          <t>60x90 1/16</t>
        </is>
      </c>
      <c r="L4894" s="23" t="inlineStr">
        <is>
          <t>тв, супер</t>
        </is>
      </c>
      <c r="M4894" s="23" t="n">
        <v>336</v>
      </c>
      <c r="N4894" s="23" t="n">
        <v>2016</v>
      </c>
      <c r="O4894" s="23" t="n">
        <v>442</v>
      </c>
      <c r="P4894" s="23" t="n"/>
      <c r="Q4894" s="23" t="n"/>
      <c r="R4894" s="25" t="n"/>
      <c r="S4894" s="26">
        <f>HYPERLINK("http://www.cnpol.ru/covers/16987.jpg","фото на сайте")</f>
        <v/>
      </c>
    </row>
    <row r="4895" ht="50.1" customHeight="1" s="3">
      <c r="A4895" s="23" t="n"/>
      <c r="B4895" s="24" t="inlineStr">
        <is>
          <t>20617</t>
        </is>
      </c>
      <c r="C4895" s="23" t="inlineStr">
        <is>
          <t>ХХ ВЕК</t>
        </is>
      </c>
      <c r="D4895" s="23" t="inlineStr">
        <is>
          <t>Крючков В.</t>
        </is>
      </c>
      <c r="E4895" s="23" t="inlineStr">
        <is>
          <t>Личное дело. Три дня и вся жизнь</t>
        </is>
      </c>
      <c r="F4895" s="23" t="inlineStr">
        <is>
          <t>        </t>
        </is>
      </c>
      <c r="G4895" s="27" t="n">
        <v>1410</v>
      </c>
      <c r="H4895" s="23" t="n">
        <v>10</v>
      </c>
      <c r="I4895" s="23" t="n">
        <v>8</v>
      </c>
      <c r="J4895" s="23" t="inlineStr">
        <is>
          <t>978-5-227-09721-7</t>
        </is>
      </c>
      <c r="K4895" s="23" t="inlineStr">
        <is>
          <t>60x90 1/16</t>
        </is>
      </c>
      <c r="L4895" s="23" t="inlineStr">
        <is>
          <t>тв, супер</t>
        </is>
      </c>
      <c r="M4895" s="23" t="n">
        <v>576</v>
      </c>
      <c r="N4895" s="23" t="n">
        <v>2023</v>
      </c>
      <c r="O4895" s="23" t="n">
        <v>624</v>
      </c>
      <c r="P4895" s="23" t="n"/>
      <c r="Q4895" s="23" t="n"/>
      <c r="R4895" s="25" t="inlineStr">
        <is>
          <t>Автор книги — бывший председатель КГБ СССР, член просуществовавшего три дня в августе 1991 года Государственного комитета по чрезвычайному положению (ГКЧП), — делясь с читателем воспоминаниями о собственном жизненном пути, размышляет о важнейших исторических событиях, свидетелем или непосредственным участником которых он был. Значительное место в мемуарах В.А. Крючкова уделено деятелям высшего эшелона партийно­государственного руководства. Опираясь на тот огромный объем информации, которым автор располагал как председатель КГБ СССР, во второй части своих воспоминаний он рассказывает о горбачевской перестройке, о нелегкой работе органов госбезопасности в этот период, о деятельности спецслужб иностранных держав в нашей стране, анализирует процессы, приведшие к распаду СССР.</t>
        </is>
      </c>
      <c r="S4895" s="26">
        <f>HYPERLINK("http://www.cnpol.ru/covers/20617.jpg","фото на сайте")</f>
        <v/>
      </c>
    </row>
    <row r="4896" ht="50.1" customHeight="1" s="3">
      <c r="A4896" s="23" t="n"/>
      <c r="B4896" s="24" t="inlineStr">
        <is>
          <t>20213</t>
        </is>
      </c>
      <c r="C4896" s="23" t="inlineStr">
        <is>
          <t>ХХ ВЕК</t>
        </is>
      </c>
      <c r="D4896" s="23" t="inlineStr">
        <is>
          <t>Баграмян И.Х.</t>
        </is>
      </c>
      <c r="E4896" s="23" t="inlineStr">
        <is>
          <t>Мои воспоминания. Маршал Советского Союза о великой эпохе</t>
        </is>
      </c>
      <c r="F4896" s="23" t="inlineStr">
        <is>
          <t>        </t>
        </is>
      </c>
      <c r="G4896" s="27" t="n">
        <v>1545</v>
      </c>
      <c r="H4896" s="23" t="n">
        <v>10</v>
      </c>
      <c r="I4896" s="23" t="n">
        <v>10</v>
      </c>
      <c r="J4896" s="23" t="inlineStr">
        <is>
          <t>978-5-227-07923-7</t>
        </is>
      </c>
      <c r="K4896" s="23" t="inlineStr">
        <is>
          <t>60x90 1/16</t>
        </is>
      </c>
      <c r="L4896" s="23" t="inlineStr">
        <is>
          <t>тв, супер</t>
        </is>
      </c>
      <c r="M4896" s="23" t="n">
        <v>655</v>
      </c>
      <c r="N4896" s="23" t="n">
        <v>2022</v>
      </c>
      <c r="O4896" s="23" t="n">
        <v>636</v>
      </c>
      <c r="P4896" s="23" t="n"/>
      <c r="Q4896" s="23" t="n"/>
      <c r="R4896" s="25" t="n"/>
      <c r="S4896" s="26">
        <f>HYPERLINK("http://www.cnpol.ru/covers/20213.jpg","фото на сайте")</f>
        <v/>
      </c>
    </row>
    <row r="4897" ht="50.1" customHeight="1" s="3">
      <c r="A4897" s="23" t="n"/>
      <c r="B4897" s="24" t="inlineStr">
        <is>
          <t>17998</t>
        </is>
      </c>
      <c r="C4897" s="23" t="inlineStr">
        <is>
          <t>ХХ ВЕК</t>
        </is>
      </c>
      <c r="D4897" s="23" t="inlineStr">
        <is>
          <t>Вознесенский А.А</t>
        </is>
      </c>
      <c r="E4897" s="23" t="inlineStr">
        <is>
          <t>На виртуальном ветру</t>
        </is>
      </c>
      <c r="F4897" s="23" t="inlineStr">
        <is>
          <t>        </t>
        </is>
      </c>
      <c r="G4897" s="27" t="n">
        <v>1086</v>
      </c>
      <c r="H4897" s="23" t="n">
        <v>10</v>
      </c>
      <c r="I4897" s="23" t="n">
        <v>10</v>
      </c>
      <c r="J4897" s="23" t="inlineStr">
        <is>
          <t>978-5-227-07824-7</t>
        </is>
      </c>
      <c r="K4897" s="23" t="inlineStr">
        <is>
          <t>60x90 1/16</t>
        </is>
      </c>
      <c r="L4897" s="23" t="inlineStr">
        <is>
          <t>тв, супер</t>
        </is>
      </c>
      <c r="M4897" s="23" t="n">
        <v>448</v>
      </c>
      <c r="N4897" s="23" t="n">
        <v>2018</v>
      </c>
      <c r="O4897" s="23" t="n">
        <v>570</v>
      </c>
      <c r="P4897" s="23" t="n"/>
      <c r="Q4897" s="23" t="n"/>
      <c r="R4897" s="25" t="n"/>
      <c r="S4897" s="26">
        <f>HYPERLINK("http://www.cnpol.ru/covers/17998.jpg","фото на сайте")</f>
        <v/>
      </c>
    </row>
    <row r="4898" ht="50.1" customHeight="1" s="3">
      <c r="A4898" s="23" t="n"/>
      <c r="B4898" s="24" t="inlineStr">
        <is>
          <t>20524</t>
        </is>
      </c>
      <c r="C4898" s="23" t="inlineStr">
        <is>
          <t>ХХ ВЕК</t>
        </is>
      </c>
      <c r="D4898" s="23" t="inlineStr">
        <is>
          <t>Варенников В.И.</t>
        </is>
      </c>
      <c r="E4898" s="23" t="inlineStr">
        <is>
          <t>Неповторимое. Т.1. О мире и войне. Парад Победы. Жизнь без войны</t>
        </is>
      </c>
      <c r="F4898" s="23" t="n">
        <v>1</v>
      </c>
      <c r="G4898" s="27" t="n">
        <v>1679</v>
      </c>
      <c r="H4898" s="23" t="n">
        <v>10</v>
      </c>
      <c r="I4898" s="23" t="n">
        <v>8</v>
      </c>
      <c r="J4898" s="23" t="inlineStr">
        <is>
          <t>978-5-227-07926-8</t>
        </is>
      </c>
      <c r="K4898" s="23" t="inlineStr">
        <is>
          <t>60x90 1/16</t>
        </is>
      </c>
      <c r="L4898" s="23" t="inlineStr">
        <is>
          <t>тв, супер</t>
        </is>
      </c>
      <c r="M4898" s="23" t="n">
        <v>768</v>
      </c>
      <c r="N4898" s="23" t="n">
        <v>2023</v>
      </c>
      <c r="O4898" s="23" t="n">
        <v>810</v>
      </c>
      <c r="P4898" s="23" t="n"/>
      <c r="Q4898" s="23" t="n"/>
      <c r="R4898" s="25" t="inlineStr">
        <is>
          <t>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_x000D_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читателей._x000D_
Первый том включает рассказ о начале жизненного пути автора, в 18 лет ставшего защитником Родины, о Великой Отечественной войне и Параде Победы, о сложных условиях перехода армии к мирной жизни, службе в Группе Советских оккупационных войск в Германии, в Заполярье.</t>
        </is>
      </c>
      <c r="S4898" s="26">
        <f>HYPERLINK("http://www.cnpol.ru/covers/20524.jpg","фото на сайте")</f>
        <v/>
      </c>
    </row>
    <row r="4899" ht="50.1" customHeight="1" s="3">
      <c r="A4899" s="23" t="n"/>
      <c r="B4899" s="24" t="inlineStr">
        <is>
          <t>20552</t>
        </is>
      </c>
      <c r="C4899" s="23" t="inlineStr">
        <is>
          <t>ХХ ВЕК</t>
        </is>
      </c>
      <c r="D4899" s="23" t="inlineStr">
        <is>
          <t>Варенников В.И.</t>
        </is>
      </c>
      <c r="E4899" s="23" t="inlineStr">
        <is>
          <t>Неповторимое. Т.2. Генштаб Вооруженных Сил. Афганистан. Чернобыль</t>
        </is>
      </c>
      <c r="F4899" s="23" t="n">
        <v>2</v>
      </c>
      <c r="G4899" s="27" t="n">
        <v>1679</v>
      </c>
      <c r="H4899" s="23" t="n">
        <v>10</v>
      </c>
      <c r="I4899" s="23" t="n">
        <v>6</v>
      </c>
      <c r="J4899" s="23" t="inlineStr">
        <is>
          <t>978-5-227-07927-5</t>
        </is>
      </c>
      <c r="K4899" s="23" t="inlineStr">
        <is>
          <t>60x90 1/16</t>
        </is>
      </c>
      <c r="L4899" s="23" t="inlineStr">
        <is>
          <t>тв, супер</t>
        </is>
      </c>
      <c r="M4899" s="23" t="n">
        <v>831</v>
      </c>
      <c r="N4899" s="23" t="n">
        <v>2023</v>
      </c>
      <c r="O4899" s="23" t="n">
        <v>820</v>
      </c>
      <c r="P4899" s="23" t="n"/>
      <c r="Q4899" s="23" t="n"/>
      <c r="R4899" s="25" t="inlineStr">
        <is>
          <t>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_x000D_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читателей._x000D_
Во второй том включены воспоминания о службе в Группе Советских войск в Германии (ГСВГ), Прикарпатском военном округе, Генеральном штабе Вооруженных Сил, Афганистане, об участии в ликвидации последствий аварии на Чернобыльской АЭС.</t>
        </is>
      </c>
      <c r="S4899" s="26">
        <f>HYPERLINK("http://www.cnpol.ru/covers/20552.jpg","фото на сайте")</f>
        <v/>
      </c>
    </row>
    <row r="4900" ht="50.1" customHeight="1" s="3">
      <c r="A4900" s="23" t="n"/>
      <c r="B4900" s="24" t="inlineStr">
        <is>
          <t>20616</t>
        </is>
      </c>
      <c r="C4900" s="23" t="inlineStr">
        <is>
          <t>ХХ ВЕК</t>
        </is>
      </c>
      <c r="D4900" s="23" t="inlineStr">
        <is>
          <t>Варенников В.И.</t>
        </is>
      </c>
      <c r="E4900" s="23" t="inlineStr">
        <is>
          <t>Неповторимое. Т.3. Трагедия отечества: 1995 - 2000. Уроки и выводы</t>
        </is>
      </c>
      <c r="F4900" s="23" t="n">
        <v>3</v>
      </c>
      <c r="G4900" s="27" t="n">
        <v>1813</v>
      </c>
      <c r="H4900" s="23" t="n">
        <v>10</v>
      </c>
      <c r="I4900" s="23" t="n">
        <v>6</v>
      </c>
      <c r="J4900" s="23" t="inlineStr">
        <is>
          <t>978-5-227-07928-2</t>
        </is>
      </c>
      <c r="K4900" s="23" t="inlineStr">
        <is>
          <t>60x90 1/16</t>
        </is>
      </c>
      <c r="L4900" s="23" t="inlineStr">
        <is>
          <t>тв, супер</t>
        </is>
      </c>
      <c r="M4900" s="23" t="n">
        <v>943</v>
      </c>
      <c r="N4900" s="23" t="n">
        <v>2023</v>
      </c>
      <c r="O4900" s="23" t="n">
        <v>900</v>
      </c>
      <c r="P4900" s="23" t="n"/>
      <c r="Q4900" s="23" t="n"/>
      <c r="R4900" s="25" t="inlineStr">
        <is>
          <t>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_x000D_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читателей._x000D_
В третьем томе рассказывается о службе автора в качестве Главнокомандующего Сухопутными войсками, о предельном социально-политическом напряжении в стране, о кровавых событиях на Кавказе и в Прибалтике, о ГКЧП, аресте и оправдательном приговоре. Автор рассуждает об основных причинах катастрофы нашего общества, делится воспоминаниями о работе в Государственной думе, затрагивает проблемы смены власти в Российской Федерации.</t>
        </is>
      </c>
      <c r="S4900" s="26">
        <f>HYPERLINK("http://www.cnpol.ru/covers/20616.jpg","фото на сайте")</f>
        <v/>
      </c>
    </row>
    <row r="4901" ht="50.1" customHeight="1" s="3">
      <c r="A4901" s="23" t="n"/>
      <c r="B4901" s="24" t="inlineStr">
        <is>
          <t>17780</t>
        </is>
      </c>
      <c r="C4901" s="23" t="inlineStr">
        <is>
          <t>ХХ ВЕК</t>
        </is>
      </c>
      <c r="D4901" s="23" t="inlineStr">
        <is>
          <t>Шепилов Д.Т.</t>
        </is>
      </c>
      <c r="E4901" s="23" t="inlineStr">
        <is>
          <t>Непримкнувший. Воспоминания</t>
        </is>
      </c>
      <c r="F4901" s="23" t="inlineStr">
        <is>
          <t>        </t>
        </is>
      </c>
      <c r="G4901" s="27" t="n">
        <v>1086</v>
      </c>
      <c r="H4901" s="23" t="n">
        <v>10</v>
      </c>
      <c r="I4901" s="23" t="n">
        <v>8</v>
      </c>
      <c r="J4901" s="23" t="inlineStr">
        <is>
          <t>978-5-227-07518-5</t>
        </is>
      </c>
      <c r="K4901" s="23" t="inlineStr">
        <is>
          <t>60x90 1/16</t>
        </is>
      </c>
      <c r="L4901" s="23" t="inlineStr">
        <is>
          <t>тв, супер</t>
        </is>
      </c>
      <c r="M4901" s="23" t="n">
        <v>448</v>
      </c>
      <c r="N4901" s="23" t="n">
        <v>2017</v>
      </c>
      <c r="O4901" s="23" t="n">
        <v>556</v>
      </c>
      <c r="P4901" s="23" t="n"/>
      <c r="Q4901" s="23" t="n"/>
      <c r="R4901" s="25" t="n"/>
      <c r="S4901" s="26">
        <f>HYPERLINK("http://www.cnpol.ru/covers/17780.jpg","фото на сайте")</f>
        <v/>
      </c>
    </row>
    <row r="4902" ht="50.1" customHeight="1" s="3">
      <c r="A4902" s="23" t="n"/>
      <c r="B4902" s="24" t="inlineStr">
        <is>
          <t>19931</t>
        </is>
      </c>
      <c r="C4902" s="23" t="inlineStr">
        <is>
          <t>ХХ ВЕК</t>
        </is>
      </c>
      <c r="D4902" s="23" t="inlineStr">
        <is>
          <t>Прокофьев Ю.А.</t>
        </is>
      </c>
      <c r="E4902" s="23" t="inlineStr">
        <is>
          <t>О времени, стране и о себе. Первый секретарь МГК КПСС вспоминает</t>
        </is>
      </c>
      <c r="F4902" s="23" t="inlineStr">
        <is>
          <t>        </t>
        </is>
      </c>
      <c r="G4902" s="27" t="n">
        <v>1086</v>
      </c>
      <c r="H4902" s="23" t="n">
        <v>10</v>
      </c>
      <c r="I4902" s="23" t="n">
        <v>16</v>
      </c>
      <c r="J4902" s="23" t="inlineStr">
        <is>
          <t>978-5-227-07921-3</t>
        </is>
      </c>
      <c r="K4902" s="23" t="inlineStr">
        <is>
          <t>60x90 1/16</t>
        </is>
      </c>
      <c r="L4902" s="23" t="inlineStr">
        <is>
          <t>тв, супер</t>
        </is>
      </c>
      <c r="M4902" s="23" t="n">
        <v>335</v>
      </c>
      <c r="N4902" s="23" t="n">
        <v>2021</v>
      </c>
      <c r="O4902" s="23" t="n">
        <v>454</v>
      </c>
      <c r="P4902" s="23" t="n"/>
      <c r="Q4902" s="23" t="n"/>
      <c r="R4902" s="25" t="n"/>
      <c r="S4902" s="26">
        <f>HYPERLINK("http://www.cnpol.ru/covers/19931.jpg","фото на сайте")</f>
        <v/>
      </c>
    </row>
    <row r="4903" ht="50.1" customHeight="1" s="3">
      <c r="A4903" s="23" t="inlineStr">
        <is>
          <t>Н</t>
        </is>
      </c>
      <c r="B4903" s="24" t="inlineStr">
        <is>
          <t>20999</t>
        </is>
      </c>
      <c r="C4903" s="23" t="inlineStr">
        <is>
          <t>ХХ ВЕК</t>
        </is>
      </c>
      <c r="D4903" s="23" t="inlineStr">
        <is>
          <t>Фетисов В.А.</t>
        </is>
      </c>
      <c r="E4903" s="23" t="inlineStr">
        <is>
          <t>Овертайм. Воспоминания. О хоккее и не только…</t>
        </is>
      </c>
      <c r="F4903" s="23" t="inlineStr">
        <is>
          <t>        </t>
        </is>
      </c>
      <c r="G4903" s="27" t="n">
        <v>1086</v>
      </c>
      <c r="H4903" s="23" t="n">
        <v>10</v>
      </c>
      <c r="I4903" s="23" t="n">
        <v>14</v>
      </c>
      <c r="J4903" s="23" t="inlineStr">
        <is>
          <t>978-5-227-07930-5</t>
        </is>
      </c>
      <c r="K4903" s="23" t="inlineStr">
        <is>
          <t>60x90 1/16</t>
        </is>
      </c>
      <c r="L4903" s="23" t="inlineStr">
        <is>
          <t>тв, супер</t>
        </is>
      </c>
      <c r="M4903" s="23" t="n">
        <v>351</v>
      </c>
      <c r="N4903" s="23" t="n">
        <v>2024</v>
      </c>
      <c r="O4903" s="23" t="n">
        <v>485</v>
      </c>
      <c r="P4903" s="23" t="n"/>
      <c r="Q4903" s="23" t="n"/>
      <c r="R4903" s="25" t="inlineStr">
        <is>
          <t>В этой книге легендарный спортсмен рассказывает о начале своей яркой спортивной карьеры, о хоккее, который для него — вся жизнь и который свел его со многими замечательными людьми, о радостных и трагических событиях в своей судьбе, о горьких потерях. _x000D_
Много сказано о причинах решения уехать в США, о жизни там, об отношениях с игроками и руководством мировых хоккейных организаций</t>
        </is>
      </c>
      <c r="S4903" s="26">
        <f>HYPERLINK("http://www.cnpol.ru/covers/20999.jpg","фото на сайте")</f>
        <v/>
      </c>
    </row>
    <row r="4904" ht="50.1" customHeight="1" s="3">
      <c r="A4904" s="23" t="n"/>
      <c r="B4904" s="24" t="inlineStr">
        <is>
          <t>18262</t>
        </is>
      </c>
      <c r="C4904" s="23" t="inlineStr">
        <is>
          <t>ХХ ВЕК</t>
        </is>
      </c>
      <c r="D4904" s="23" t="inlineStr">
        <is>
          <t>Коротич В.А</t>
        </is>
      </c>
      <c r="E4904" s="23" t="inlineStr">
        <is>
          <t>От первого лица</t>
        </is>
      </c>
      <c r="F4904" s="23" t="inlineStr">
        <is>
          <t>        </t>
        </is>
      </c>
      <c r="G4904" s="27" t="n">
        <v>1086</v>
      </c>
      <c r="H4904" s="23" t="n">
        <v>10</v>
      </c>
      <c r="I4904" s="23" t="n">
        <v>12</v>
      </c>
      <c r="J4904" s="23" t="inlineStr">
        <is>
          <t>978-5-227-07864-3</t>
        </is>
      </c>
      <c r="K4904" s="23" t="inlineStr">
        <is>
          <t>60x90 1/16</t>
        </is>
      </c>
      <c r="L4904" s="23" t="inlineStr">
        <is>
          <t>тв, супер</t>
        </is>
      </c>
      <c r="M4904" s="23" t="n">
        <v>352</v>
      </c>
      <c r="N4904" s="23" t="n">
        <v>2018</v>
      </c>
      <c r="O4904" s="23" t="n">
        <v>486</v>
      </c>
      <c r="P4904" s="23" t="n"/>
      <c r="Q4904" s="23" t="n"/>
      <c r="R4904" s="25" t="n"/>
      <c r="S4904" s="26">
        <f>HYPERLINK("http://www.cnpol.ru/covers/18262.jpg","фото на сайте")</f>
        <v/>
      </c>
    </row>
    <row r="4905" ht="50.1" customHeight="1" s="3">
      <c r="A4905" s="23" t="n"/>
      <c r="B4905" s="24" t="inlineStr">
        <is>
          <t>17185</t>
        </is>
      </c>
      <c r="C4905" s="23" t="inlineStr">
        <is>
          <t>ХХ ВЕК</t>
        </is>
      </c>
      <c r="D4905" s="23" t="inlineStr">
        <is>
          <t>Панкин Б.Д.</t>
        </is>
      </c>
      <c r="E4905" s="23" t="inlineStr">
        <is>
          <t>Пресловутая эпоха в лицах и масках, событиях и казусах</t>
        </is>
      </c>
      <c r="F4905" s="23" t="inlineStr">
        <is>
          <t>        </t>
        </is>
      </c>
      <c r="G4905" s="27" t="n">
        <v>1086</v>
      </c>
      <c r="H4905" s="23" t="n">
        <v>10</v>
      </c>
      <c r="I4905" s="23" t="n">
        <v>8</v>
      </c>
      <c r="J4905" s="23" t="inlineStr">
        <is>
          <t>978-5-227-06610-7</t>
        </is>
      </c>
      <c r="K4905" s="23" t="inlineStr">
        <is>
          <t>60x90 1/16</t>
        </is>
      </c>
      <c r="L4905" s="23" t="inlineStr">
        <is>
          <t>тв, супер</t>
        </is>
      </c>
      <c r="M4905" s="23" t="n">
        <v>464</v>
      </c>
      <c r="N4905" s="23" t="n">
        <v>2016</v>
      </c>
      <c r="O4905" s="23" t="n">
        <v>538</v>
      </c>
      <c r="P4905" s="23" t="n"/>
      <c r="Q4905" s="23" t="n"/>
      <c r="R4905" s="25" t="n"/>
      <c r="S4905" s="26">
        <f>HYPERLINK("http://www.cnpol.ru/covers/17185.jpg","фото на сайте")</f>
        <v/>
      </c>
    </row>
    <row r="4906" ht="50.1" customHeight="1" s="3">
      <c r="A4906" s="23" t="n"/>
      <c r="B4906" s="24" t="inlineStr">
        <is>
          <t>19002</t>
        </is>
      </c>
      <c r="C4906" s="23" t="inlineStr">
        <is>
          <t>ХХ ВЕК</t>
        </is>
      </c>
      <c r="D4906" s="23" t="inlineStr">
        <is>
          <t>Гранин Д.А</t>
        </is>
      </c>
      <c r="E4906" s="23" t="inlineStr">
        <is>
          <t>Причуды памяти</t>
        </is>
      </c>
      <c r="F4906" s="23" t="inlineStr">
        <is>
          <t>        </t>
        </is>
      </c>
      <c r="G4906" s="27" t="n">
        <v>1192</v>
      </c>
      <c r="H4906" s="23" t="n">
        <v>10</v>
      </c>
      <c r="I4906" s="23" t="n">
        <v>10</v>
      </c>
      <c r="J4906" s="23" t="inlineStr">
        <is>
          <t>978-5-227-08860-4</t>
        </is>
      </c>
      <c r="K4906" s="23" t="inlineStr">
        <is>
          <t>60x90 1/16</t>
        </is>
      </c>
      <c r="L4906" s="23" t="inlineStr">
        <is>
          <t>тв, супер</t>
        </is>
      </c>
      <c r="M4906" s="23" t="n">
        <v>448</v>
      </c>
      <c r="N4906" s="23" t="n">
        <v>2020</v>
      </c>
      <c r="O4906" s="23" t="n">
        <v>586</v>
      </c>
      <c r="P4906" s="23" t="n"/>
      <c r="Q4906" s="23" t="n"/>
      <c r="R4906" s="25" t="n"/>
      <c r="S4906" s="26">
        <f>HYPERLINK("http://www.cnpol.ru/covers/19002.jpg","фото на сайте")</f>
        <v/>
      </c>
    </row>
    <row r="4907" ht="50.1" customHeight="1" s="3">
      <c r="A4907" s="23" t="n"/>
      <c r="B4907" s="24" t="inlineStr">
        <is>
          <t>17683</t>
        </is>
      </c>
      <c r="C4907" s="23" t="inlineStr">
        <is>
          <t>ХХ ВЕК</t>
        </is>
      </c>
      <c r="D4907" s="23" t="inlineStr">
        <is>
          <t>Толконюк И. А.</t>
        </is>
      </c>
      <c r="E4907" s="23" t="inlineStr">
        <is>
          <t>Раны заживают медленно. Записки штабного офицера</t>
        </is>
      </c>
      <c r="F4907" s="23" t="inlineStr">
        <is>
          <t>        </t>
        </is>
      </c>
      <c r="G4907" s="27" t="n">
        <v>1211</v>
      </c>
      <c r="H4907" s="23" t="n">
        <v>10</v>
      </c>
      <c r="I4907" s="23" t="n">
        <v>10</v>
      </c>
      <c r="J4907" s="23" t="inlineStr">
        <is>
          <t>978-5-227-07501-7</t>
        </is>
      </c>
      <c r="K4907" s="23" t="inlineStr">
        <is>
          <t>60x90 1/16</t>
        </is>
      </c>
      <c r="L4907" s="23" t="inlineStr">
        <is>
          <t>тв, супер</t>
        </is>
      </c>
      <c r="M4907" s="23" t="n">
        <v>544</v>
      </c>
      <c r="N4907" s="23" t="n">
        <v>2017</v>
      </c>
      <c r="O4907" s="23" t="n">
        <v>630</v>
      </c>
      <c r="P4907" s="23" t="n"/>
      <c r="Q4907" s="23" t="n"/>
      <c r="R4907" s="25" t="n"/>
      <c r="S4907" s="26">
        <f>HYPERLINK("http://www.cnpol.ru/covers/17683.jpg","фото на сайте")</f>
        <v/>
      </c>
    </row>
    <row r="4908" ht="50.1" customHeight="1" s="3">
      <c r="A4908" s="23" t="n"/>
      <c r="B4908" s="24" t="inlineStr">
        <is>
          <t>18042</t>
        </is>
      </c>
      <c r="C4908" s="23" t="inlineStr">
        <is>
          <t>ХХ ВЕК</t>
        </is>
      </c>
      <c r="D4908" s="23" t="inlineStr">
        <is>
          <t>Ульянов М.А.</t>
        </is>
      </c>
      <c r="E4908" s="23" t="inlineStr">
        <is>
          <t>Реальность и мечта</t>
        </is>
      </c>
      <c r="F4908" s="23" t="inlineStr">
        <is>
          <t>        </t>
        </is>
      </c>
      <c r="G4908" s="27" t="n">
        <v>1086</v>
      </c>
      <c r="H4908" s="23" t="n">
        <v>10</v>
      </c>
      <c r="I4908" s="23" t="n">
        <v>12</v>
      </c>
      <c r="J4908" s="23" t="inlineStr">
        <is>
          <t>978-5-227-07836-0</t>
        </is>
      </c>
      <c r="K4908" s="23" t="inlineStr">
        <is>
          <t>60x90 1/16</t>
        </is>
      </c>
      <c r="L4908" s="23" t="inlineStr">
        <is>
          <t>тв, супер</t>
        </is>
      </c>
      <c r="M4908" s="23" t="n">
        <v>416</v>
      </c>
      <c r="N4908" s="23" t="n">
        <v>2018</v>
      </c>
      <c r="O4908" s="23" t="n">
        <v>562</v>
      </c>
      <c r="P4908" s="23" t="n"/>
      <c r="Q4908" s="23" t="n"/>
      <c r="R4908" s="25" t="n"/>
      <c r="S4908" s="26">
        <f>HYPERLINK("http://www.cnpol.ru/covers/18042.jpg","фото на сайте")</f>
        <v/>
      </c>
    </row>
    <row r="4909" ht="50.1" customHeight="1" s="3">
      <c r="A4909" s="23" t="inlineStr">
        <is>
          <t>Д</t>
        </is>
      </c>
      <c r="B4909" s="24" t="inlineStr">
        <is>
          <t>22038</t>
        </is>
      </c>
      <c r="C4909" s="23" t="inlineStr">
        <is>
          <t>ХХ ВЕК</t>
        </is>
      </c>
      <c r="D4909" s="23" t="inlineStr">
        <is>
          <t>Шебаршин Л.В</t>
        </is>
      </c>
      <c r="E4909" s="23" t="inlineStr">
        <is>
          <t>Рука Москвы. Записки начальника внешней разведки</t>
        </is>
      </c>
      <c r="F4909" s="23" t="inlineStr">
        <is>
          <t>        </t>
        </is>
      </c>
      <c r="G4909" s="27" t="n">
        <v>1277</v>
      </c>
      <c r="H4909" s="23" t="n">
        <v>10</v>
      </c>
      <c r="I4909" s="23" t="n">
        <v>6</v>
      </c>
      <c r="J4909" s="23" t="inlineStr">
        <is>
          <t>978-5-227-11209-5</t>
        </is>
      </c>
      <c r="K4909" s="23" t="inlineStr">
        <is>
          <t>60x90 1/16</t>
        </is>
      </c>
      <c r="L4909" s="23" t="inlineStr">
        <is>
          <t>тв, супер</t>
        </is>
      </c>
      <c r="M4909" s="23" t="n">
        <v>448</v>
      </c>
      <c r="N4909" s="23" t="n">
        <v>2026</v>
      </c>
      <c r="O4909" s="23" t="n">
        <v>550</v>
      </c>
      <c r="P4909" s="23" t="n"/>
      <c r="Q4909" s="23" t="n"/>
      <c r="R4909" s="25" t="inlineStr">
        <is>
          <t>Генерал­лейтенант Леонид Владимирович Шебаршин за 29 лет службы прошел путь от оперуполномоченного до начальника советской внешней разведки. Он был очевидцем губительной «перестройки». _x000D_
Эта книга стала итогом длительного, вдумчивого размышления об особенностях профессии разведчика вообще и советского в частности, о сути разведки как таковой, не сегодня и не вчера. Книга писалась автором всю жизнь. В ней нашли место дневниковые записи, зарисовки из путевых блокнотов о Пакистане, Индии, Иране, Афганистане. Ряд глав рассказывает о взаимодей­ствии советской разведки с аналогичными службами бывших братских стран: ГДР, Болгарии, Кубы. Правдивостью, подлинной болью пронизан рассказ об августовском путче, изменившем в сознании автора представление о многих ценностях, которым было принято поклоняться с детства…</t>
        </is>
      </c>
      <c r="S4909" s="26">
        <f>HYPERLINK("http://www.cnpol.ru/covers/22038.jpg","фото на сайте")</f>
        <v/>
      </c>
    </row>
    <row r="4910" ht="50.1" customHeight="1" s="3">
      <c r="A4910" s="23" t="inlineStr">
        <is>
          <t>Н</t>
        </is>
      </c>
      <c r="B4910" s="24" t="inlineStr">
        <is>
          <t>21750</t>
        </is>
      </c>
      <c r="C4910" s="23" t="inlineStr">
        <is>
          <t>ХХ ВЕК</t>
        </is>
      </c>
      <c r="D4910" s="23" t="inlineStr">
        <is>
          <t>Роднина И.К.</t>
        </is>
      </c>
      <c r="E4910" s="23" t="inlineStr">
        <is>
          <t>Слеза чемпионки</t>
        </is>
      </c>
      <c r="F4910" s="23" t="inlineStr">
        <is>
          <t>        </t>
        </is>
      </c>
      <c r="G4910" s="27" t="n">
        <v>1160</v>
      </c>
      <c r="H4910" s="23" t="n">
        <v>10</v>
      </c>
      <c r="I4910" s="23" t="n">
        <v>6</v>
      </c>
      <c r="J4910" s="23" t="inlineStr">
        <is>
          <t>978-5-227-07933-6</t>
        </is>
      </c>
      <c r="K4910" s="23" t="inlineStr">
        <is>
          <t>60x90 1/16</t>
        </is>
      </c>
      <c r="L4910" s="23" t="inlineStr">
        <is>
          <t>тв</t>
        </is>
      </c>
      <c r="M4910" s="23" t="n">
        <v>351</v>
      </c>
      <c r="N4910" s="23" t="n">
        <v>2025</v>
      </c>
      <c r="O4910" s="23" t="n">
        <v>366</v>
      </c>
      <c r="P4910" s="23" t="n"/>
      <c r="Q4910" s="23" t="n"/>
      <c r="R4910" s="25" t="inlineStr">
        <is>
          <t>Автор книги — великая спортсменка, самая успешная фигуристка в истории парного катания: трехкратная олимпийская чемпионка, десятикратная чемпионка мира, одиннадцатикратная чемпионка Европы — ушла из спорта, ни разу не уступив никому своего чемпионского звания. В своих честных, откровенных воспоминаниях она рассказывает о своей спортивной и личной жизни, где главную роль сыграли ее целеустремленность, твердый характер, умение идти наперекор судьбе и обстоятельствам.</t>
        </is>
      </c>
      <c r="S4910" s="26">
        <f>HYPERLINK("http://www.cnpol.ru/covers/21750.jpg","фото на сайте")</f>
        <v/>
      </c>
    </row>
    <row r="4911" ht="50.1" customHeight="1" s="3">
      <c r="A4911" s="23" t="n"/>
      <c r="B4911" s="24" t="inlineStr">
        <is>
          <t>17242</t>
        </is>
      </c>
      <c r="C4911" s="23" t="inlineStr">
        <is>
          <t>ХХ ВЕК</t>
        </is>
      </c>
      <c r="D4911" s="23" t="inlineStr">
        <is>
          <t>Егорычев Н.Г.</t>
        </is>
      </c>
      <c r="E4911" s="23" t="inlineStr">
        <is>
          <t>Солдат. Политик. Дипломат. Воспоминания об очень разном</t>
        </is>
      </c>
      <c r="F4911" s="23" t="inlineStr">
        <is>
          <t>        </t>
        </is>
      </c>
      <c r="G4911" s="27" t="n">
        <v>1086</v>
      </c>
      <c r="H4911" s="23" t="n">
        <v>10</v>
      </c>
      <c r="I4911" s="23" t="n">
        <v>10</v>
      </c>
      <c r="J4911" s="23" t="inlineStr">
        <is>
          <t>978-5-227-06613-8</t>
        </is>
      </c>
      <c r="K4911" s="23" t="inlineStr">
        <is>
          <t>60x90 1/16</t>
        </is>
      </c>
      <c r="L4911" s="23" t="inlineStr">
        <is>
          <t>тв, супер</t>
        </is>
      </c>
      <c r="M4911" s="23" t="n">
        <v>352</v>
      </c>
      <c r="N4911" s="23" t="n">
        <v>2016</v>
      </c>
      <c r="O4911" s="23" t="n">
        <v>482</v>
      </c>
      <c r="P4911" s="23" t="n"/>
      <c r="Q4911" s="23" t="n"/>
      <c r="R4911" s="25" t="n"/>
      <c r="S4911" s="26">
        <f>HYPERLINK("http://www.cnpol.ru/covers/17242.jpg","фото на сайте")</f>
        <v/>
      </c>
    </row>
    <row r="4912" ht="50.1" customHeight="1" s="3">
      <c r="A4912" s="23" t="n"/>
      <c r="B4912" s="24" t="inlineStr">
        <is>
          <t>17032</t>
        </is>
      </c>
      <c r="C4912" s="23" t="inlineStr">
        <is>
          <t>ХХ ВЕК</t>
        </is>
      </c>
      <c r="D4912" s="23" t="inlineStr">
        <is>
          <t>Утесов Л.О.</t>
        </is>
      </c>
      <c r="E4912" s="23" t="inlineStr">
        <is>
          <t>Спасибо, сердце! Воспоминания. Встречи. Раздумья</t>
        </is>
      </c>
      <c r="F4912" s="23" t="inlineStr">
        <is>
          <t>        </t>
        </is>
      </c>
      <c r="G4912" s="27" t="n">
        <v>1086</v>
      </c>
      <c r="H4912" s="23" t="n">
        <v>10</v>
      </c>
      <c r="I4912" s="23" t="n">
        <v>8</v>
      </c>
      <c r="J4912" s="23" t="inlineStr">
        <is>
          <t>978-5-9524-5210-7</t>
        </is>
      </c>
      <c r="K4912" s="23" t="inlineStr">
        <is>
          <t>60x90 1/16</t>
        </is>
      </c>
      <c r="L4912" s="23" t="inlineStr">
        <is>
          <t>тв, супер</t>
        </is>
      </c>
      <c r="M4912" s="23" t="n">
        <v>384</v>
      </c>
      <c r="N4912" s="23" t="n">
        <v>2016</v>
      </c>
      <c r="O4912" s="23" t="n">
        <v>512</v>
      </c>
      <c r="P4912" s="23" t="n"/>
      <c r="Q4912" s="23" t="n"/>
      <c r="R4912" s="25" t="n"/>
      <c r="S4912" s="26">
        <f>HYPERLINK("http://www.cnpol.ru/covers/17032.jpg","фото на сайте")</f>
        <v/>
      </c>
    </row>
    <row r="4913" ht="50.1" customHeight="1" s="3">
      <c r="A4913" s="23" t="n"/>
      <c r="B4913" s="24" t="inlineStr">
        <is>
          <t>17663</t>
        </is>
      </c>
      <c r="C4913" s="23" t="inlineStr">
        <is>
          <t>ХХ ВЕК</t>
        </is>
      </c>
      <c r="D4913" s="23" t="inlineStr">
        <is>
          <t>Бовин А.Е.</t>
        </is>
      </c>
      <c r="E4913" s="23" t="inlineStr">
        <is>
          <t>ХХ Век как жизнь. Воспоминания.</t>
        </is>
      </c>
      <c r="F4913" s="23" t="inlineStr">
        <is>
          <t>        </t>
        </is>
      </c>
      <c r="G4913" s="27" t="n">
        <v>1357</v>
      </c>
      <c r="H4913" s="23" t="n">
        <v>10</v>
      </c>
      <c r="I4913" s="23" t="n">
        <v>8</v>
      </c>
      <c r="J4913" s="23" t="inlineStr">
        <is>
          <t>978-5-227-07506-2</t>
        </is>
      </c>
      <c r="K4913" s="23" t="inlineStr">
        <is>
          <t>60x90 1/16</t>
        </is>
      </c>
      <c r="L4913" s="23" t="inlineStr">
        <is>
          <t>тв, супер</t>
        </is>
      </c>
      <c r="M4913" s="23" t="n">
        <v>656</v>
      </c>
      <c r="N4913" s="23" t="n">
        <v>2017</v>
      </c>
      <c r="O4913" s="23" t="n">
        <v>726</v>
      </c>
      <c r="P4913" s="23" t="n"/>
      <c r="Q4913" s="23" t="n"/>
      <c r="R4913" s="25" t="n"/>
      <c r="S4913" s="26">
        <f>HYPERLINK("http://www.cnpol.ru/covers/17663.jpg","фото на сайте")</f>
        <v/>
      </c>
    </row>
    <row r="4914" ht="50.1" customHeight="1" s="3">
      <c r="A4914" s="23" t="n"/>
      <c r="B4914" s="24" t="inlineStr">
        <is>
          <t>16355</t>
        </is>
      </c>
      <c r="C4914" s="23" t="inlineStr">
        <is>
          <t>ХХ ВЕК</t>
        </is>
      </c>
      <c r="D4914" s="23" t="inlineStr">
        <is>
          <t>Арбатов  Г.А</t>
        </is>
      </c>
      <c r="E4914" s="23" t="inlineStr">
        <is>
          <t>Человек системы</t>
        </is>
      </c>
      <c r="F4914" s="23" t="inlineStr">
        <is>
          <t>        </t>
        </is>
      </c>
      <c r="G4914" s="27" t="n">
        <v>1086</v>
      </c>
      <c r="H4914" s="23" t="n">
        <v>10</v>
      </c>
      <c r="I4914" s="23" t="n">
        <v>12</v>
      </c>
      <c r="J4914" s="23" t="inlineStr">
        <is>
          <t>978-5-227-05772-3</t>
        </is>
      </c>
      <c r="K4914" s="23" t="inlineStr">
        <is>
          <t>60x90 1/16</t>
        </is>
      </c>
      <c r="L4914" s="23" t="inlineStr">
        <is>
          <t>тв, супер</t>
        </is>
      </c>
      <c r="M4914" s="23" t="n">
        <v>416</v>
      </c>
      <c r="N4914" s="23" t="n">
        <v>2015</v>
      </c>
      <c r="O4914" s="23" t="n">
        <v>549</v>
      </c>
      <c r="P4914" s="23" t="n"/>
      <c r="Q4914" s="23" t="n"/>
      <c r="R4914" s="25" t="n"/>
      <c r="S4914" s="26">
        <f>HYPERLINK("http://www.cnpol.ru/covers/16355.jpg","фото на сайте")</f>
        <v/>
      </c>
    </row>
    <row r="4915" ht="50.1" customHeight="1" s="3">
      <c r="A4915" s="23" t="n"/>
      <c r="B4915" s="24" t="inlineStr">
        <is>
          <t>17385</t>
        </is>
      </c>
      <c r="C4915" s="23" t="inlineStr">
        <is>
          <t>ХХ ВЕК</t>
        </is>
      </c>
      <c r="D4915" s="23" t="inlineStr">
        <is>
          <t>Трояновский О.А.</t>
        </is>
      </c>
      <c r="E4915" s="23" t="inlineStr">
        <is>
          <t>Через годы и расстояния. История одной семьи</t>
        </is>
      </c>
      <c r="F4915" s="23" t="inlineStr">
        <is>
          <t>        </t>
        </is>
      </c>
      <c r="G4915" s="27" t="n">
        <v>1086</v>
      </c>
      <c r="H4915" s="23" t="n">
        <v>10</v>
      </c>
      <c r="I4915" s="23" t="n">
        <v>10</v>
      </c>
      <c r="J4915" s="23" t="inlineStr">
        <is>
          <t>978-5-227-06637-4</t>
        </is>
      </c>
      <c r="K4915" s="23" t="inlineStr">
        <is>
          <t>60x90 1/16</t>
        </is>
      </c>
      <c r="L4915" s="23" t="inlineStr">
        <is>
          <t>тв, супер</t>
        </is>
      </c>
      <c r="M4915" s="23" t="n">
        <v>352</v>
      </c>
      <c r="N4915" s="23" t="n">
        <v>2017</v>
      </c>
      <c r="O4915" s="23" t="n">
        <v>472</v>
      </c>
      <c r="P4915" s="23" t="n"/>
      <c r="Q4915" s="23" t="n"/>
      <c r="R4915" s="25" t="n"/>
      <c r="S4915" s="26">
        <f>HYPERLINK("http://www.cnpol.ru/covers/17385.jpg","фото на сайте")</f>
        <v/>
      </c>
    </row>
    <row r="4916" ht="50.1" customHeight="1" s="3">
      <c r="A4916" s="23" t="n"/>
      <c r="B4916" s="24" t="inlineStr">
        <is>
          <t>19542</t>
        </is>
      </c>
      <c r="C4916" s="23" t="inlineStr">
        <is>
          <t>ХХ ВЕК</t>
        </is>
      </c>
      <c r="D4916" s="23" t="inlineStr">
        <is>
          <t>Тюленев И.В.</t>
        </is>
      </c>
      <c r="E4916" s="23" t="inlineStr">
        <is>
          <t>Через три войны. Воспоминания командующего Южным и Закавказским фронтами. 1941—1945</t>
        </is>
      </c>
      <c r="F4916" s="23" t="inlineStr">
        <is>
          <t>        </t>
        </is>
      </c>
      <c r="G4916" s="27" t="n">
        <v>1086</v>
      </c>
      <c r="H4916" s="23" t="n">
        <v>10</v>
      </c>
      <c r="I4916" s="23" t="n">
        <v>10</v>
      </c>
      <c r="J4916" s="23" t="inlineStr">
        <is>
          <t>978-5-227-07920-6</t>
        </is>
      </c>
      <c r="K4916" s="23" t="inlineStr">
        <is>
          <t>60x90 1/16</t>
        </is>
      </c>
      <c r="L4916" s="23" t="inlineStr">
        <is>
          <t>тв, супер</t>
        </is>
      </c>
      <c r="M4916" s="23" t="n">
        <v>400</v>
      </c>
      <c r="N4916" s="23" t="n">
        <v>2021</v>
      </c>
      <c r="O4916" s="23" t="n">
        <v>542</v>
      </c>
      <c r="P4916" s="23" t="n"/>
      <c r="Q4916" s="23" t="n"/>
      <c r="R4916" s="25" t="n"/>
      <c r="S4916" s="26">
        <f>HYPERLINK("http://www.cnpol.ru/covers/19542.jpg","фото на сайте")</f>
        <v/>
      </c>
    </row>
    <row r="4917" ht="50.1" customHeight="1" s="3">
      <c r="A4917" s="23" t="n"/>
      <c r="B4917" s="24" t="inlineStr">
        <is>
          <t>5220</t>
        </is>
      </c>
      <c r="C4917" s="23" t="inlineStr">
        <is>
          <t>ЦВЕТЫ ЛЮБВ</t>
        </is>
      </c>
      <c r="D4917" s="23" t="inlineStr">
        <is>
          <t>Уокер</t>
        </is>
      </c>
      <c r="E4917" s="23" t="inlineStr">
        <is>
          <t>Возвращение домой</t>
        </is>
      </c>
      <c r="F4917" s="23" t="inlineStr">
        <is>
          <t>        </t>
        </is>
      </c>
      <c r="G4917" s="23" t="n">
        <v>62</v>
      </c>
      <c r="H4917" s="23" t="n">
        <v>10</v>
      </c>
      <c r="I4917" s="23" t="n">
        <v>30</v>
      </c>
      <c r="J4917" s="23" t="inlineStr">
        <is>
          <t>5-9524-1329-3</t>
        </is>
      </c>
      <c r="K4917" s="23" t="inlineStr">
        <is>
          <t>70x100 1/32</t>
        </is>
      </c>
      <c r="L4917" s="23" t="inlineStr">
        <is>
          <t>мяг</t>
        </is>
      </c>
      <c r="M4917" s="23" t="n">
        <v>221</v>
      </c>
      <c r="N4917" s="23" t="n">
        <v>2004</v>
      </c>
      <c r="O4917" s="23" t="n">
        <v>106</v>
      </c>
      <c r="P4917" s="23" t="n"/>
      <c r="Q4917" s="23" t="n"/>
      <c r="R4917" s="25" t="inlineStr">
        <is>
          <t>Юная красавица Пенни Бартлетт отдала свое сердце Джону Дину, но друзья и родные видят ее невестой другого. У бедной девушки нет сил противиться, ведь она думает, что Джон попал в сети к расчетливой интриганке, охотящейся за его состоянием...</t>
        </is>
      </c>
      <c r="S4917" s="26">
        <f>HYPERLINK("http://www.cnpol.ru/covers/5220.jpg","фото на сайте")</f>
        <v/>
      </c>
    </row>
    <row r="4918" ht="50.1" customHeight="1" s="3">
      <c r="A4918" s="23" t="n"/>
      <c r="B4918" s="24" t="inlineStr">
        <is>
          <t>5653</t>
        </is>
      </c>
      <c r="C4918" s="23" t="inlineStr">
        <is>
          <t>ЦВЕТЫ ЛЮБВ</t>
        </is>
      </c>
      <c r="D4918" s="23" t="inlineStr">
        <is>
          <t>Малькольм</t>
        </is>
      </c>
      <c r="E4918" s="23" t="inlineStr">
        <is>
          <t>Все или ничего</t>
        </is>
      </c>
      <c r="F4918" s="23" t="inlineStr">
        <is>
          <t>        </t>
        </is>
      </c>
      <c r="G4918" s="23" t="n">
        <v>62</v>
      </c>
      <c r="H4918" s="23" t="n">
        <v>10</v>
      </c>
      <c r="I4918" s="23" t="n">
        <v>30</v>
      </c>
      <c r="J4918" s="23" t="inlineStr">
        <is>
          <t>5-9524-1628-4</t>
        </is>
      </c>
      <c r="K4918" s="23" t="inlineStr">
        <is>
          <t>70x100 1/32</t>
        </is>
      </c>
      <c r="L4918" s="23" t="inlineStr">
        <is>
          <t>мяг</t>
        </is>
      </c>
      <c r="M4918" s="23" t="n">
        <v>222</v>
      </c>
      <c r="N4918" s="23" t="n">
        <v>2005</v>
      </c>
      <c r="O4918" s="23" t="n">
        <v>104</v>
      </c>
      <c r="P4918" s="23" t="n"/>
      <c r="Q4918" s="23" t="n"/>
      <c r="R4918" s="25" t="inlineStr">
        <is>
          <t>Решив порвать с опостылевшим светским окружением, Роза-мунда убегает из дома и волею судьбы попадает на небольшую яхту. Случайное знакомство с начинающим писателем заканчивается бурным романом. Но счастье, которое, казалось, уже близко, неожиданно омрачает тетушка, разыскавшая беглянку...</t>
        </is>
      </c>
      <c r="S4918" s="26">
        <f>HYPERLINK("http://www.cnpol.ru/covers/5653.jpg","фото на сайте")</f>
        <v/>
      </c>
    </row>
    <row r="4919" ht="50.1" customHeight="1" s="3">
      <c r="A4919" s="23" t="n"/>
      <c r="B4919" s="24" t="inlineStr">
        <is>
          <t>7325</t>
        </is>
      </c>
      <c r="C4919" s="23" t="inlineStr">
        <is>
          <t>ЦВЕТЫ ЛЮБВ</t>
        </is>
      </c>
      <c r="D4919" s="23" t="inlineStr">
        <is>
          <t>Мэтер</t>
        </is>
      </c>
      <c r="E4919" s="23" t="inlineStr">
        <is>
          <t>Горная долина</t>
        </is>
      </c>
      <c r="F4919" s="23" t="inlineStr">
        <is>
          <t>        </t>
        </is>
      </c>
      <c r="G4919" s="23" t="n">
        <v>97</v>
      </c>
      <c r="H4919" s="23" t="n">
        <v>10</v>
      </c>
      <c r="I4919" s="23" t="n">
        <v>30</v>
      </c>
      <c r="J4919" s="23" t="inlineStr">
        <is>
          <t>5-9524-2383-3</t>
        </is>
      </c>
      <c r="K4919" s="23" t="inlineStr">
        <is>
          <t>70x100 1/32</t>
        </is>
      </c>
      <c r="L4919" s="23" t="inlineStr">
        <is>
          <t>мяг</t>
        </is>
      </c>
      <c r="M4919" s="23" t="n">
        <v>175</v>
      </c>
      <c r="N4919" s="23" t="n">
        <v>2007</v>
      </c>
      <c r="O4919" s="23" t="n">
        <v>82</v>
      </c>
      <c r="P4919" s="23" t="n"/>
      <c r="Q4919" s="23" t="n"/>
      <c r="R4919" s="25" t="inlineStr">
        <is>
          <t>...Ее губы помнили еще вкус его поцелуя, ее плечи не забыли силу и страсть его объятий. Но прелестная Моргана Мэллори в отчаянии: оказывается, мужчина ее мечты обязан стать священником! Таковы традиции семьи, и темноокий красавец Луис Сальвадор должен сделать выбор между любовью и долгом...</t>
        </is>
      </c>
      <c r="S4919" s="26">
        <f>HYPERLINK("http://www.cnpol.ru/covers/7325.jpg","фото на сайте")</f>
        <v/>
      </c>
    </row>
    <row r="4920" ht="50.1" customHeight="1" s="3">
      <c r="A4920" s="23" t="n"/>
      <c r="B4920" s="24" t="inlineStr">
        <is>
          <t>6408</t>
        </is>
      </c>
      <c r="C4920" s="23" t="inlineStr">
        <is>
          <t>ЦВЕТЫ ЛЮБВ</t>
        </is>
      </c>
      <c r="D4920" s="23" t="inlineStr">
        <is>
          <t>Роум</t>
        </is>
      </c>
      <c r="E4920" s="23" t="inlineStr">
        <is>
          <t>Замужество Кэролайн</t>
        </is>
      </c>
      <c r="F4920" s="23" t="inlineStr">
        <is>
          <t>        </t>
        </is>
      </c>
      <c r="G4920" s="23" t="n">
        <v>97</v>
      </c>
      <c r="H4920" s="23" t="n">
        <v>10</v>
      </c>
      <c r="I4920" s="23" t="n">
        <v>30</v>
      </c>
      <c r="J4920" s="23" t="inlineStr">
        <is>
          <t>5-9524-2127-X</t>
        </is>
      </c>
      <c r="K4920" s="23" t="inlineStr">
        <is>
          <t>70x100 1/32</t>
        </is>
      </c>
      <c r="L4920" s="23" t="inlineStr">
        <is>
          <t>мяг</t>
        </is>
      </c>
      <c r="M4920" s="23" t="n">
        <v>175</v>
      </c>
      <c r="N4920" s="23" t="n">
        <v>2007</v>
      </c>
      <c r="O4920" s="23" t="n">
        <v>82</v>
      </c>
      <c r="P4920" s="23" t="n"/>
      <c r="Q4920" s="23" t="n"/>
      <c r="R4920" s="25" t="inlineStr">
        <is>
          <t>Юная Кэролайн Линдсей, чтобы обеспечить будущее осиротевшего племянника, выходит замуж за итальянского аристократа Доменико Викари, который принимает ее за другую и думает, что выполняет долг чести.  Но Кэролайн по-настоящему влюбляется в мужа. Ее сердце разрывается от того, что он видит в ней девицу легкого поведения, и она убегает...</t>
        </is>
      </c>
      <c r="S4920" s="26">
        <f>HYPERLINK("http://www.cnpol.ru/covers/6408.jpg","фото на сайте")</f>
        <v/>
      </c>
    </row>
    <row r="4921" ht="50.1" customHeight="1" s="3">
      <c r="A4921" s="23" t="n"/>
      <c r="B4921" s="24" t="inlineStr">
        <is>
          <t>5352</t>
        </is>
      </c>
      <c r="C4921" s="23" t="inlineStr">
        <is>
          <t>ЦВЕТЫ ЛЮБВ</t>
        </is>
      </c>
      <c r="D4921" s="23" t="inlineStr">
        <is>
          <t>Гаскин</t>
        </is>
      </c>
      <c r="E4921" s="23" t="inlineStr">
        <is>
          <t>Край бокала</t>
        </is>
      </c>
      <c r="F4921" s="23" t="inlineStr">
        <is>
          <t>        </t>
        </is>
      </c>
      <c r="G4921" s="23" t="n">
        <v>97</v>
      </c>
      <c r="H4921" s="23" t="n">
        <v>10</v>
      </c>
      <c r="I4921" s="23" t="n">
        <v>30</v>
      </c>
      <c r="J4921" s="23" t="inlineStr">
        <is>
          <t>5-9524-1387-0</t>
        </is>
      </c>
      <c r="K4921" s="23" t="inlineStr">
        <is>
          <t>70x100 1/32</t>
        </is>
      </c>
      <c r="L4921" s="23" t="inlineStr">
        <is>
          <t>мяг</t>
        </is>
      </c>
      <c r="M4921" s="23" t="n">
        <v>223</v>
      </c>
      <c r="N4921" s="23" t="n">
        <v>2005</v>
      </c>
      <c r="O4921" s="23" t="n">
        <v>100</v>
      </c>
      <c r="P4921" s="23" t="n"/>
      <c r="Q4921" s="23" t="n"/>
      <c r="R4921" s="25" t="inlineStr">
        <is>
          <t>Фотомодель Мора д'Арси неожиданно узнала тайну своего рождения и отправилась на родину, в Ирландию, вслед за загадочным незнакомцем, похитившим у нее фамильную чашу. Там, среди прекрасных зеленых холмов и прозрачных рек, девушка нашла свою любовь.</t>
        </is>
      </c>
      <c r="S4921" s="26">
        <f>HYPERLINK("http://www.cnpol.ru/covers/5352.jpg","фото на сайте")</f>
        <v/>
      </c>
    </row>
    <row r="4922" ht="50.1" customHeight="1" s="3">
      <c r="A4922" s="23" t="n"/>
      <c r="B4922" s="24" t="inlineStr">
        <is>
          <t>7327</t>
        </is>
      </c>
      <c r="C4922" s="23" t="inlineStr">
        <is>
          <t>ЦВЕТЫ ЛЮБВ</t>
        </is>
      </c>
      <c r="D4922" s="23" t="inlineStr">
        <is>
          <t>Чейс</t>
        </is>
      </c>
      <c r="E4922" s="23" t="inlineStr">
        <is>
          <t>Мелодия любви</t>
        </is>
      </c>
      <c r="F4922" s="23" t="inlineStr">
        <is>
          <t>        </t>
        </is>
      </c>
      <c r="G4922" s="23" t="n">
        <v>97</v>
      </c>
      <c r="H4922" s="23" t="n">
        <v>10</v>
      </c>
      <c r="I4922" s="23" t="n">
        <v>30</v>
      </c>
      <c r="J4922" s="23" t="inlineStr">
        <is>
          <t>5-9524-2380-9</t>
        </is>
      </c>
      <c r="K4922" s="23" t="inlineStr">
        <is>
          <t>70x100 1/32</t>
        </is>
      </c>
      <c r="L4922" s="23" t="inlineStr">
        <is>
          <t>мяг</t>
        </is>
      </c>
      <c r="M4922" s="23" t="n">
        <v>159</v>
      </c>
      <c r="N4922" s="23" t="n">
        <v>2007</v>
      </c>
      <c r="O4922" s="23" t="n">
        <v>76</v>
      </c>
      <c r="P4922" s="23" t="n"/>
      <c r="Q4922" s="23" t="n"/>
      <c r="R4922" s="25" t="n"/>
      <c r="S4922" s="26">
        <f>HYPERLINK("http://www.cnpol.ru/covers/7327.jpg","фото на сайте")</f>
        <v/>
      </c>
    </row>
    <row r="4923" ht="50.1" customHeight="1" s="3">
      <c r="A4923" s="23" t="n"/>
      <c r="B4923" s="24" t="inlineStr">
        <is>
          <t>7393</t>
        </is>
      </c>
      <c r="C4923" s="23" t="inlineStr">
        <is>
          <t>ЦВЕТЫ ЛЮБВ</t>
        </is>
      </c>
      <c r="D4923" s="23" t="inlineStr">
        <is>
          <t>Уолш</t>
        </is>
      </c>
      <c r="E4923" s="23" t="inlineStr">
        <is>
          <t>Милая Бренда</t>
        </is>
      </c>
      <c r="F4923" s="23" t="inlineStr">
        <is>
          <t>        </t>
        </is>
      </c>
      <c r="G4923" s="23" t="n">
        <v>62</v>
      </c>
      <c r="H4923" s="23" t="n">
        <v>10</v>
      </c>
      <c r="I4923" s="23" t="n">
        <v>30</v>
      </c>
      <c r="J4923" s="23" t="inlineStr">
        <is>
          <t>5-9524-2425-2</t>
        </is>
      </c>
      <c r="K4923" s="23" t="inlineStr">
        <is>
          <t>70x100 1/32</t>
        </is>
      </c>
      <c r="L4923" s="23" t="inlineStr">
        <is>
          <t>мяг</t>
        </is>
      </c>
      <c r="M4923" s="23" t="n">
        <v>158</v>
      </c>
      <c r="N4923" s="23" t="n">
        <v>2007</v>
      </c>
      <c r="O4923" s="23" t="n">
        <v>76</v>
      </c>
      <c r="P4923" s="23" t="n"/>
      <c r="Q4923" s="23" t="n"/>
      <c r="R4923" s="25" t="n"/>
      <c r="S4923" s="26">
        <f>HYPERLINK("http://www.cnpol.ru/covers/7393.jpg","фото на сайте")</f>
        <v/>
      </c>
    </row>
    <row r="4924" ht="50.1" customHeight="1" s="3">
      <c r="A4924" s="23" t="n"/>
      <c r="B4924" s="24" t="inlineStr">
        <is>
          <t>7324</t>
        </is>
      </c>
      <c r="C4924" s="23" t="inlineStr">
        <is>
          <t>ЦВЕТЫ ЛЮБВ</t>
        </is>
      </c>
      <c r="D4924" s="23" t="inlineStr">
        <is>
          <t>Пик Л.</t>
        </is>
      </c>
      <c r="E4924" s="23" t="inlineStr">
        <is>
          <t>Навстречу судьбе</t>
        </is>
      </c>
      <c r="F4924" s="23" t="inlineStr">
        <is>
          <t>        </t>
        </is>
      </c>
      <c r="G4924" s="23" t="n">
        <v>97</v>
      </c>
      <c r="H4924" s="23" t="n">
        <v>10</v>
      </c>
      <c r="I4924" s="23" t="n">
        <v>30</v>
      </c>
      <c r="J4924" s="23" t="inlineStr">
        <is>
          <t>5-9524-2381-7</t>
        </is>
      </c>
      <c r="K4924" s="23" t="inlineStr">
        <is>
          <t>70x100 1/32</t>
        </is>
      </c>
      <c r="L4924" s="23" t="inlineStr">
        <is>
          <t>мяг</t>
        </is>
      </c>
      <c r="M4924" s="23" t="n">
        <v>175</v>
      </c>
      <c r="N4924" s="23" t="n">
        <v>2007</v>
      </c>
      <c r="O4924" s="23" t="n">
        <v>88</v>
      </c>
      <c r="P4924" s="23" t="n"/>
      <c r="Q4924" s="23" t="n"/>
      <c r="R4924" s="25" t="n"/>
      <c r="S4924" s="26">
        <f>HYPERLINK("http://www.cnpol.ru/covers/7324.jpg","фото на сайте")</f>
        <v/>
      </c>
    </row>
    <row r="4925" ht="50.1" customHeight="1" s="3">
      <c r="A4925" s="23" t="n"/>
      <c r="B4925" s="24" t="inlineStr">
        <is>
          <t>7254</t>
        </is>
      </c>
      <c r="C4925" s="23" t="inlineStr">
        <is>
          <t>ЦВЕТЫ ЛЮБВ</t>
        </is>
      </c>
      <c r="D4925" s="23" t="inlineStr">
        <is>
          <t>Уинспир</t>
        </is>
      </c>
      <c r="E4925" s="23" t="inlineStr">
        <is>
          <t>Нежный тиран</t>
        </is>
      </c>
      <c r="F4925" s="23" t="inlineStr">
        <is>
          <t>        </t>
        </is>
      </c>
      <c r="G4925" s="23" t="n">
        <v>97</v>
      </c>
      <c r="H4925" s="23" t="n">
        <v>10</v>
      </c>
      <c r="I4925" s="23" t="n">
        <v>30</v>
      </c>
      <c r="J4925" s="23" t="inlineStr">
        <is>
          <t>5-9524-2326-4</t>
        </is>
      </c>
      <c r="K4925" s="23" t="inlineStr">
        <is>
          <t>70x100 1/32</t>
        </is>
      </c>
      <c r="L4925" s="23" t="inlineStr">
        <is>
          <t>мяг</t>
        </is>
      </c>
      <c r="M4925" s="23" t="n">
        <v>175</v>
      </c>
      <c r="N4925" s="23" t="n">
        <v>2007</v>
      </c>
      <c r="O4925" s="23" t="n">
        <v>88</v>
      </c>
      <c r="P4925" s="23" t="n"/>
      <c r="Q4925" s="23" t="n"/>
      <c r="R4925" s="25" t="n"/>
      <c r="S4925" s="26">
        <f>HYPERLINK("http://www.cnpol.ru/covers/7254.jpg","фото на сайте")</f>
        <v/>
      </c>
    </row>
    <row r="4926" ht="50.1" customHeight="1" s="3">
      <c r="A4926" s="23" t="n"/>
      <c r="B4926" s="24" t="inlineStr">
        <is>
          <t>5695</t>
        </is>
      </c>
      <c r="C4926" s="23" t="inlineStr">
        <is>
          <t>ЦВЕТЫ ЛЮБВ</t>
        </is>
      </c>
      <c r="D4926" s="23" t="inlineStr">
        <is>
          <t>Льюти</t>
        </is>
      </c>
      <c r="E4926" s="23" t="inlineStr">
        <is>
          <t>Необыкновенная помолвка</t>
        </is>
      </c>
      <c r="F4926" s="23" t="inlineStr">
        <is>
          <t>        </t>
        </is>
      </c>
      <c r="G4926" s="23" t="n">
        <v>97</v>
      </c>
      <c r="H4926" s="23" t="n">
        <v>10</v>
      </c>
      <c r="I4926" s="23" t="n">
        <v>30</v>
      </c>
      <c r="J4926" s="23" t="inlineStr">
        <is>
          <t>5-9524-1637-3</t>
        </is>
      </c>
      <c r="K4926" s="23" t="inlineStr">
        <is>
          <t>70x100 1/32</t>
        </is>
      </c>
      <c r="L4926" s="23" t="inlineStr">
        <is>
          <t>мяг</t>
        </is>
      </c>
      <c r="M4926" s="23" t="n">
        <v>191</v>
      </c>
      <c r="N4926" s="23" t="n">
        <v>2005</v>
      </c>
      <c r="O4926" s="23" t="n">
        <v>90</v>
      </c>
      <c r="P4926" s="23" t="n"/>
      <c r="Q4926" s="23" t="n"/>
      <c r="R4926" s="25" t="n"/>
      <c r="S4926" s="26">
        <f>HYPERLINK("http://www.cnpol.ru/covers/5695.jpg","фото на сайте")</f>
        <v/>
      </c>
    </row>
    <row r="4927" ht="50.1" customHeight="1" s="3">
      <c r="A4927" s="23" t="n"/>
      <c r="B4927" s="24" t="inlineStr">
        <is>
          <t>7394</t>
        </is>
      </c>
      <c r="C4927" s="23" t="inlineStr">
        <is>
          <t>ЦВЕТЫ ЛЮБВ</t>
        </is>
      </c>
      <c r="D4927" s="23" t="inlineStr">
        <is>
          <t>Никсон</t>
        </is>
      </c>
      <c r="E4927" s="23" t="inlineStr">
        <is>
          <t>Свет луны на воде</t>
        </is>
      </c>
      <c r="F4927" s="23" t="inlineStr">
        <is>
          <t>        </t>
        </is>
      </c>
      <c r="G4927" s="23" t="n">
        <v>97</v>
      </c>
      <c r="H4927" s="23" t="n">
        <v>10</v>
      </c>
      <c r="I4927" s="23" t="n">
        <v>30</v>
      </c>
      <c r="J4927" s="23" t="inlineStr">
        <is>
          <t>5-9524-2418-X</t>
        </is>
      </c>
      <c r="K4927" s="23" t="inlineStr">
        <is>
          <t>70x100 1/32</t>
        </is>
      </c>
      <c r="L4927" s="23" t="inlineStr">
        <is>
          <t>мяг</t>
        </is>
      </c>
      <c r="M4927" s="23" t="n">
        <v>159</v>
      </c>
      <c r="N4927" s="23" t="n">
        <v>2007</v>
      </c>
      <c r="O4927" s="23" t="n">
        <v>78</v>
      </c>
      <c r="P4927" s="23" t="n"/>
      <c r="Q4927" s="23" t="n"/>
      <c r="R4927" s="25" t="n"/>
      <c r="S4927" s="26">
        <f>HYPERLINK("http://www.cnpol.ru/covers/7394.jpg","фото на сайте")</f>
        <v/>
      </c>
    </row>
    <row r="4928" ht="50.1" customHeight="1" s="3">
      <c r="A4928" s="23" t="n"/>
      <c r="B4928" s="24" t="inlineStr">
        <is>
          <t>6485</t>
        </is>
      </c>
      <c r="C4928" s="23" t="inlineStr">
        <is>
          <t>ЦВЕТЫ ЛЮБВ</t>
        </is>
      </c>
      <c r="D4928" s="23" t="inlineStr">
        <is>
          <t>Саммерс Монтегю</t>
        </is>
      </c>
      <c r="E4928" s="23" t="inlineStr">
        <is>
          <t>Соловьиная бухта</t>
        </is>
      </c>
      <c r="F4928" s="23" t="inlineStr">
        <is>
          <t>        </t>
        </is>
      </c>
      <c r="G4928" s="23" t="n">
        <v>97</v>
      </c>
      <c r="H4928" s="23" t="n">
        <v>10</v>
      </c>
      <c r="I4928" s="23" t="n">
        <v>30</v>
      </c>
      <c r="J4928" s="23" t="inlineStr">
        <is>
          <t>5-9524-2173-3</t>
        </is>
      </c>
      <c r="K4928" s="23" t="inlineStr">
        <is>
          <t>70x100 1/32</t>
        </is>
      </c>
      <c r="L4928" s="23" t="inlineStr">
        <is>
          <t>мяг</t>
        </is>
      </c>
      <c r="M4928" s="23" t="n">
        <v>159</v>
      </c>
      <c r="N4928" s="23" t="n">
        <v>2007</v>
      </c>
      <c r="O4928" s="23" t="n">
        <v>82</v>
      </c>
      <c r="P4928" s="23" t="n"/>
      <c r="Q4928" s="23" t="n"/>
      <c r="R4928" s="25" t="n"/>
      <c r="S4928" s="26">
        <f>HYPERLINK("http://www.cnpol.ru/covers/6485.jpg","фото на сайте")</f>
        <v/>
      </c>
    </row>
    <row r="4929" ht="50.1" customHeight="1" s="3">
      <c r="A4929" s="23" t="n"/>
      <c r="B4929" s="24" t="inlineStr">
        <is>
          <t>6484</t>
        </is>
      </c>
      <c r="C4929" s="23" t="inlineStr">
        <is>
          <t>ЦВЕТЫ ЛЮБВ</t>
        </is>
      </c>
      <c r="D4929" s="23" t="inlineStr">
        <is>
          <t>Пик Л.</t>
        </is>
      </c>
      <c r="E4929" s="23" t="inlineStr">
        <is>
          <t>Тот кто не со мной</t>
        </is>
      </c>
      <c r="F4929" s="23" t="inlineStr">
        <is>
          <t>        </t>
        </is>
      </c>
      <c r="G4929" s="23" t="n">
        <v>97</v>
      </c>
      <c r="H4929" s="23" t="n">
        <v>10</v>
      </c>
      <c r="I4929" s="23" t="n">
        <v>30</v>
      </c>
      <c r="J4929" s="23" t="inlineStr">
        <is>
          <t>5-9524-2167-9</t>
        </is>
      </c>
      <c r="K4929" s="23" t="inlineStr">
        <is>
          <t>70x100 1/32</t>
        </is>
      </c>
      <c r="L4929" s="23" t="inlineStr">
        <is>
          <t>мяг</t>
        </is>
      </c>
      <c r="M4929" s="23" t="n">
        <v>175</v>
      </c>
      <c r="N4929" s="23" t="n">
        <v>2007</v>
      </c>
      <c r="O4929" s="23" t="n">
        <v>84</v>
      </c>
      <c r="P4929" s="23" t="n"/>
      <c r="Q4929" s="23" t="n"/>
      <c r="R4929" s="25" t="n"/>
      <c r="S4929" s="26">
        <f>HYPERLINK("http://www.cnpol.ru/covers/6484.jpg","фото на сайте")</f>
        <v/>
      </c>
    </row>
    <row r="4930" ht="50.1" customHeight="1" s="3">
      <c r="A4930" s="23" t="n"/>
      <c r="B4930" s="24" t="inlineStr">
        <is>
          <t>6486</t>
        </is>
      </c>
      <c r="C4930" s="23" t="inlineStr">
        <is>
          <t>ЦВЕТЫ ЛЮБВ</t>
        </is>
      </c>
      <c r="D4930" s="23" t="inlineStr">
        <is>
          <t>Донелли</t>
        </is>
      </c>
      <c r="E4930" s="23" t="inlineStr">
        <is>
          <t>Флирт и ревность</t>
        </is>
      </c>
      <c r="F4930" s="23" t="inlineStr">
        <is>
          <t>        </t>
        </is>
      </c>
      <c r="G4930" s="23" t="n">
        <v>62</v>
      </c>
      <c r="H4930" s="23" t="n">
        <v>10</v>
      </c>
      <c r="I4930" s="23" t="n">
        <v>30</v>
      </c>
      <c r="J4930" s="23" t="inlineStr">
        <is>
          <t>5-9524-2166-0</t>
        </is>
      </c>
      <c r="K4930" s="23" t="inlineStr">
        <is>
          <t>70x100 1/32</t>
        </is>
      </c>
      <c r="L4930" s="23" t="inlineStr">
        <is>
          <t>мяг</t>
        </is>
      </c>
      <c r="M4930" s="23" t="n">
        <v>175</v>
      </c>
      <c r="N4930" s="23" t="n">
        <v>2007</v>
      </c>
      <c r="O4930" s="23" t="n">
        <v>82</v>
      </c>
      <c r="P4930" s="23" t="n"/>
      <c r="Q4930" s="23" t="n"/>
      <c r="R4930" s="25" t="n"/>
      <c r="S4930" s="26">
        <f>HYPERLINK("http://www.cnpol.ru/covers/6486.jpg","фото на сайте")</f>
        <v/>
      </c>
    </row>
    <row r="4931" ht="50.1" customHeight="1" s="3">
      <c r="A4931" s="23" t="n"/>
      <c r="B4931" s="24" t="inlineStr">
        <is>
          <t>11395</t>
        </is>
      </c>
      <c r="C4931" s="23" t="inlineStr">
        <is>
          <t>ЦЛ НОВЫЕ</t>
        </is>
      </c>
      <c r="D4931" s="23" t="inlineStr">
        <is>
          <t>Чейс И.</t>
        </is>
      </c>
      <c r="E4931" s="23" t="inlineStr">
        <is>
          <t>Испытание страстью</t>
        </is>
      </c>
      <c r="F4931" s="23" t="inlineStr">
        <is>
          <t>        </t>
        </is>
      </c>
      <c r="G4931" s="23" t="n">
        <v>97</v>
      </c>
      <c r="H4931" s="23" t="n">
        <v>10</v>
      </c>
      <c r="I4931" s="23" t="n">
        <v>30</v>
      </c>
      <c r="J4931" s="23" t="inlineStr">
        <is>
          <t>978-5-9524-4501-7</t>
        </is>
      </c>
      <c r="K4931" s="23" t="inlineStr">
        <is>
          <t>70x100 1/32</t>
        </is>
      </c>
      <c r="L4931" s="23" t="inlineStr">
        <is>
          <t>мяг</t>
        </is>
      </c>
      <c r="M4931" s="23" t="n">
        <v>158</v>
      </c>
      <c r="N4931" s="23" t="n">
        <v>2009</v>
      </c>
      <c r="O4931" s="23" t="n">
        <v>76</v>
      </c>
      <c r="P4931" s="23" t="n"/>
      <c r="Q4931" s="23" t="n"/>
      <c r="R4931" s="25" t="inlineStr">
        <is>
          <t>Френсис Уитни, разочаровавшись в любви, едет работать врачом в Танзанию. Ей предстоит пересадка в Найроби, и в первый же вечер девушка встречает там удивительного мужчину - Саймона Эббота. Утром выясняется, что они будут жить в одном поселке. Саймон в ярости: не сбылись его надежды на мимолетный роман, к тому же он убежден, что изнеженная англичанка не выдержит в африканской глуши и пяти минут...</t>
        </is>
      </c>
      <c r="S4931" s="26">
        <f>HYPERLINK("http://www.cnpol.ru/covers/11395.jpg","фото на сайте")</f>
        <v/>
      </c>
    </row>
    <row r="4932" ht="50.1" customHeight="1" s="3">
      <c r="A4932" s="23" t="n"/>
      <c r="B4932" s="24" t="inlineStr">
        <is>
          <t>11506</t>
        </is>
      </c>
      <c r="C4932" s="23" t="inlineStr">
        <is>
          <t>ЦЛ НОВЫЕ</t>
        </is>
      </c>
      <c r="D4932" s="23" t="inlineStr">
        <is>
          <t>Эштон Э.</t>
        </is>
      </c>
      <c r="E4932" s="23" t="inlineStr">
        <is>
          <t>Любовь в наследство</t>
        </is>
      </c>
      <c r="F4932" s="23" t="inlineStr">
        <is>
          <t>        </t>
        </is>
      </c>
      <c r="G4932" s="23" t="n">
        <v>97</v>
      </c>
      <c r="H4932" s="23" t="n">
        <v>10</v>
      </c>
      <c r="I4932" s="23" t="n">
        <v>40</v>
      </c>
      <c r="J4932" s="23" t="inlineStr">
        <is>
          <t>978-5-9524-4634-2</t>
        </is>
      </c>
      <c r="K4932" s="23" t="inlineStr">
        <is>
          <t>70x100 1/32</t>
        </is>
      </c>
      <c r="L4932" s="23" t="inlineStr">
        <is>
          <t>мяг</t>
        </is>
      </c>
      <c r="M4932" s="23" t="n">
        <v>160</v>
      </c>
      <c r="N4932" s="23" t="n">
        <v>2009</v>
      </c>
      <c r="O4932" s="23" t="n">
        <v>80</v>
      </c>
      <c r="P4932" s="23" t="n"/>
      <c r="Q4932" s="23" t="n"/>
      <c r="R4932" s="25" t="inlineStr">
        <is>
          <t>Жизнь романтической скромницы Джулии Арчер круто меняется, когда дед-аристократ после долгих лет молчания внезапно приглашает ее во Францию, в родовое имение Боссэ. Там она знакомится с приемным сыном своего деда Арманом и парижскими кузенами — братом и сестрой Кордэ. Жиль Боссэ немощен и болен, но, пока земли поместья находятся в надежных руках цыгана-полукровки Армана, старик спокоен. Кордэ мечтают прибрать к рукам прибыльные угодья, но им мешают привязанность старика к внучке и страстное чувство, вспыхнувшее между цыганом и Джулией...</t>
        </is>
      </c>
      <c r="S4932" s="26">
        <f>HYPERLINK("http://www.cnpol.ru/covers/11506.jpg","фото на сайте")</f>
        <v/>
      </c>
    </row>
    <row r="4933" ht="50.1" customHeight="1" s="3">
      <c r="A4933" s="23" t="n"/>
      <c r="B4933" s="24" t="inlineStr">
        <is>
          <t>11759</t>
        </is>
      </c>
      <c r="C4933" s="23" t="inlineStr">
        <is>
          <t>ЦЛ НОВЫЕ</t>
        </is>
      </c>
      <c r="D4933" s="23" t="inlineStr">
        <is>
          <t>Эш П.</t>
        </is>
      </c>
      <c r="E4933" s="23" t="inlineStr">
        <is>
          <t>Мечта моего сердца</t>
        </is>
      </c>
      <c r="F4933" s="23" t="inlineStr">
        <is>
          <t>        </t>
        </is>
      </c>
      <c r="G4933" s="23" t="n">
        <v>97</v>
      </c>
      <c r="H4933" s="23" t="n">
        <v>10</v>
      </c>
      <c r="I4933" s="23" t="n">
        <v>52</v>
      </c>
      <c r="J4933" s="23" t="inlineStr">
        <is>
          <t>978-5-9524-4884-1</t>
        </is>
      </c>
      <c r="K4933" s="23" t="inlineStr">
        <is>
          <t>70x100 1/32</t>
        </is>
      </c>
      <c r="L4933" s="23" t="inlineStr">
        <is>
          <t>мяг</t>
        </is>
      </c>
      <c r="M4933" s="23" t="n">
        <v>159</v>
      </c>
      <c r="N4933" s="23" t="n">
        <v>2010</v>
      </c>
      <c r="O4933" s="23" t="n">
        <v>76</v>
      </c>
      <c r="P4933" s="23" t="n"/>
      <c r="Q4933" s="23" t="n"/>
      <c r="R4933" s="25" t="n"/>
      <c r="S4933" s="26">
        <f>HYPERLINK("http://www.cnpol.ru/covers/11759.jpg","фото на сайте")</f>
        <v/>
      </c>
    </row>
    <row r="4934" ht="50.1" customHeight="1" s="3">
      <c r="A4934" s="23" t="n"/>
      <c r="B4934" s="24" t="inlineStr">
        <is>
          <t>11758</t>
        </is>
      </c>
      <c r="C4934" s="23" t="inlineStr">
        <is>
          <t>ЦЛ НОВЫЕ</t>
        </is>
      </c>
      <c r="D4934" s="23" t="inlineStr">
        <is>
          <t>Никсон</t>
        </is>
      </c>
      <c r="E4934" s="23" t="inlineStr">
        <is>
          <t>Однажды майским утром</t>
        </is>
      </c>
      <c r="F4934" s="23" t="inlineStr">
        <is>
          <t>        </t>
        </is>
      </c>
      <c r="G4934" s="23" t="n">
        <v>97</v>
      </c>
      <c r="H4934" s="23" t="n">
        <v>10</v>
      </c>
      <c r="I4934" s="23" t="n">
        <v>48</v>
      </c>
      <c r="J4934" s="23" t="inlineStr">
        <is>
          <t>978-5-9524-4885-8</t>
        </is>
      </c>
      <c r="K4934" s="23" t="inlineStr">
        <is>
          <t>70x100 1/32</t>
        </is>
      </c>
      <c r="L4934" s="23" t="inlineStr">
        <is>
          <t>мяг</t>
        </is>
      </c>
      <c r="M4934" s="23" t="n">
        <v>159</v>
      </c>
      <c r="N4934" s="23" t="n">
        <v>2010</v>
      </c>
      <c r="O4934" s="23" t="n">
        <v>76</v>
      </c>
      <c r="P4934" s="23" t="n"/>
      <c r="Q4934" s="23" t="n"/>
      <c r="R4934" s="25" t="n"/>
      <c r="S4934" s="26">
        <f>HYPERLINK("http://www.cnpol.ru/covers/11758.jpg","фото на сайте")</f>
        <v/>
      </c>
    </row>
    <row r="4935" ht="50.1" customHeight="1" s="3">
      <c r="A4935" s="23" t="n"/>
      <c r="B4935" s="24" t="inlineStr">
        <is>
          <t>10400</t>
        </is>
      </c>
      <c r="C4935" s="23" t="inlineStr">
        <is>
          <t>ЦЛ НОВЫЕ</t>
        </is>
      </c>
      <c r="D4935" s="23" t="inlineStr">
        <is>
          <t>Малькольм</t>
        </is>
      </c>
      <c r="E4935" s="23" t="inlineStr">
        <is>
          <t>Очарование юности</t>
        </is>
      </c>
      <c r="F4935" s="23" t="inlineStr">
        <is>
          <t>        </t>
        </is>
      </c>
      <c r="G4935" s="23" t="n">
        <v>97</v>
      </c>
      <c r="H4935" s="23" t="n">
        <v>10</v>
      </c>
      <c r="I4935" s="23" t="n">
        <v>30</v>
      </c>
      <c r="J4935" s="23" t="inlineStr">
        <is>
          <t>978-5-9524-2574-3</t>
        </is>
      </c>
      <c r="K4935" s="23" t="inlineStr">
        <is>
          <t>70x100 1/32</t>
        </is>
      </c>
      <c r="L4935" s="23" t="inlineStr">
        <is>
          <t>мяг</t>
        </is>
      </c>
      <c r="M4935" s="23" t="n">
        <v>160</v>
      </c>
      <c r="N4935" s="23" t="n">
        <v>2008</v>
      </c>
      <c r="O4935" s="23" t="n">
        <v>74</v>
      </c>
      <c r="P4935" s="23" t="n"/>
      <c r="Q4935" s="23" t="n"/>
      <c r="R4935" s="25" t="n"/>
      <c r="S4935" s="26">
        <f>HYPERLINK("http://www.cnpol.ru/covers/10400.jpg","фото на сайте")</f>
        <v/>
      </c>
    </row>
    <row r="4936" ht="50.1" customHeight="1" s="3">
      <c r="A4936" s="23" t="n"/>
      <c r="B4936" s="24" t="inlineStr">
        <is>
          <t>11473</t>
        </is>
      </c>
      <c r="C4936" s="23" t="inlineStr">
        <is>
          <t>ЦЛ НОВЫЕ</t>
        </is>
      </c>
      <c r="D4936" s="23" t="inlineStr">
        <is>
          <t>Хой Э.</t>
        </is>
      </c>
      <c r="E4936" s="23" t="inlineStr">
        <is>
          <t>Пейзаж с незнакомцем</t>
        </is>
      </c>
      <c r="F4936" s="23" t="inlineStr">
        <is>
          <t>        </t>
        </is>
      </c>
      <c r="G4936" s="23" t="n">
        <v>62</v>
      </c>
      <c r="H4936" s="23" t="n">
        <v>10</v>
      </c>
      <c r="I4936" s="23" t="n">
        <v>30</v>
      </c>
      <c r="J4936" s="23" t="inlineStr">
        <is>
          <t>978-5-9524-4507-9</t>
        </is>
      </c>
      <c r="K4936" s="23" t="inlineStr">
        <is>
          <t>70x100 1/32</t>
        </is>
      </c>
      <c r="L4936" s="23" t="inlineStr">
        <is>
          <t>мяг</t>
        </is>
      </c>
      <c r="M4936" s="23" t="n">
        <v>159</v>
      </c>
      <c r="N4936" s="23" t="n">
        <v>2009</v>
      </c>
      <c r="O4936" s="23" t="n">
        <v>80</v>
      </c>
      <c r="P4936" s="23" t="n"/>
      <c r="Q4936" s="23" t="n"/>
      <c r="R4936" s="25" t="n"/>
      <c r="S4936" s="26">
        <f>HYPERLINK("http://www.cnpol.ru/covers/11473.jpg","фото на сайте")</f>
        <v/>
      </c>
    </row>
    <row r="4937" ht="50.1" customHeight="1" s="3">
      <c r="A4937" s="23" t="n"/>
      <c r="B4937" s="24" t="inlineStr">
        <is>
          <t>10399</t>
        </is>
      </c>
      <c r="C4937" s="23" t="inlineStr">
        <is>
          <t>ЦЛ НОВЫЕ</t>
        </is>
      </c>
      <c r="D4937" s="23" t="inlineStr">
        <is>
          <t>Гиллен Л.</t>
        </is>
      </c>
      <c r="E4937" s="23" t="inlineStr">
        <is>
          <t>Под шепот сердец</t>
        </is>
      </c>
      <c r="F4937" s="23" t="inlineStr">
        <is>
          <t>        </t>
        </is>
      </c>
      <c r="G4937" s="23" t="n">
        <v>97</v>
      </c>
      <c r="H4937" s="23" t="n">
        <v>10</v>
      </c>
      <c r="I4937" s="23" t="n">
        <v>30</v>
      </c>
      <c r="J4937" s="23" t="inlineStr">
        <is>
          <t>978-5-9524-3625-1</t>
        </is>
      </c>
      <c r="K4937" s="23" t="inlineStr">
        <is>
          <t>70x100 1/32</t>
        </is>
      </c>
      <c r="L4937" s="23" t="inlineStr">
        <is>
          <t>мяг</t>
        </is>
      </c>
      <c r="M4937" s="23" t="n">
        <v>160</v>
      </c>
      <c r="N4937" s="23" t="n">
        <v>2008</v>
      </c>
      <c r="O4937" s="23" t="n">
        <v>74</v>
      </c>
      <c r="P4937" s="23" t="n"/>
      <c r="Q4937" s="23" t="n"/>
      <c r="R4937" s="25" t="n"/>
      <c r="S4937" s="26">
        <f>HYPERLINK("http://www.cnpol.ru/covers/10399.jpg","фото на сайте")</f>
        <v/>
      </c>
    </row>
    <row r="4938" ht="50.1" customHeight="1" s="3">
      <c r="A4938" s="23" t="n"/>
      <c r="B4938" s="24" t="inlineStr">
        <is>
          <t>11507</t>
        </is>
      </c>
      <c r="C4938" s="23" t="inlineStr">
        <is>
          <t>ЦЛ НОВЫЕ</t>
        </is>
      </c>
      <c r="D4938" s="23" t="inlineStr">
        <is>
          <t>Мэй У.</t>
        </is>
      </c>
      <c r="E4938" s="23" t="inlineStr">
        <is>
          <t>Сандаловая луна</t>
        </is>
      </c>
      <c r="F4938" s="23" t="inlineStr">
        <is>
          <t>        </t>
        </is>
      </c>
      <c r="G4938" s="23" t="n">
        <v>62</v>
      </c>
      <c r="H4938" s="23" t="n">
        <v>10</v>
      </c>
      <c r="I4938" s="23" t="n">
        <v>40</v>
      </c>
      <c r="J4938" s="23" t="inlineStr">
        <is>
          <t>978-5-9524-4696-0</t>
        </is>
      </c>
      <c r="K4938" s="23" t="inlineStr">
        <is>
          <t>70x100 1/32</t>
        </is>
      </c>
      <c r="L4938" s="23" t="inlineStr">
        <is>
          <t>мяг</t>
        </is>
      </c>
      <c r="M4938" s="23" t="n">
        <v>158</v>
      </c>
      <c r="N4938" s="23" t="n">
        <v>2009</v>
      </c>
      <c r="O4938" s="23" t="n">
        <v>78</v>
      </c>
      <c r="P4938" s="23" t="n"/>
      <c r="Q4938" s="23" t="n"/>
      <c r="R4938" s="25" t="n"/>
      <c r="S4938" s="26">
        <f>HYPERLINK("http://www.cnpol.ru/covers/11507.jpg","фото на сайте")</f>
        <v/>
      </c>
    </row>
    <row r="4939" ht="50.1" customHeight="1" s="3">
      <c r="A4939" s="23" t="n"/>
      <c r="B4939" s="24" t="inlineStr">
        <is>
          <t>11505</t>
        </is>
      </c>
      <c r="C4939" s="23" t="inlineStr">
        <is>
          <t>ЦЛ НОВЫЕ</t>
        </is>
      </c>
      <c r="D4939" s="23" t="inlineStr">
        <is>
          <t>Пик Л.</t>
        </is>
      </c>
      <c r="E4939" s="23" t="inlineStr">
        <is>
          <t>Спрятанная красота</t>
        </is>
      </c>
      <c r="F4939" s="23" t="inlineStr">
        <is>
          <t>        </t>
        </is>
      </c>
      <c r="G4939" s="23" t="n">
        <v>97</v>
      </c>
      <c r="H4939" s="23" t="n">
        <v>10</v>
      </c>
      <c r="I4939" s="23" t="n">
        <v>40</v>
      </c>
      <c r="J4939" s="23" t="inlineStr">
        <is>
          <t>978-5-9524-4633-5</t>
        </is>
      </c>
      <c r="K4939" s="23" t="inlineStr">
        <is>
          <t>70x100 1/32</t>
        </is>
      </c>
      <c r="L4939" s="23" t="inlineStr">
        <is>
          <t>мяг</t>
        </is>
      </c>
      <c r="M4939" s="23" t="n">
        <v>160</v>
      </c>
      <c r="N4939" s="23" t="n">
        <v>2009</v>
      </c>
      <c r="O4939" s="23" t="n">
        <v>78</v>
      </c>
      <c r="P4939" s="23" t="n"/>
      <c r="Q4939" s="23" t="n"/>
      <c r="R4939" s="25" t="n"/>
      <c r="S4939" s="26">
        <f>HYPERLINK("http://www.cnpol.ru/covers/11505.jpg","фото на сайте")</f>
        <v/>
      </c>
    </row>
    <row r="4940" ht="50.1" customHeight="1" s="3">
      <c r="A4940" s="23" t="n"/>
      <c r="B4940" s="24" t="inlineStr">
        <is>
          <t>10894</t>
        </is>
      </c>
      <c r="C4940" s="23" t="inlineStr">
        <is>
          <t>ЦЛ НОВЫЕ</t>
        </is>
      </c>
      <c r="D4940" s="23" t="inlineStr">
        <is>
          <t>Чейс</t>
        </is>
      </c>
      <c r="E4940" s="23" t="inlineStr">
        <is>
          <t>Ты будешь рядом</t>
        </is>
      </c>
      <c r="F4940" s="23" t="inlineStr">
        <is>
          <t>        </t>
        </is>
      </c>
      <c r="G4940" s="23" t="n">
        <v>97</v>
      </c>
      <c r="H4940" s="23" t="n">
        <v>10</v>
      </c>
      <c r="I4940" s="23" t="n">
        <v>30</v>
      </c>
      <c r="J4940" s="23" t="inlineStr">
        <is>
          <t>978-5-9524-3715-9</t>
        </is>
      </c>
      <c r="K4940" s="23" t="inlineStr">
        <is>
          <t>70x100 1/32</t>
        </is>
      </c>
      <c r="L4940" s="23" t="inlineStr">
        <is>
          <t>мяг</t>
        </is>
      </c>
      <c r="M4940" s="23" t="n">
        <v>158</v>
      </c>
      <c r="N4940" s="23" t="n">
        <v>2008</v>
      </c>
      <c r="O4940" s="23" t="n">
        <v>76</v>
      </c>
      <c r="P4940" s="23" t="n"/>
      <c r="Q4940" s="23" t="n"/>
      <c r="R4940" s="25" t="n"/>
      <c r="S4940" s="26">
        <f>HYPERLINK("http://www.cnpol.ru/covers/10894.jpg","фото на сайте")</f>
        <v/>
      </c>
    </row>
    <row r="4941" ht="50.1" customHeight="1" s="3">
      <c r="A4941" s="23" t="n"/>
      <c r="B4941" s="24" t="inlineStr">
        <is>
          <t>16412</t>
        </is>
      </c>
      <c r="C4941" s="23" t="inlineStr">
        <is>
          <t>ЧЕЙЗ ЧД</t>
        </is>
      </c>
      <c r="D4941" s="23" t="inlineStr">
        <is>
          <t>Чейз Д.Х.</t>
        </is>
      </c>
      <c r="E4941" s="23" t="inlineStr">
        <is>
          <t>Блондинка из Пекина / Предоставьте это мне</t>
        </is>
      </c>
      <c r="F4941" s="23" t="inlineStr">
        <is>
          <t>        </t>
        </is>
      </c>
      <c r="G4941" s="23" t="n">
        <v>534</v>
      </c>
      <c r="H4941" s="23" t="n">
        <v>10</v>
      </c>
      <c r="I4941" s="23" t="n">
        <v>16</v>
      </c>
      <c r="J4941" s="23" t="inlineStr">
        <is>
          <t>978-5-227-06259-8</t>
        </is>
      </c>
      <c r="K4941" s="23" t="inlineStr">
        <is>
          <t>84x108 1/32</t>
        </is>
      </c>
      <c r="L4941" s="23" t="inlineStr">
        <is>
          <t>тв</t>
        </is>
      </c>
      <c r="M4941" s="23" t="n">
        <v>320</v>
      </c>
      <c r="N4941" s="23" t="n">
        <v>2015</v>
      </c>
      <c r="O4941" s="23" t="n">
        <v>310</v>
      </c>
      <c r="P4941" s="23" t="n"/>
      <c r="Q4941" s="23" t="n"/>
      <c r="R4941" s="25" t="inlineStr">
        <is>
          <t>Любовница китайского ученого, работающего над созданием нового оружия, найдена в Париже... в бессознательном состоянии. Диагноз — амнезия. Бывший агент ЦРУ Марк Гирланд соглашается сыграть роль ее мужа, чтобы выведать секреты восточного гения. За лжесупругами начинается настоящая охота спецслужб и бандитов разных стран... («Блондинка из Пекина»)._x000D_
Бывший секретный агент Марк Гирланд за большой куш, обещанный ему шефом Дори, отправляется в Прагу, за пресловутый «железный занавес», чтобы выполнить сомнительную работу. Марк, конечно, не знает, что ему отводится жалкая роль «бычка на заклание». Но он не из тех, кто готов дешево отдать свою жизнь, тем более что от него зависят судьбы мировой политики… («Предоставьте это мне»).</t>
        </is>
      </c>
      <c r="S4941" s="26">
        <f>HYPERLINK("http://www.cnpol.ru/covers/16412.jpg","фото на сайте")</f>
        <v/>
      </c>
    </row>
    <row r="4942" ht="50.1" customHeight="1" s="3">
      <c r="A4942" s="23" t="n"/>
      <c r="B4942" s="24" t="inlineStr">
        <is>
          <t>16894</t>
        </is>
      </c>
      <c r="C4942" s="23" t="inlineStr">
        <is>
          <t>ЧЕЙЗ ЧД</t>
        </is>
      </c>
      <c r="D4942" s="23" t="inlineStr">
        <is>
          <t>Чейз Д.Х.</t>
        </is>
      </c>
      <c r="E4942" s="23" t="inlineStr">
        <is>
          <t>Иногда деньги пахнут / Без денег ты мертв</t>
        </is>
      </c>
      <c r="F4942" s="23" t="inlineStr">
        <is>
          <t>        </t>
        </is>
      </c>
      <c r="G4942" s="23" t="n">
        <v>534</v>
      </c>
      <c r="H4942" s="23" t="n">
        <v>10</v>
      </c>
      <c r="I4942" s="23" t="n">
        <v>14</v>
      </c>
      <c r="J4942" s="23" t="inlineStr">
        <is>
          <t>978-5-227-06361-8</t>
        </is>
      </c>
      <c r="K4942" s="23" t="inlineStr">
        <is>
          <t>84x108 1/32</t>
        </is>
      </c>
      <c r="L4942" s="23" t="inlineStr">
        <is>
          <t>тв</t>
        </is>
      </c>
      <c r="M4942" s="23" t="n">
        <v>320</v>
      </c>
      <c r="N4942" s="23" t="n">
        <v>2016</v>
      </c>
      <c r="O4942" s="23" t="n">
        <v>280</v>
      </c>
      <c r="P4942" s="23" t="n"/>
      <c r="Q4942" s="23" t="n"/>
      <c r="R4942" s="25" t="n"/>
      <c r="S4942" s="26">
        <f>HYPERLINK("http://www.cnpol.ru/covers/16894.jpg","фото на сайте")</f>
        <v/>
      </c>
    </row>
    <row r="4943" ht="50.1" customHeight="1" s="3">
      <c r="A4943" s="23" t="n"/>
      <c r="B4943" s="24" t="inlineStr">
        <is>
          <t>16799</t>
        </is>
      </c>
      <c r="C4943" s="23" t="inlineStr">
        <is>
          <t>ЧЕЙЗ ЧД</t>
        </is>
      </c>
      <c r="D4943" s="23" t="inlineStr">
        <is>
          <t>Чейз Д.Х.</t>
        </is>
      </c>
      <c r="E4943" s="23" t="inlineStr">
        <is>
          <t>Миссия в Сиену / Ты найдешь - я расправлюсь</t>
        </is>
      </c>
      <c r="F4943" s="23" t="inlineStr">
        <is>
          <t>        </t>
        </is>
      </c>
      <c r="G4943" s="23" t="n">
        <v>534</v>
      </c>
      <c r="H4943" s="23" t="n">
        <v>10</v>
      </c>
      <c r="I4943" s="23" t="n">
        <v>10</v>
      </c>
      <c r="J4943" s="23" t="inlineStr">
        <is>
          <t>978-5-227-06258-1</t>
        </is>
      </c>
      <c r="K4943" s="23" t="inlineStr">
        <is>
          <t>84x108 1/32</t>
        </is>
      </c>
      <c r="L4943" s="23" t="inlineStr">
        <is>
          <t>тв</t>
        </is>
      </c>
      <c r="M4943" s="23" t="n">
        <v>320</v>
      </c>
      <c r="N4943" s="23" t="n">
        <v>2016</v>
      </c>
      <c r="O4943" s="23" t="n">
        <v>280</v>
      </c>
      <c r="P4943" s="23" t="n"/>
      <c r="Q4943" s="23" t="n"/>
      <c r="R4943" s="25" t="n"/>
      <c r="S4943" s="26">
        <f>HYPERLINK("http://www.cnpol.ru/covers/16799.jpg","фото на сайте")</f>
        <v/>
      </c>
    </row>
    <row r="4944" ht="50.1" customHeight="1" s="3">
      <c r="A4944" s="23" t="n"/>
      <c r="B4944" s="24" t="inlineStr">
        <is>
          <t>16886</t>
        </is>
      </c>
      <c r="C4944" s="23" t="inlineStr">
        <is>
          <t>ЧЕЙЗ ЧД</t>
        </is>
      </c>
      <c r="D4944" s="23" t="inlineStr">
        <is>
          <t>Чейз Д.Х.</t>
        </is>
      </c>
      <c r="E4944" s="23" t="inlineStr">
        <is>
          <t>Нас похоронят вместе / Избавьте меня от нее</t>
        </is>
      </c>
      <c r="F4944" s="23" t="inlineStr">
        <is>
          <t>        </t>
        </is>
      </c>
      <c r="G4944" s="23" t="n">
        <v>534</v>
      </c>
      <c r="H4944" s="23" t="n">
        <v>10</v>
      </c>
      <c r="I4944" s="23" t="n">
        <v>14</v>
      </c>
      <c r="J4944" s="23" t="inlineStr">
        <is>
          <t>978-5-227-06300-7</t>
        </is>
      </c>
      <c r="K4944" s="23" t="inlineStr">
        <is>
          <t>84x108 1/32</t>
        </is>
      </c>
      <c r="L4944" s="23" t="inlineStr">
        <is>
          <t>тв</t>
        </is>
      </c>
      <c r="M4944" s="23" t="n">
        <v>320</v>
      </c>
      <c r="N4944" s="23" t="n">
        <v>2016</v>
      </c>
      <c r="O4944" s="23" t="n">
        <v>280</v>
      </c>
      <c r="P4944" s="23" t="n"/>
      <c r="Q4944" s="23" t="n"/>
      <c r="R4944" s="25" t="n"/>
      <c r="S4944" s="26">
        <f>HYPERLINK("http://www.cnpol.ru/covers/16886.jpg","фото на сайте")</f>
        <v/>
      </c>
    </row>
    <row r="4945" ht="50.1" customHeight="1" s="3">
      <c r="A4945" s="23" t="n"/>
      <c r="B4945" s="24" t="inlineStr">
        <is>
          <t>14912</t>
        </is>
      </c>
      <c r="C4945" s="23" t="inlineStr">
        <is>
          <t>ЧИТАТЬ</t>
        </is>
      </c>
      <c r="D4945" s="23" t="inlineStr">
        <is>
          <t>Колганов В. А.</t>
        </is>
      </c>
      <c r="E4945" s="23" t="inlineStr">
        <is>
          <t>Лулу</t>
        </is>
      </c>
      <c r="F4945" s="23" t="inlineStr">
        <is>
          <t>        </t>
        </is>
      </c>
      <c r="G4945" s="23" t="n">
        <v>593</v>
      </c>
      <c r="H4945" s="23" t="n">
        <v>10</v>
      </c>
      <c r="I4945" s="23" t="n">
        <v>20</v>
      </c>
      <c r="J4945" s="23" t="inlineStr">
        <is>
          <t>978-5-227-04540-9</t>
        </is>
      </c>
      <c r="K4945" s="23" t="inlineStr">
        <is>
          <t>84x108 1/32</t>
        </is>
      </c>
      <c r="L4945" s="23" t="inlineStr">
        <is>
          <t>тв</t>
        </is>
      </c>
      <c r="M4945" s="23" t="n">
        <v>255</v>
      </c>
      <c r="N4945" s="23" t="n">
        <v>2014</v>
      </c>
      <c r="O4945" s="23" t="n">
        <v>306</v>
      </c>
      <c r="P4945" s="23" t="n"/>
      <c r="Q4945" s="23" t="n"/>
      <c r="R4945" s="25" t="inlineStr">
        <is>
          <t>Роман посвящен событиям лихих девяностых годов, когда люди, воспитанные в стране, где правила КПСС, пытались приспособиться к реалиям новой жизни. Герой романа пробует разбогатеть, стать одним из нуворишей, однако возникает нравственный конфликт, который препятствует его успеху.</t>
        </is>
      </c>
      <c r="S4945" s="26">
        <f>HYPERLINK("http://www.cnpol.ru/covers/14912.jpg","фото на сайте")</f>
        <v/>
      </c>
    </row>
    <row r="4946" ht="50.1" customHeight="1" s="3">
      <c r="A4946" s="23" t="n"/>
      <c r="B4946" s="24" t="inlineStr">
        <is>
          <t>14596</t>
        </is>
      </c>
      <c r="C4946" s="23" t="inlineStr">
        <is>
          <t>ЧИТАТЬ</t>
        </is>
      </c>
      <c r="D4946" s="23" t="inlineStr">
        <is>
          <t>Абросимов Ю.</t>
        </is>
      </c>
      <c r="E4946" s="23" t="inlineStr">
        <is>
          <t>Пожитки</t>
        </is>
      </c>
      <c r="F4946" s="23" t="inlineStr">
        <is>
          <t>        </t>
        </is>
      </c>
      <c r="G4946" s="23" t="n">
        <v>574</v>
      </c>
      <c r="H4946" s="23" t="n">
        <v>10</v>
      </c>
      <c r="I4946" s="23" t="n">
        <v>20</v>
      </c>
      <c r="J4946" s="23" t="inlineStr">
        <is>
          <t>978-5-227-04626-0</t>
        </is>
      </c>
      <c r="K4946" s="23" t="inlineStr">
        <is>
          <t>84x108 1/32</t>
        </is>
      </c>
      <c r="L4946" s="23" t="inlineStr">
        <is>
          <t>тв</t>
        </is>
      </c>
      <c r="M4946" s="23" t="n">
        <v>253</v>
      </c>
      <c r="N4946" s="23" t="n">
        <v>2013</v>
      </c>
      <c r="O4946" s="23" t="n">
        <v>312</v>
      </c>
      <c r="P4946" s="23" t="n"/>
      <c r="Q4946" s="23" t="n"/>
      <c r="R4946" s="25" t="n"/>
      <c r="S4946" s="26">
        <f>HYPERLINK("http://www.cnpol.ru/covers/14596.jpg","фото на сайте")</f>
        <v/>
      </c>
    </row>
    <row r="4947" ht="50.1" customHeight="1" s="3">
      <c r="A4947" s="23" t="n"/>
      <c r="B4947" s="24" t="inlineStr">
        <is>
          <t>14357</t>
        </is>
      </c>
      <c r="C4947" s="23" t="inlineStr">
        <is>
          <t>ЧИТАТЬ</t>
        </is>
      </c>
      <c r="D4947" s="23" t="inlineStr">
        <is>
          <t>Казаков В.</t>
        </is>
      </c>
      <c r="E4947" s="23" t="inlineStr">
        <is>
          <t>Роман Флобера</t>
        </is>
      </c>
      <c r="F4947" s="23" t="inlineStr">
        <is>
          <t>        </t>
        </is>
      </c>
      <c r="G4947" s="23" t="n">
        <v>508</v>
      </c>
      <c r="H4947" s="23" t="n">
        <v>10</v>
      </c>
      <c r="I4947" s="23" t="n">
        <v>22</v>
      </c>
      <c r="J4947" s="23" t="inlineStr">
        <is>
          <t>978-5-227-04424-2</t>
        </is>
      </c>
      <c r="K4947" s="23" t="inlineStr">
        <is>
          <t>84x108 1/32</t>
        </is>
      </c>
      <c r="L4947" s="23" t="inlineStr">
        <is>
          <t>тв</t>
        </is>
      </c>
      <c r="M4947" s="23" t="n">
        <v>191</v>
      </c>
      <c r="N4947" s="23" t="n">
        <v>2013</v>
      </c>
      <c r="O4947" s="23" t="n">
        <v>260</v>
      </c>
      <c r="P4947" s="23" t="n"/>
      <c r="Q4947" s="23" t="n"/>
      <c r="R4947" s="25" t="n"/>
      <c r="S4947" s="26">
        <f>HYPERLINK("http://www.cnpol.ru/covers/14357.jpg","фото на сайте")</f>
        <v/>
      </c>
    </row>
    <row r="4948" ht="50.1" customHeight="1" s="3">
      <c r="A4948" s="23" t="n"/>
      <c r="B4948" s="24" t="inlineStr">
        <is>
          <t>15051</t>
        </is>
      </c>
      <c r="C4948" s="23" t="inlineStr">
        <is>
          <t>ЧИТАТЬ</t>
        </is>
      </c>
      <c r="D4948" s="23" t="inlineStr">
        <is>
          <t>Поляков (Катин) Д.</t>
        </is>
      </c>
      <c r="E4948" s="23" t="inlineStr">
        <is>
          <t>Скользящие в рай</t>
        </is>
      </c>
      <c r="F4948" s="23" t="inlineStr">
        <is>
          <t>        </t>
        </is>
      </c>
      <c r="G4948" s="23" t="n">
        <v>615</v>
      </c>
      <c r="H4948" s="23" t="n">
        <v>10</v>
      </c>
      <c r="I4948" s="23" t="n">
        <v>16</v>
      </c>
      <c r="J4948" s="23" t="inlineStr">
        <is>
          <t>978-5-227-04996-4</t>
        </is>
      </c>
      <c r="K4948" s="23" t="inlineStr">
        <is>
          <t>84x108 1/32</t>
        </is>
      </c>
      <c r="L4948" s="23" t="inlineStr">
        <is>
          <t>тв</t>
        </is>
      </c>
      <c r="M4948" s="23" t="n">
        <v>349</v>
      </c>
      <c r="N4948" s="23" t="n">
        <v>2014</v>
      </c>
      <c r="O4948" s="23" t="n">
        <v>364</v>
      </c>
      <c r="P4948" s="23" t="n"/>
      <c r="Q4948" s="23" t="n"/>
      <c r="R4948" s="25" t="n"/>
      <c r="S4948" s="26">
        <f>HYPERLINK("http://www.cnpol.ru/covers/15051.jpg","фото на сайте")</f>
        <v/>
      </c>
    </row>
    <row r="4949" ht="50.1" customHeight="1" s="3">
      <c r="A4949" s="23" t="n"/>
      <c r="B4949" s="24" t="inlineStr">
        <is>
          <t>7981</t>
        </is>
      </c>
      <c r="C4949" s="23" t="inlineStr">
        <is>
          <t>ЧК</t>
        </is>
      </c>
      <c r="D4949" s="23" t="inlineStr">
        <is>
          <t>Харрисон С.</t>
        </is>
      </c>
      <c r="E4949" s="23" t="inlineStr">
        <is>
          <t>Как братец кролик победил слона</t>
        </is>
      </c>
      <c r="F4949" s="23" t="inlineStr">
        <is>
          <t>        </t>
        </is>
      </c>
      <c r="G4949" s="23" t="n">
        <v>534</v>
      </c>
      <c r="H4949" s="23" t="n">
        <v>10</v>
      </c>
      <c r="I4949" s="23" t="n">
        <v>15</v>
      </c>
      <c r="J4949" s="23" t="inlineStr">
        <is>
          <t>978-5-9524-2777-8</t>
        </is>
      </c>
      <c r="K4949" s="23" t="inlineStr">
        <is>
          <t>84x108 1/16</t>
        </is>
      </c>
      <c r="L4949" s="23" t="inlineStr">
        <is>
          <t>тв</t>
        </is>
      </c>
      <c r="M4949" s="23" t="n">
        <v>48</v>
      </c>
      <c r="N4949" s="23" t="n">
        <v>2008</v>
      </c>
      <c r="O4949" s="23" t="n">
        <v>292</v>
      </c>
      <c r="P4949" s="23" t="n"/>
      <c r="Q4949" s="23" t="n"/>
      <c r="R4949" s="25" t="inlineStr">
        <is>
          <t>В этой книге собраны народные сказки Африки, Индии, Японии, Центральной Америки и сказки Северной Америки, записанные американским писателем Джоэлем Чендлером Харрисом.</t>
        </is>
      </c>
      <c r="S4949" s="26">
        <f>HYPERLINK("http://www.cnpol.ru/covers/7981.jpg","фото на сайте")</f>
        <v/>
      </c>
    </row>
    <row r="4950" ht="50.1" customHeight="1" s="3">
      <c r="A4950" s="23" t="n"/>
      <c r="B4950" s="24" t="inlineStr">
        <is>
          <t>7753</t>
        </is>
      </c>
      <c r="C4950" s="23" t="inlineStr">
        <is>
          <t>ШАГАНОВ</t>
        </is>
      </c>
      <c r="D4950" s="23" t="inlineStr">
        <is>
          <t>Шаганов А.</t>
        </is>
      </c>
      <c r="E4950" s="23" t="inlineStr">
        <is>
          <t>Я Шаганов по Москве</t>
        </is>
      </c>
      <c r="F4950" s="23" t="inlineStr">
        <is>
          <t>        </t>
        </is>
      </c>
      <c r="G4950" s="23" t="n">
        <v>554</v>
      </c>
      <c r="H4950" s="23" t="n">
        <v>10</v>
      </c>
      <c r="I4950" s="23" t="n">
        <v>18</v>
      </c>
      <c r="J4950" s="23" t="inlineStr">
        <is>
          <t>978-5-9524-2607-8</t>
        </is>
      </c>
      <c r="K4950" s="23" t="inlineStr">
        <is>
          <t>84x108 1/32</t>
        </is>
      </c>
      <c r="L4950" s="23" t="inlineStr">
        <is>
          <t>тв</t>
        </is>
      </c>
      <c r="M4950" s="23" t="n">
        <v>271</v>
      </c>
      <c r="N4950" s="23" t="n">
        <v>2008</v>
      </c>
      <c r="O4950" s="23" t="n">
        <v>330</v>
      </c>
      <c r="P4950" s="23" t="n"/>
      <c r="Q4950" s="23" t="n"/>
      <c r="R4950" s="25" t="n"/>
      <c r="S4950" s="26">
        <f>HYPERLINK("http://www.cnpol.ru/covers/7753.jpg","фото на сайте")</f>
        <v/>
      </c>
    </row>
    <row r="4951" ht="50.1" customHeight="1" s="3">
      <c r="A4951" s="23" t="inlineStr">
        <is>
          <t>Н</t>
        </is>
      </c>
      <c r="B4951" s="24" t="inlineStr">
        <is>
          <t>21500</t>
        </is>
      </c>
      <c r="C4951" s="23" t="inlineStr">
        <is>
          <t>ШЕДЕВРЫ</t>
        </is>
      </c>
      <c r="D4951" s="23" t="inlineStr">
        <is>
          <t>Мудрова И.А.</t>
        </is>
      </c>
      <c r="E4951" s="23" t="inlineStr">
        <is>
          <t>1000 превосходных цитат русских писателей. Мудрость, юмор, ирония, любовь, красота</t>
        </is>
      </c>
      <c r="F4951" s="23" t="inlineStr">
        <is>
          <t>        </t>
        </is>
      </c>
      <c r="G4951" s="23" t="n">
        <v>766</v>
      </c>
      <c r="H4951" s="23" t="n">
        <v>10</v>
      </c>
      <c r="I4951" s="23" t="n">
        <v>3</v>
      </c>
      <c r="J4951" s="23" t="inlineStr">
        <is>
          <t>978-5-227-10985-9</t>
        </is>
      </c>
      <c r="K4951" s="23" t="inlineStr">
        <is>
          <t>70x100 1/32</t>
        </is>
      </c>
      <c r="L4951" s="23" t="inlineStr">
        <is>
          <t>тв</t>
        </is>
      </c>
      <c r="M4951" s="23" t="n">
        <v>350</v>
      </c>
      <c r="N4951" s="23" t="n">
        <v>2025</v>
      </c>
      <c r="O4951" s="23" t="n">
        <v>685</v>
      </c>
      <c r="P4951" s="23" t="n"/>
      <c r="Q4951" s="23" t="n"/>
      <c r="R4951" s="25" t="inlineStr">
        <is>
          <t>Масштабы произведений, эпичность сюжетов и харизма персонажей заставляют склонять голову перед талантом русских писателей. Немецкий писатель Томас Манн однажды назвал русскую литературу святой: «Разве русский — не наиболее человечный из людей? Разве его литература не наиболее всех гуманна?» А один азиатский старец сказал: «Мы были колонией Англии, и европейская культура много дала, но ничто так не потрясло наши души, как русская литература». Не всякая национальная литература выходит за рамки своего языка, становясь частью мировой культуры. Русская литература ставит и решает задачи мирового масштаба. И потому помимо художественной ценности она несёт в себе и некие высшие начала. Предлагаем вашему вниманию превосходный сборник ярких цитат из произведений великих русских писателей и поэтов. Чаадаев и Пушкин, Мамин-Сибиряк и Салтыков-Щедрин, Лесков и Ломоносов, Карамзин и Державин, Лермонтов, Есенин, Достоевский, Некрасов, Чернышевский, Гоголь и ещё много-много прекрасных имён ждут вас в этой книге. Юмор, ирония, любовь, мудрость и красота на каждой странице.</t>
        </is>
      </c>
      <c r="S4951" s="26">
        <f>HYPERLINK("http://www.cnpol.ru/covers/21500.jpg","фото на сайте")</f>
        <v/>
      </c>
    </row>
    <row r="4952" ht="50.1" customHeight="1" s="3">
      <c r="A4952" s="23" t="inlineStr">
        <is>
          <t>Н</t>
        </is>
      </c>
      <c r="B4952" s="24" t="inlineStr">
        <is>
          <t>21384</t>
        </is>
      </c>
      <c r="C4952" s="23" t="inlineStr">
        <is>
          <t>ШЕДЕВРЫ</t>
        </is>
      </c>
      <c r="D4952" s="23" t="inlineStr">
        <is>
          <t>Мартьянова Л.М.</t>
        </is>
      </c>
      <c r="E4952" s="23" t="inlineStr">
        <is>
          <t>30 восточных мыслителей, которых обязательно надо знать</t>
        </is>
      </c>
      <c r="F4952" s="23" t="inlineStr">
        <is>
          <t>        </t>
        </is>
      </c>
      <c r="G4952" s="23" t="n">
        <v>766</v>
      </c>
      <c r="H4952" s="23" t="n">
        <v>10</v>
      </c>
      <c r="I4952" s="23" t="n">
        <v>8</v>
      </c>
      <c r="J4952" s="23" t="inlineStr">
        <is>
          <t>978-5-9524-6076-8</t>
        </is>
      </c>
      <c r="K4952" s="23" t="inlineStr">
        <is>
          <t>70x108 1/32</t>
        </is>
      </c>
      <c r="L4952" s="23" t="inlineStr">
        <is>
          <t>тв</t>
        </is>
      </c>
      <c r="M4952" s="23" t="n">
        <v>383</v>
      </c>
      <c r="N4952" s="23" t="n">
        <v>2024</v>
      </c>
      <c r="O4952" s="23" t="n">
        <v>324</v>
      </c>
      <c r="P4952" s="23" t="n"/>
      <c r="Q4952" s="23" t="n"/>
      <c r="R4952" s="25" t="inlineStr">
        <is>
          <t>Восток – дело тонкое! Именно здесь зародились знания и думы, которые выросли в огромный пласт мировой философии. И хотя основы философии всегда больше относятся к религии, древние мудрецы внесли вклад в развитие метафизики, этики, логики… Традиционное понятие «восточная философия» объединяет индийскую, китайскую и исламские философии, но мы дадим вам представление ещё и о японских мыслителях. Лао-цзы и Конфуций, Сунь-цзы и Сиддхартха Гаутама (он же легендарный Будда), Патанджали и Ишваракришна, Авиценна, Ведавьяса и бессмертный Омар Хайям ждут вас на страницах этой книги.</t>
        </is>
      </c>
      <c r="S4952" s="26">
        <f>HYPERLINK("http://www.cnpol.ru/covers/21384.jpg","фото на сайте")</f>
        <v/>
      </c>
    </row>
    <row r="4953" ht="50.1" customHeight="1" s="3">
      <c r="A4953" s="23" t="inlineStr">
        <is>
          <t>Д</t>
        </is>
      </c>
      <c r="B4953" s="24" t="inlineStr">
        <is>
          <t>21784</t>
        </is>
      </c>
      <c r="C4953" s="23" t="inlineStr">
        <is>
          <t>ШЕДЕВРЫ</t>
        </is>
      </c>
      <c r="D4953" s="23" t="inlineStr">
        <is>
          <t>Группа</t>
        </is>
      </c>
      <c r="E4953" s="23" t="inlineStr">
        <is>
          <t>36 стратагем. Сокровенная книга по военной тактике</t>
        </is>
      </c>
      <c r="F4953" s="23" t="inlineStr">
        <is>
          <t>        </t>
        </is>
      </c>
      <c r="G4953" s="23" t="n">
        <v>701</v>
      </c>
      <c r="H4953" s="23" t="n">
        <v>10</v>
      </c>
      <c r="I4953" s="23" t="n">
        <v>12</v>
      </c>
      <c r="J4953" s="23" t="inlineStr">
        <is>
          <t>978-5-227-11110-4</t>
        </is>
      </c>
      <c r="K4953" s="23" t="inlineStr">
        <is>
          <t>70x108 1/32</t>
        </is>
      </c>
      <c r="L4953" s="23" t="inlineStr">
        <is>
          <t>тв</t>
        </is>
      </c>
      <c r="M4953" s="23" t="n">
        <v>288</v>
      </c>
      <c r="N4953" s="23" t="n">
        <v>2025</v>
      </c>
      <c r="O4953" s="23" t="n">
        <v>260</v>
      </c>
      <c r="P4953" s="23" t="n"/>
      <c r="Q4953" s="23" t="n"/>
      <c r="R4953" s="25" t="inlineStr">
        <is>
          <t>Стратагема — некий алгоритм поведения, просчитанная последовательность действий, направленных на достижение скрытой цели или решение какой-либо задачи с обязательным учетом психологии объекта, его положения, обстановки и других особенностей ситуации. Это понятие существует в культуре Китая не менее трех тысяч лет. _x000D_
Точно определить дату создания этого собрания стратагем невозможно. Книгу приблизительно можно отнести к династии Мин, хотя в ней нет указания ни на автора, ни на дату. Авторство в разное время приписывалось Сунь-цзы (эпоха Весны и Осени) и Чжугэ Ляну (Троецарствие). Большинство современных ученых склоняется к тому, что трактат вышел из устной и письменной традиции и имеет множество вариантов и авторов.</t>
        </is>
      </c>
      <c r="S4953" s="26">
        <f>HYPERLINK("http://www.cnpol.ru/covers/21784.jpg","фото на сайте")</f>
        <v/>
      </c>
    </row>
    <row r="4954" ht="50.1" customHeight="1" s="3">
      <c r="A4954" s="23" t="inlineStr">
        <is>
          <t>Н</t>
        </is>
      </c>
      <c r="B4954" s="24" t="inlineStr">
        <is>
          <t>21434</t>
        </is>
      </c>
      <c r="C4954" s="23" t="inlineStr">
        <is>
          <t>ШЕДЕВРЫ</t>
        </is>
      </c>
      <c r="D4954" s="23" t="inlineStr">
        <is>
          <t>Мудрова И.А.</t>
        </is>
      </c>
      <c r="E4954" s="23" t="inlineStr">
        <is>
          <t>37 французских философов, которых обязательно надо знать</t>
        </is>
      </c>
      <c r="F4954" s="23" t="inlineStr">
        <is>
          <t>        </t>
        </is>
      </c>
      <c r="G4954" s="23" t="n">
        <v>794</v>
      </c>
      <c r="H4954" s="23" t="n">
        <v>10</v>
      </c>
      <c r="I4954" s="23" t="n">
        <v>2</v>
      </c>
      <c r="J4954" s="23" t="inlineStr">
        <is>
          <t>978-5-9524-6073-7</t>
        </is>
      </c>
      <c r="K4954" s="23" t="inlineStr">
        <is>
          <t>70x108 1/32</t>
        </is>
      </c>
      <c r="L4954" s="23" t="inlineStr">
        <is>
          <t>тв</t>
        </is>
      </c>
      <c r="M4954" s="23" t="n">
        <v>415</v>
      </c>
      <c r="N4954" s="23" t="n">
        <v>2025</v>
      </c>
      <c r="O4954" s="23" t="n">
        <v>320</v>
      </c>
      <c r="P4954" s="23" t="n"/>
      <c r="Q4954" s="23" t="n"/>
      <c r="R4954" s="25" t="inlineStr">
        <is>
          <t>В XX веке французская философия стала одной из самых влиятельных в мире и по сей день сохраняет своё действие на современные умы. В этой небольшой, но очень информативной книге мы расскажем вам о самых известных французских просветителях и мыслителях. Жан-Жак Руссо и Мишель Монтень, Пьер Абеляр и Блез Паскаль, Вольтер и Дени Дидро, Рене Декарт и Николя Мальбранш… Каждый из этого списка стоит того, чтобы мы хотя бы немного приобщились к их мудрости.</t>
        </is>
      </c>
      <c r="S4954" s="26">
        <f>HYPERLINK("http://www.cnpol.ru/covers/21434.jpg","фото на сайте")</f>
        <v/>
      </c>
    </row>
    <row r="4955" ht="50.1" customHeight="1" s="3">
      <c r="A4955" s="23" t="inlineStr">
        <is>
          <t>Н</t>
        </is>
      </c>
      <c r="B4955" s="24" t="inlineStr">
        <is>
          <t>21280</t>
        </is>
      </c>
      <c r="C4955" s="23" t="inlineStr">
        <is>
          <t>ШЕДЕВРЫ</t>
        </is>
      </c>
      <c r="D4955" s="23" t="inlineStr">
        <is>
          <t>Мудрова И.А.</t>
        </is>
      </c>
      <c r="E4955" s="23" t="inlineStr">
        <is>
          <t>44 древнегреческих мудреца, которых обязательно надо читать</t>
        </is>
      </c>
      <c r="F4955" s="23" t="inlineStr">
        <is>
          <t>        </t>
        </is>
      </c>
      <c r="G4955" s="23" t="n">
        <v>766</v>
      </c>
      <c r="H4955" s="23" t="n">
        <v>10</v>
      </c>
      <c r="I4955" s="23" t="n">
        <v>10</v>
      </c>
      <c r="J4955" s="23" t="inlineStr">
        <is>
          <t>978-5-227-10724-4</t>
        </is>
      </c>
      <c r="K4955" s="23" t="inlineStr">
        <is>
          <t>70x108 1/32</t>
        </is>
      </c>
      <c r="L4955" s="23" t="inlineStr">
        <is>
          <t>тв</t>
        </is>
      </c>
      <c r="M4955" s="23" t="n">
        <v>383</v>
      </c>
      <c r="N4955" s="23" t="n">
        <v>2024</v>
      </c>
      <c r="O4955" s="23" t="n">
        <v>221</v>
      </c>
      <c r="P4955" s="23" t="n"/>
      <c r="Q4955" s="23" t="n"/>
      <c r="R4955" s="25" t="inlineStr">
        <is>
          <t>Древние греки оказали колоссальное влияние на западное общество. Именно греки сделали огромное количество открытий, и их литературные произведения дошли в полном виде до наших дней. Мы предлагаем вам познакомиться с наиболее влиятельными античными мудрецами, математиками, философами, писателями и поэтами. 44 бессмертных имени ждут вас на страницах книги: Гомер и Софокл, Геродот и Гиппократ, Платон и Аристотель, Архимед и Эзоп… Каждый из них заслужил того, чтобы мы хотя бы немного приобщились к их мудрости.</t>
        </is>
      </c>
      <c r="S4955" s="26">
        <f>HYPERLINK("http://www.cnpol.ru/covers/21280.jpg","фото на сайте")</f>
        <v/>
      </c>
    </row>
    <row r="4956" ht="50.1" customHeight="1" s="3">
      <c r="A4956" s="23" t="inlineStr">
        <is>
          <t>Н</t>
        </is>
      </c>
      <c r="B4956" s="24" t="inlineStr">
        <is>
          <t>21432</t>
        </is>
      </c>
      <c r="C4956" s="23" t="inlineStr">
        <is>
          <t>ШЕДЕВРЫ</t>
        </is>
      </c>
      <c r="D4956" s="23" t="inlineStr">
        <is>
          <t>Пигулевская И.С.</t>
        </is>
      </c>
      <c r="E4956" s="23" t="inlineStr">
        <is>
          <t>44 русских философа, которых обязательно надо знать</t>
        </is>
      </c>
      <c r="F4956" s="23" t="inlineStr">
        <is>
          <t>        </t>
        </is>
      </c>
      <c r="G4956" s="23" t="n">
        <v>770</v>
      </c>
      <c r="H4956" s="23" t="n">
        <v>10</v>
      </c>
      <c r="I4956" s="23" t="n">
        <v>2</v>
      </c>
      <c r="J4956" s="23" t="inlineStr">
        <is>
          <t>978-5-227-10778-7</t>
        </is>
      </c>
      <c r="K4956" s="23" t="inlineStr">
        <is>
          <t>70x108 1/32</t>
        </is>
      </c>
      <c r="L4956" s="23" t="inlineStr">
        <is>
          <t>тв</t>
        </is>
      </c>
      <c r="M4956" s="23" t="n">
        <v>319</v>
      </c>
      <c r="N4956" s="23" t="n">
        <v>2025</v>
      </c>
      <c r="O4956" s="23" t="n">
        <v>240</v>
      </c>
      <c r="P4956" s="23" t="n"/>
      <c r="Q4956" s="23" t="n"/>
      <c r="R4956" s="25" t="inlineStr">
        <is>
          <t>История русской философии сложна тем, что одни считают её началом XIX век, когда появились собственно русские философы, а другие исследователи говорят об истории философии с X века, поскольку в трудах авторов тех времён также поднимались вопросы бытия. В этой книге мы уделим внимание 44 великим русским философам, которых обязательно надо знать, так как они оказали наиболее сильное влияние на взгляды современников, потомков и ход русской истории. Мы ¬расскажем о Михаиле Ломоносове и Александре Радищеве, Виссарионе Белинском и Льве Толстом, Николае Добролюбове и Фёдоре Достоевском, Владимире Вернадском, Николае Рерихе, Павле Флоренском и других славных именах отечественной философии.</t>
        </is>
      </c>
      <c r="S4956" s="26">
        <f>HYPERLINK("http://www.cnpol.ru/covers/21432.jpg","фото на сайте")</f>
        <v/>
      </c>
    </row>
    <row r="4957" ht="50.1" customHeight="1" s="3">
      <c r="A4957" s="23" t="inlineStr">
        <is>
          <t>Н</t>
        </is>
      </c>
      <c r="B4957" s="24" t="inlineStr">
        <is>
          <t>21339</t>
        </is>
      </c>
      <c r="C4957" s="23" t="inlineStr">
        <is>
          <t>ШЕДЕВРЫ</t>
        </is>
      </c>
      <c r="D4957" s="23" t="inlineStr">
        <is>
          <t>Мудрова И.А.</t>
        </is>
      </c>
      <c r="E4957" s="23" t="inlineStr">
        <is>
          <t>45 немецких философов, которых обязательно надо знать</t>
        </is>
      </c>
      <c r="F4957" s="23" t="inlineStr">
        <is>
          <t>        </t>
        </is>
      </c>
      <c r="G4957" s="23" t="n">
        <v>766</v>
      </c>
      <c r="H4957" s="23" t="n">
        <v>10</v>
      </c>
      <c r="I4957" s="23" t="n">
        <v>8</v>
      </c>
      <c r="J4957" s="23" t="inlineStr">
        <is>
          <t>978-5-9524-6072-0</t>
        </is>
      </c>
      <c r="K4957" s="23" t="inlineStr">
        <is>
          <t>70x108 1/32</t>
        </is>
      </c>
      <c r="L4957" s="23" t="inlineStr">
        <is>
          <t>тв</t>
        </is>
      </c>
      <c r="M4957" s="23" t="n">
        <v>383</v>
      </c>
      <c r="N4957" s="23" t="n">
        <v>2024</v>
      </c>
      <c r="O4957" s="23" t="n">
        <v>325</v>
      </c>
      <c r="P4957" s="23" t="n"/>
      <c r="Q4957" s="23" t="n"/>
      <c r="R4957" s="25" t="inlineStr">
        <is>
          <t>Философия пронизывает наш мир, формирует взгляды человека на природу человека и его место во Вселенной. Изначально философом называли любого образованного человека, и лишь гораздо позже этот термин стали применять к тем мыслителям, которые изучают вопросы мировоззрения. Германия — развитая страна с высоким уровнем образования. Она подарила миру много талантливых людей и, конечно же, философов, идеи которых оказали влияние на мировую культуру. Фридрих Ницше и Георг Гегель, Мартин Лютер и Иоганн Фихте, Иммануил Кант и Артур Шопенгауэр, Новалис и Эдмунд Гуссерль — каждый из них заслужил то, что мы хотя бы немного приобщились к их мудрости.</t>
        </is>
      </c>
      <c r="S4957" s="26">
        <f>HYPERLINK("http://www.cnpol.ru/covers/21339.jpg","фото на сайте")</f>
        <v/>
      </c>
    </row>
    <row r="4958" ht="50.1" customHeight="1" s="3">
      <c r="A4958" s="23" t="n"/>
      <c r="B4958" s="24" t="inlineStr">
        <is>
          <t>17169</t>
        </is>
      </c>
      <c r="C4958" s="23" t="inlineStr">
        <is>
          <t>ШЕДЕВРЫ</t>
        </is>
      </c>
      <c r="D4958" s="23" t="inlineStr">
        <is>
          <t>Ольденбург С.Ф.</t>
        </is>
      </c>
      <c r="E4958" s="23" t="inlineStr">
        <is>
          <t>Будда. Жизнь, деяния и мысли великого учителя</t>
        </is>
      </c>
      <c r="F4958" s="23" t="inlineStr">
        <is>
          <t>        </t>
        </is>
      </c>
      <c r="G4958" s="23" t="n">
        <v>554</v>
      </c>
      <c r="H4958" s="23" t="n">
        <v>10</v>
      </c>
      <c r="I4958" s="23" t="n">
        <v>20</v>
      </c>
      <c r="J4958" s="23" t="inlineStr">
        <is>
          <t>978-5-227-06602-2</t>
        </is>
      </c>
      <c r="K4958" s="23" t="inlineStr">
        <is>
          <t>70x108 1/32</t>
        </is>
      </c>
      <c r="L4958" s="23" t="inlineStr">
        <is>
          <t>тв</t>
        </is>
      </c>
      <c r="M4958" s="23" t="n">
        <v>224</v>
      </c>
      <c r="N4958" s="23" t="n">
        <v>2016</v>
      </c>
      <c r="O4958" s="23" t="n">
        <v>226</v>
      </c>
      <c r="P4958" s="23" t="n"/>
      <c r="Q4958" s="23" t="n"/>
      <c r="R4958" s="25" t="inlineStr">
        <is>
          <t>Биография основателя буддизма Будды Шакьямуни написана, выдающимся востоковедом, одним из основателей русской индологической школы, автором многочисленных трудов по истории, религиям, искусству Востока, академиком Сергеем Федоровичем Ольденбургом (1863—1934).</t>
        </is>
      </c>
      <c r="S4958" s="26">
        <f>HYPERLINK("http://www.cnpol.ru/covers/17169.jpg","фото на сайте")</f>
        <v/>
      </c>
    </row>
    <row r="4959" ht="50.1" customHeight="1" s="3">
      <c r="A4959" s="23" t="n"/>
      <c r="B4959" s="24" t="inlineStr">
        <is>
          <t>16761</t>
        </is>
      </c>
      <c r="C4959" s="23" t="inlineStr">
        <is>
          <t>ШЕДЕВРЫ</t>
        </is>
      </c>
      <c r="D4959" s="23" t="inlineStr">
        <is>
          <t>Группа</t>
        </is>
      </c>
      <c r="E4959" s="23" t="inlineStr">
        <is>
          <t>Быть патриотом</t>
        </is>
      </c>
      <c r="F4959" s="23" t="inlineStr">
        <is>
          <t>        </t>
        </is>
      </c>
      <c r="G4959" s="23" t="n">
        <v>497</v>
      </c>
      <c r="H4959" s="23" t="n">
        <v>10</v>
      </c>
      <c r="I4959" s="23" t="n">
        <v>20</v>
      </c>
      <c r="J4959" s="23" t="inlineStr">
        <is>
          <t>978-5-227-06566-7</t>
        </is>
      </c>
      <c r="K4959" s="23" t="inlineStr">
        <is>
          <t>70x108 1/32</t>
        </is>
      </c>
      <c r="L4959" s="23" t="inlineStr">
        <is>
          <t>тв</t>
        </is>
      </c>
      <c r="M4959" s="23" t="n">
        <v>160</v>
      </c>
      <c r="N4959" s="23" t="n">
        <v>2016</v>
      </c>
      <c r="O4959" s="23" t="n">
        <v>182</v>
      </c>
      <c r="P4959" s="23" t="n"/>
      <c r="Q4959" s="23" t="n"/>
      <c r="R4959" s="25" t="inlineStr">
        <is>
          <t>Что такое патриотизм? Каждый ответит, что это любовь к родине. На вопрос «Что такое родина», каждый ответит: «Моя страна». Но в этом корень проблемы. Любовь к своей стране или нации непременно ведет к самовозвышению и, как следствие, появлению таких понятий, как национализм, ксенофобия, шовинизм и расизм. Однако патриотизм был и остается основной силой, позволявшей нации выживать и сохранять свою самобытность. Как человек защищает свою семью, так и патриоты умирают за свою отчизну, чтобы защитить ее. В этой книге — мысли великих людей о том, хорошо или плохо быть патриотом.</t>
        </is>
      </c>
      <c r="S4959" s="26">
        <f>HYPERLINK("http://www.cnpol.ru/covers/16761.jpg","фото на сайте")</f>
        <v/>
      </c>
    </row>
    <row r="4960" ht="50.1" customHeight="1" s="3">
      <c r="A4960" s="23" t="n"/>
      <c r="B4960" s="24" t="inlineStr">
        <is>
          <t>17501</t>
        </is>
      </c>
      <c r="C4960" s="23" t="inlineStr">
        <is>
          <t>ШЕДЕВРЫ</t>
        </is>
      </c>
      <c r="D4960" s="23" t="inlineStr">
        <is>
          <t>Пигулевская И.С.</t>
        </is>
      </c>
      <c r="E4960" s="23" t="inlineStr">
        <is>
          <t>Ваш знак зодиака в легендах и мифах</t>
        </is>
      </c>
      <c r="F4960" s="23" t="inlineStr">
        <is>
          <t>        </t>
        </is>
      </c>
      <c r="G4960" s="23" t="n">
        <v>743</v>
      </c>
      <c r="H4960" s="23" t="n">
        <v>10</v>
      </c>
      <c r="I4960" s="23" t="n">
        <v>12</v>
      </c>
      <c r="J4960" s="23" t="inlineStr">
        <is>
          <t>978-5-227-07523-9</t>
        </is>
      </c>
      <c r="K4960" s="23" t="inlineStr">
        <is>
          <t>70x108 1/32</t>
        </is>
      </c>
      <c r="L4960" s="23" t="inlineStr">
        <is>
          <t>тв</t>
        </is>
      </c>
      <c r="M4960" s="23" t="n">
        <v>416</v>
      </c>
      <c r="N4960" s="23" t="n">
        <v>2017</v>
      </c>
      <c r="O4960" s="23" t="n">
        <v>284</v>
      </c>
      <c r="P4960" s="23" t="n"/>
      <c r="Q4960" s="23" t="n"/>
      <c r="R4960" s="25" t="inlineStr">
        <is>
          <t>С древнейших времен и до наших дней небосвод манит человеческие взгляды, тревожит, пугает, дарит надежду, будоражит воображение… Созвездия наделяются магическими возможностями действовать на человека, рожденного под ними… Слово «зодиак» происходит от латинского слова zodiacus и означает «круг из животных». Это потому, что половина созвездий греческого зодиакального круга обозначают животных. Мы привыкли к этому зодиаку, который теперь называют европейским, однако на звездное небо смотрели не только древние греки или древние римляне. Все народы изучали Солнце, Луну и звезды, и многие создали свои системы, дали созвездиям названия и создали мифы и легенды о них. В нашей книге вы познакомитесь с древнегреческими, месопотамскими и египетскими мифами, индийским зодиаком и мифами Индии, китайским и японским зодиаком и, конечно, с мифологией славян. Не важно, под каким созвездием вы родились, каждый найдет в книге захватывающие истории именно о своем знаке зодиака!</t>
        </is>
      </c>
      <c r="S4960" s="26">
        <f>HYPERLINK("http://www.cnpol.ru/covers/17501.jpg","фото на сайте")</f>
        <v/>
      </c>
    </row>
    <row r="4961" ht="50.1" customHeight="1" s="3">
      <c r="A4961" s="23" t="n"/>
      <c r="B4961" s="24" t="inlineStr">
        <is>
          <t>19263</t>
        </is>
      </c>
      <c r="C4961" s="23" t="inlineStr">
        <is>
          <t>ШЕДЕВРЫ</t>
        </is>
      </c>
      <c r="D4961" s="23" t="inlineStr">
        <is>
          <t>Лао-цзы</t>
        </is>
      </c>
      <c r="E4961" s="23" t="inlineStr">
        <is>
          <t>Дао дэ цзин. Книга пути и достоинства</t>
        </is>
      </c>
      <c r="F4961" s="23" t="inlineStr">
        <is>
          <t>        </t>
        </is>
      </c>
      <c r="G4961" s="23" t="n">
        <v>497</v>
      </c>
      <c r="H4961" s="23" t="n">
        <v>10</v>
      </c>
      <c r="I4961" s="23" t="n">
        <v>16</v>
      </c>
      <c r="J4961" s="23" t="inlineStr">
        <is>
          <t>978-5-227-09131-4</t>
        </is>
      </c>
      <c r="K4961" s="23" t="inlineStr">
        <is>
          <t>70x108 1/32</t>
        </is>
      </c>
      <c r="L4961" s="23" t="inlineStr">
        <is>
          <t>тв</t>
        </is>
      </c>
      <c r="M4961" s="23" t="n">
        <v>224</v>
      </c>
      <c r="N4961" s="23" t="n">
        <v>2020</v>
      </c>
      <c r="O4961" s="23" t="n">
        <v>230</v>
      </c>
      <c r="P4961" s="23" t="n"/>
      <c r="Q4961" s="23" t="n"/>
      <c r="R4961" s="25" t="inlineStr">
        <is>
          <t>Имя древнекитайского мыслителя Лао-цзы, жившего в Китае в VI—V вв. до н. э., можно перевести как «Старый ребенок». (Хотя этот иероглиф можно перевести и как «Старый мудрец».) Лао-цзы является основоположником древнекитайского учения, суть которого изложена в трактате «Дао дэ цзин». В книге представлен первый перевод трактата Лао-цзы, сделанный в 1894 г. японским ученым, толстовцем, выпускником семинарии при Российской духовной академии в Токио Кониси Масутаро, в крещении Даниилом Петровичем Кон</t>
        </is>
      </c>
      <c r="S4961" s="26">
        <f>HYPERLINK("http://www.cnpol.ru/covers/19263.jpg","фото на сайте")</f>
        <v/>
      </c>
    </row>
    <row r="4962" ht="50.1" customHeight="1" s="3">
      <c r="A4962" s="23" t="inlineStr">
        <is>
          <t>Н</t>
        </is>
      </c>
      <c r="B4962" s="24" t="inlineStr">
        <is>
          <t>21090</t>
        </is>
      </c>
      <c r="C4962" s="23" t="inlineStr">
        <is>
          <t>ШЕДЕВРЫ</t>
        </is>
      </c>
      <c r="D4962" s="23" t="inlineStr">
        <is>
          <t>Мартьянова Л.М.</t>
        </is>
      </c>
      <c r="E4962" s="23" t="inlineStr">
        <is>
          <t>Драконы могучие и прекрасные. Легендарные ящеры. Огнедышащие, ледяные, водяные драконы в гороскопах, сказаниях и мифах</t>
        </is>
      </c>
      <c r="F4962" s="23" t="inlineStr">
        <is>
          <t>        </t>
        </is>
      </c>
      <c r="G4962" s="23" t="n">
        <v>701</v>
      </c>
      <c r="H4962" s="23" t="n">
        <v>10</v>
      </c>
      <c r="I4962" s="23" t="n">
        <v>16</v>
      </c>
      <c r="J4962" s="23" t="inlineStr">
        <is>
          <t>978-5-9524-6061-4</t>
        </is>
      </c>
      <c r="K4962" s="23" t="inlineStr">
        <is>
          <t>70x108 1/32</t>
        </is>
      </c>
      <c r="L4962" s="23" t="inlineStr">
        <is>
          <t>тв</t>
        </is>
      </c>
      <c r="M4962" s="23" t="n">
        <v>287</v>
      </c>
      <c r="N4962" s="23" t="n">
        <v>2024</v>
      </c>
      <c r="O4962" s="23" t="n">
        <v>269</v>
      </c>
      <c r="P4962" s="23" t="n"/>
      <c r="Q4962" s="23" t="n"/>
      <c r="R4962" s="25" t="inlineStr">
        <is>
          <t>Драконы… Могучие и прекрасные, свирепые и добрые, несущие разрушение и великодушные. Они живут в мифах и легендах многих народов мира. Драконы — очень популярные персонажи в литературе в стиле фэнтези и видеоиграх, игрушечных драконов обожают дети… Драконья тема имеет огромное количество поклонников, а образ дракона также используется в фэншуй и астрологии. Дракон — единственное мифическое существо, которое встало в ряд восточного зодиакального круга рядом с одиннадцатью реальными животными. Не значит ли это, что когда-то драконы действительно жили на Земле? Драконы объединили в себе все четыре стихии: земля, воздух, вода и огонь. Это сделало их самыми удивительными, разумными, живучими и необыкновенными из сказочных созданий. Кроме разума, драконы были наделены и сверхъестественными способностями, что сделало их невероятно могущественными._x000D_
Читайте книгу, и вы узнаете много интересного об этих неповторимых магических существах.</t>
        </is>
      </c>
      <c r="S4962" s="26">
        <f>HYPERLINK("http://www.cnpol.ru/covers/21090.jpg","фото на сайте")</f>
        <v/>
      </c>
    </row>
    <row r="4963" ht="50.1" customHeight="1" s="3">
      <c r="A4963" s="23" t="n"/>
      <c r="B4963" s="24" t="inlineStr">
        <is>
          <t>13632</t>
        </is>
      </c>
      <c r="C4963" s="23" t="inlineStr">
        <is>
          <t>ШЕДЕВРЫ</t>
        </is>
      </c>
      <c r="D4963" s="23" t="inlineStr">
        <is>
          <t>Группа авторов</t>
        </is>
      </c>
      <c r="E4963" s="23" t="inlineStr">
        <is>
          <t>Евангельские сюжеты в иллюстрациях Юлиуса Шнорр</t>
        </is>
      </c>
      <c r="F4963" s="23" t="inlineStr">
        <is>
          <t>        </t>
        </is>
      </c>
      <c r="G4963" s="23" t="n">
        <v>554</v>
      </c>
      <c r="H4963" s="23" t="n">
        <v>10</v>
      </c>
      <c r="I4963" s="23" t="n">
        <v>20</v>
      </c>
      <c r="J4963" s="23" t="inlineStr">
        <is>
          <t>978-5-227-03661-2</t>
        </is>
      </c>
      <c r="K4963" s="23" t="inlineStr">
        <is>
          <t>70x108 1/32</t>
        </is>
      </c>
      <c r="L4963" s="23" t="inlineStr">
        <is>
          <t>тв</t>
        </is>
      </c>
      <c r="M4963" s="23" t="n">
        <v>191</v>
      </c>
      <c r="N4963" s="23" t="n">
        <v>2012</v>
      </c>
      <c r="O4963" s="23" t="n">
        <v>210</v>
      </c>
      <c r="P4963" s="23" t="n"/>
      <c r="Q4963" s="23" t="n"/>
      <c r="R4963" s="25" t="inlineStr">
        <is>
          <t>"В этой книге кратко представлены все основные главы из Евангелия, Деяний Апостолов и Откровения Иоанна Богослова в иллюстрациях прекрасного немецкого художника-романтика Юлиуса Шнорр фон Карольсфельда.
Юлиус учился в Венской академии художеств, много времени провел в Италии, где расписал один из залов виллы маркиза Массими фресками, изображающими сюжеты из «Неистового Роланда». В 1827 году он стал профессором исторической живописи в академии Мюнхена, а фрески его работы украсили дворец Людвига I.
Но большую известность и популярность, как в Германии, так и в других странах, он приобрел именно благодаря самому важному труду своей жизни  — изящным одухотворенным гравюрам, своим знаменитым иллюстрациям к Библии.
"</t>
        </is>
      </c>
      <c r="S4963" s="26">
        <f>HYPERLINK("http://www.cnpol.ru/covers/13632.jpg","фото на сайте")</f>
        <v/>
      </c>
    </row>
    <row r="4964" ht="50.1" customHeight="1" s="3">
      <c r="A4964" s="23" t="n"/>
      <c r="B4964" s="24" t="inlineStr">
        <is>
          <t>19063</t>
        </is>
      </c>
      <c r="C4964" s="23" t="inlineStr">
        <is>
          <t>ШЕДЕВРЫ</t>
        </is>
      </c>
      <c r="D4964" s="23" t="inlineStr">
        <is>
          <t>Мартьянова Л.М.</t>
        </is>
      </c>
      <c r="E4964" s="23" t="inlineStr">
        <is>
          <t>Евреи смеются. Поговорки, пословицы, афоризмы, анекдоты</t>
        </is>
      </c>
      <c r="F4964" s="23" t="inlineStr">
        <is>
          <t>        </t>
        </is>
      </c>
      <c r="G4964" s="23" t="n">
        <v>554</v>
      </c>
      <c r="H4964" s="23" t="n">
        <v>10</v>
      </c>
      <c r="I4964" s="23" t="n">
        <v>16</v>
      </c>
      <c r="J4964" s="23" t="inlineStr">
        <is>
          <t>978-5-9524-5353-1</t>
        </is>
      </c>
      <c r="K4964" s="23" t="inlineStr">
        <is>
          <t>70x108 1/32</t>
        </is>
      </c>
      <c r="L4964" s="23" t="inlineStr">
        <is>
          <t>тв</t>
        </is>
      </c>
      <c r="M4964" s="23" t="n">
        <v>224</v>
      </c>
      <c r="N4964" s="23" t="n">
        <v>2020</v>
      </c>
      <c r="O4964" s="23" t="n">
        <v>234</v>
      </c>
      <c r="P4964" s="23" t="n"/>
      <c r="Q4964" s="23" t="n"/>
      <c r="R4964" s="25" t="n"/>
      <c r="S4964" s="26">
        <f>HYPERLINK("http://www.cnpol.ru/covers/19063.jpg","фото на сайте")</f>
        <v/>
      </c>
    </row>
    <row r="4965" ht="50.1" customHeight="1" s="3">
      <c r="A4965" s="23" t="n"/>
      <c r="B4965" s="24" t="inlineStr">
        <is>
          <t>18635</t>
        </is>
      </c>
      <c r="C4965" s="23" t="inlineStr">
        <is>
          <t>ШЕДЕВРЫ</t>
        </is>
      </c>
      <c r="D4965" s="23" t="inlineStr">
        <is>
          <t>Мудрох И.А.</t>
        </is>
      </c>
      <c r="E4965" s="23" t="inlineStr">
        <is>
          <t>Еврейская энциклопедия</t>
        </is>
      </c>
      <c r="F4965" s="23" t="inlineStr">
        <is>
          <t>        </t>
        </is>
      </c>
      <c r="G4965" s="23" t="n">
        <v>672</v>
      </c>
      <c r="H4965" s="23" t="n">
        <v>10</v>
      </c>
      <c r="I4965" s="23" t="n">
        <v>12</v>
      </c>
      <c r="J4965" s="23" t="inlineStr">
        <is>
          <t>978-5-227-08311-1</t>
        </is>
      </c>
      <c r="K4965" s="23" t="inlineStr">
        <is>
          <t>70x108 1/32</t>
        </is>
      </c>
      <c r="L4965" s="23" t="inlineStr">
        <is>
          <t>тв</t>
        </is>
      </c>
      <c r="M4965" s="23" t="n">
        <v>384</v>
      </c>
      <c r="N4965" s="23" t="n">
        <v>2019</v>
      </c>
      <c r="O4965" s="23" t="n">
        <v>314</v>
      </c>
      <c r="P4965" s="23" t="n"/>
      <c r="Q4965" s="23" t="n"/>
      <c r="R4965" s="25" t="inlineStr">
        <is>
          <t>Еврейская нация жизнестойка и предприимчива, мудра и проницательна, так как истоки ее познаний идут от самого Бога... Хотите узнать немного больше о «детях Моисея»? Читайте нашу мини-энциклопедию, в которой собрана информация, касающаяся этого уникального народа. Здесь собраны имена великих людей, которые прославили свою нацию, традиционные еврейские праздники, обряды, предметы быта и еще много интересного, что расскажет читателю о сынах израилевых…</t>
        </is>
      </c>
      <c r="S4965" s="26">
        <f>HYPERLINK("http://www.cnpol.ru/covers/18635.jpg","фото на сайте")</f>
        <v/>
      </c>
    </row>
    <row r="4966" ht="50.1" customHeight="1" s="3">
      <c r="A4966" s="23" t="n"/>
      <c r="B4966" s="24" t="inlineStr">
        <is>
          <t>18375</t>
        </is>
      </c>
      <c r="C4966" s="23" t="inlineStr">
        <is>
          <t>ШЕДЕВРЫ</t>
        </is>
      </c>
      <c r="D4966" s="23" t="inlineStr">
        <is>
          <t>Группа авторов</t>
        </is>
      </c>
      <c r="E4966" s="23" t="inlineStr">
        <is>
          <t>Женщины-легенды. Мифические богини и библейские жены. Прекрасные и мудрые, карающие и милосердные…</t>
        </is>
      </c>
      <c r="F4966" s="23" t="inlineStr">
        <is>
          <t>        </t>
        </is>
      </c>
      <c r="G4966" s="23" t="n">
        <v>554</v>
      </c>
      <c r="H4966" s="23" t="n">
        <v>10</v>
      </c>
      <c r="I4966" s="23" t="n">
        <v>12</v>
      </c>
      <c r="J4966" s="23" t="inlineStr">
        <is>
          <t>978-5-227-07662-5</t>
        </is>
      </c>
      <c r="K4966" s="23" t="inlineStr">
        <is>
          <t>70x108 1/32</t>
        </is>
      </c>
      <c r="L4966" s="23" t="inlineStr">
        <is>
          <t>тв</t>
        </is>
      </c>
      <c r="M4966" s="23" t="n">
        <v>384</v>
      </c>
      <c r="N4966" s="23" t="n">
        <v>2018</v>
      </c>
      <c r="O4966" s="23" t="n">
        <v>272</v>
      </c>
      <c r="P4966" s="23" t="n"/>
      <c r="Q4966" s="23" t="n"/>
      <c r="R4966" s="25" t="inlineStr">
        <is>
          <t>"Легендарные образы и женские божества в древних мифах и религиях народов поражают своим изобилием. Они были сотворцами всего живого на земле: людей, животных, чудовищ... Эти женщины как созидательницы правили и повелевали силами природы — плодородием земли, водами, луной, погодой, любили, спасали, карали, миловали… Они были связаны с мистериями и тайными культами, поскольку управляли жизнью, смертью и бессмертием.
Библейские женщины, персонажи греческой, славянской, египетской, индийской и китайской мифологии ждут вас на страницах этой книги, чтобы рассказать свои удивительные истории.
"</t>
        </is>
      </c>
      <c r="S4966" s="26">
        <f>HYPERLINK("http://www.cnpol.ru/covers/18375.jpg","фото на сайте")</f>
        <v/>
      </c>
    </row>
    <row r="4967" ht="50.1" customHeight="1" s="3">
      <c r="A4967" s="23" t="n"/>
      <c r="B4967" s="24" t="inlineStr">
        <is>
          <t>20814</t>
        </is>
      </c>
      <c r="C4967" s="23" t="inlineStr">
        <is>
          <t>ШЕДЕВРЫ</t>
        </is>
      </c>
      <c r="D4967" s="23" t="inlineStr">
        <is>
          <t>Мартьянова Л.М.,Пигулевская И.С.</t>
        </is>
      </c>
      <c r="E4967" s="23" t="inlineStr">
        <is>
          <t>Закон достойных — творить добро. Лучшие цитаты из китайской мудрости</t>
        </is>
      </c>
      <c r="F4967" s="23" t="inlineStr">
        <is>
          <t>        </t>
        </is>
      </c>
      <c r="G4967" s="23" t="n">
        <v>554</v>
      </c>
      <c r="H4967" s="23" t="n">
        <v>10</v>
      </c>
      <c r="I4967" s="23" t="n">
        <v>12</v>
      </c>
      <c r="J4967" s="23" t="inlineStr">
        <is>
          <t>978-5-9524-5521-4</t>
        </is>
      </c>
      <c r="K4967" s="23" t="inlineStr">
        <is>
          <t>70x108 1/32</t>
        </is>
      </c>
      <c r="L4967" s="23" t="inlineStr">
        <is>
          <t>тв</t>
        </is>
      </c>
      <c r="M4967" s="23" t="n">
        <v>255</v>
      </c>
      <c r="N4967" s="23" t="n">
        <v>2023</v>
      </c>
      <c r="O4967" s="23" t="n">
        <v>260</v>
      </c>
      <c r="P4967" s="23" t="n"/>
      <c r="Q4967" s="23" t="n"/>
      <c r="R4967" s="25" t="inlineStr">
        <is>
          <t>Китай — страна с древнейшей историей, на протяжении которой она являла миру великих мудрецов. Это знаменитый мыслитель и основатель этико-политического учения Конфуций, стратег и мыслитель Сунь-цзы, легендарный даосский мыслитель Гуаньлин Инь Си, философы Лао-цзы и Шан Ян, основоположник ханьского конфуцианства Сюнь-цзы, поэт Ли Бай и многие другие. В сборнике вы найдёте изречения о любви и семье, мудрости и жизни, дружбе, природе, возрасте, труде. Получите мудрые советы о взаимодействии с подчинёнными, об отношении к миру и научитесь философскому взгляду на жизнь.</t>
        </is>
      </c>
      <c r="S4967" s="26">
        <f>HYPERLINK("http://www.cnpol.ru/covers/20814.jpg","фото на сайте")</f>
        <v/>
      </c>
    </row>
    <row r="4968" ht="50.1" customHeight="1" s="3">
      <c r="A4968" s="23" t="n"/>
      <c r="B4968" s="24" t="inlineStr">
        <is>
          <t>17826</t>
        </is>
      </c>
      <c r="C4968" s="23" t="inlineStr">
        <is>
          <t>ШЕДЕВРЫ</t>
        </is>
      </c>
      <c r="D4968" s="23" t="inlineStr">
        <is>
          <t>Перцов Э.П.</t>
        </is>
      </c>
      <c r="E4968" s="23" t="inlineStr">
        <is>
          <t>Искусство брать взятки</t>
        </is>
      </c>
      <c r="F4968" s="23" t="inlineStr">
        <is>
          <t>        </t>
        </is>
      </c>
      <c r="G4968" s="23" t="n">
        <v>554</v>
      </c>
      <c r="H4968" s="23" t="n">
        <v>10</v>
      </c>
      <c r="I4968" s="23" t="n">
        <v>20</v>
      </c>
      <c r="J4968" s="23" t="inlineStr">
        <is>
          <t>978-5-227-07805-6</t>
        </is>
      </c>
      <c r="K4968" s="23" t="inlineStr">
        <is>
          <t>70x108 1/32</t>
        </is>
      </c>
      <c r="L4968" s="23" t="inlineStr">
        <is>
          <t>тв</t>
        </is>
      </c>
      <c r="M4968" s="23" t="n">
        <v>128</v>
      </c>
      <c r="N4968" s="23" t="n">
        <v>2017</v>
      </c>
      <c r="O4968" s="23" t="n">
        <v>158</v>
      </c>
      <c r="P4968" s="23" t="n"/>
      <c r="Q4968" s="23" t="n"/>
      <c r="R4968" s="25" t="inlineStr">
        <is>
          <t>Эраст Петрович Перцов — разносторонний литератор, писатель, поэт, автор комедий и теоретических исследований в области политики, экономики, сельского хозяйства и прикладной науки. Публиковался в журналах «Отечественные записки», «Северная пчела», «Библиотека для чтения». В 1847—1854 гг. являлся редактором «Журнала общеполезных сведений»._x000D_
В сатирическом произведении «Искусство брать взятки» автор иронизировал над тем, что «при нынешних решительных мерах правительства искусство брать взятки начинает приходить в упадок», и поэтому торопил читателя воспользоваться советами чиновника, изложенными от первого лица в виде лекций. В книге описаны виды взяток, приводятся напутствия о том, как избежать ответственности и как можно манипулировать просителем.</t>
        </is>
      </c>
      <c r="S4968" s="26">
        <f>HYPERLINK("http://www.cnpol.ru/covers/17826.jpg","фото на сайте")</f>
        <v/>
      </c>
    </row>
    <row r="4969" ht="50.1" customHeight="1" s="3">
      <c r="A4969" s="23" t="n"/>
      <c r="B4969" s="24" t="inlineStr">
        <is>
          <t>19586</t>
        </is>
      </c>
      <c r="C4969" s="23" t="inlineStr">
        <is>
          <t>ШЕДЕВРЫ</t>
        </is>
      </c>
      <c r="D4969" s="23" t="inlineStr">
        <is>
          <t>Сунь-цзы</t>
        </is>
      </c>
      <c r="E4969" s="23" t="inlineStr">
        <is>
          <t>Искусство войны</t>
        </is>
      </c>
      <c r="F4969" s="23" t="inlineStr">
        <is>
          <t>        </t>
        </is>
      </c>
      <c r="G4969" s="23" t="n">
        <v>554</v>
      </c>
      <c r="H4969" s="23" t="n">
        <v>10</v>
      </c>
      <c r="I4969" s="23" t="n">
        <v>14</v>
      </c>
      <c r="J4969" s="23" t="inlineStr">
        <is>
          <t>978-5-227-09454-4</t>
        </is>
      </c>
      <c r="K4969" s="23" t="inlineStr">
        <is>
          <t>70x108 1/32</t>
        </is>
      </c>
      <c r="L4969" s="23" t="inlineStr">
        <is>
          <t>тв</t>
        </is>
      </c>
      <c r="M4969" s="23" t="n">
        <v>192</v>
      </c>
      <c r="N4969" s="23" t="n">
        <v>2021</v>
      </c>
      <c r="O4969" s="23" t="n">
        <v>204</v>
      </c>
      <c r="P4969" s="23" t="n"/>
      <c r="Q4969" s="23" t="n"/>
      <c r="R4969" s="25" t="inlineStr">
        <is>
          <t>Перед вами — древнейший из известных человечеству трактатов о военном искусстве и его философии, своеобразная Библия стратегии, написанная более двух тысяч лет назад китайским стратегом, воином и философом Сунь-цзы. Он в краткой и сжатой форме излагает основные принципы ведения войны и подготовки к ней. «Искусство войны» — это сплав философии, искусства и науки ведения войны. Эта книга не только кладезь военной мудрости, но и практическое руководство по тактике и стратегии военных действий.</t>
        </is>
      </c>
      <c r="S4969" s="26">
        <f>HYPERLINK("http://www.cnpol.ru/covers/19586.jpg","фото на сайте")</f>
        <v/>
      </c>
    </row>
    <row r="4970" ht="50.1" customHeight="1" s="3">
      <c r="A4970" s="23" t="n"/>
      <c r="B4970" s="24" t="inlineStr">
        <is>
          <t>14440</t>
        </is>
      </c>
      <c r="C4970" s="23" t="inlineStr">
        <is>
          <t>ШЕДЕВРЫ</t>
        </is>
      </c>
      <c r="D4970" s="23" t="inlineStr">
        <is>
          <t>Виллардуэн Ж.</t>
        </is>
      </c>
      <c r="E4970" s="23" t="inlineStr">
        <is>
          <t>История завоевания Константинополя</t>
        </is>
      </c>
      <c r="F4970" s="23" t="inlineStr">
        <is>
          <t>        </t>
        </is>
      </c>
      <c r="G4970" s="23" t="n">
        <v>554</v>
      </c>
      <c r="H4970" s="23" t="n">
        <v>10</v>
      </c>
      <c r="I4970" s="23" t="n">
        <v>20</v>
      </c>
      <c r="J4970" s="23" t="inlineStr">
        <is>
          <t>978-5-227-04181-4</t>
        </is>
      </c>
      <c r="K4970" s="23" t="inlineStr">
        <is>
          <t>70x108 1/32</t>
        </is>
      </c>
      <c r="L4970" s="23" t="inlineStr">
        <is>
          <t>тв</t>
        </is>
      </c>
      <c r="M4970" s="23" t="n">
        <v>255</v>
      </c>
      <c r="N4970" s="23" t="n">
        <v>2013</v>
      </c>
      <c r="O4970" s="23" t="n">
        <v>252</v>
      </c>
      <c r="P4970" s="23" t="n"/>
      <c r="Q4970" s="23" t="n"/>
      <c r="R4970" s="25" t="inlineStr">
        <is>
          <t>Жоффруа де Виллардуэн — крупный французский феодал, военачальник, один из руководителей Четвертого крестового похода. Он составил свой отчет очевидца о Четвертом походе и захвате Константинополя. Эта первая попытка прозаического сочинения на французском языке послужила образцовым началом длинного ряда выдающихся французских хроник и историй. Историю Виллардуэна нередко называли «героической поэмой в прозе».</t>
        </is>
      </c>
      <c r="S4970" s="26">
        <f>HYPERLINK("http://www.cnpol.ru/covers/14440.jpg","фото на сайте")</f>
        <v/>
      </c>
    </row>
    <row r="4971" ht="50.1" customHeight="1" s="3">
      <c r="A4971" s="23" t="n"/>
      <c r="B4971" s="24" t="inlineStr">
        <is>
          <t>18511</t>
        </is>
      </c>
      <c r="C4971" s="23" t="inlineStr">
        <is>
          <t>ШЕДЕВРЫ</t>
        </is>
      </c>
      <c r="D4971" s="23" t="inlineStr">
        <is>
          <t>Фэй-цзы</t>
        </is>
      </c>
      <c r="E4971" s="23" t="inlineStr">
        <is>
          <t>Книга закона и порядка. Советы разумному правителю</t>
        </is>
      </c>
      <c r="F4971" s="23" t="inlineStr">
        <is>
          <t>        </t>
        </is>
      </c>
      <c r="G4971" s="23" t="n">
        <v>567</v>
      </c>
      <c r="H4971" s="23" t="n">
        <v>10</v>
      </c>
      <c r="I4971" s="23" t="n">
        <v>14</v>
      </c>
      <c r="J4971" s="23" t="inlineStr">
        <is>
          <t>978-5-227-07806-3</t>
        </is>
      </c>
      <c r="K4971" s="23" t="inlineStr">
        <is>
          <t>70x108 1/32</t>
        </is>
      </c>
      <c r="L4971" s="23" t="inlineStr">
        <is>
          <t>тв</t>
        </is>
      </c>
      <c r="M4971" s="23" t="n">
        <v>288</v>
      </c>
      <c r="N4971" s="23" t="n">
        <v>2019</v>
      </c>
      <c r="O4971" s="23" t="n">
        <v>272</v>
      </c>
      <c r="P4971" s="23" t="n"/>
      <c r="Q4971" s="23" t="n"/>
      <c r="R4971" s="25" t="inlineStr">
        <is>
          <t>Хань Фэй-цзы в своем трактате подверг критике догмы конфуцианства. _x000D_
Конфуций учил, что властные полномочия правителя предопределяются его добродетельностью. Никто не обязан подчиняться недостойному правителю. Хань Фэй-цзы считал, что власть не должна стремиться к утверждению справедливости и добродетели. Моральные качества правителя никак не влияют на обязанность подданных следовать его повелениям._x000D_
Исконный и неизменный принцип мироздания состоит в том, что подданный служит властителю, сын — отцу, а жена — мужу. При этом подчинение государю важнее, чем семейные обязательства._x000D_
Порядок в обществе поддерживают законы, которые принимает государь. До тех пор, пока закон не отменен, каждый, не исключая и самого государя, должен следовать ему вне зависимости от того, справедлив этот закон или нет.</t>
        </is>
      </c>
      <c r="S4971" s="26">
        <f>HYPERLINK("http://www.cnpol.ru/covers/18511.jpg","фото на сайте")</f>
        <v/>
      </c>
    </row>
    <row r="4972" ht="50.1" customHeight="1" s="3">
      <c r="A4972" s="23" t="inlineStr">
        <is>
          <t>Н</t>
        </is>
      </c>
      <c r="B4972" s="24" t="inlineStr">
        <is>
          <t>21160</t>
        </is>
      </c>
      <c r="C4972" s="23" t="inlineStr">
        <is>
          <t>ШЕДЕВРЫ</t>
        </is>
      </c>
      <c r="D4972" s="23" t="inlineStr">
        <is>
          <t>Юдзан Дайдодзи, Ямамото Цунэтомо, Миямото Мусаси</t>
        </is>
      </c>
      <c r="E4972" s="23" t="inlineStr">
        <is>
          <t>Книга о самураях. Свод правил жизни японских воинов</t>
        </is>
      </c>
      <c r="F4972" s="23" t="inlineStr">
        <is>
          <t>        </t>
        </is>
      </c>
      <c r="G4972" s="23" t="n">
        <v>766</v>
      </c>
      <c r="H4972" s="23" t="n">
        <v>10</v>
      </c>
      <c r="I4972" s="23" t="n">
        <v>16</v>
      </c>
      <c r="J4972" s="23" t="inlineStr">
        <is>
          <t>978-5-227-10714-5</t>
        </is>
      </c>
      <c r="K4972" s="23" t="inlineStr">
        <is>
          <t>70x108 1/32</t>
        </is>
      </c>
      <c r="L4972" s="23" t="inlineStr">
        <is>
          <t>тв</t>
        </is>
      </c>
      <c r="M4972" s="23" t="n">
        <v>415</v>
      </c>
      <c r="N4972" s="23" t="n">
        <v>2024</v>
      </c>
      <c r="O4972" s="23" t="n">
        <v>342</v>
      </c>
      <c r="P4972" s="23" t="n"/>
      <c r="Q4972" s="23" t="n"/>
      <c r="R4972" s="25" t="inlineStr">
        <is>
          <t>Мы представляем читателям самые известные тексты, посвященные пути воина в Стране восходящего солнца._x000D_
«Бусидо» Юдзана Дайдодзи — это кодекс чести, который определяет правила поведения самураев — профессиональных воинов, определявших историю своей страны на протяжении веков. Он наставлял самураев быть честными и мужественными, требовал от них быть готовыми к смерти в любой момент, если это было необходимо._x000D_
«Хагакурэ» — авторитетный трактат Ямамото Цунэтомо — великого самурая, пытавшегося по-своему ответить на вопрос: «Как мы живем? Как мы умираем?»_x000D_
Миямото Мусаси — личность легендарная — воин, мастер меча, а кроме того, художник-каллиграф, оставивший письменный труд, занимающий важное место в истории японской культуры. На протяжении жизни он вышел победителем в огромном количестве поединков и участвовал в шести войнах. Его «Книга пяти колец» является неким компендиумом об искусстве меча и трактатом по стратегии.</t>
        </is>
      </c>
      <c r="S4972" s="26">
        <f>HYPERLINK("http://www.cnpol.ru/covers/21160.jpg","фото на сайте")</f>
        <v/>
      </c>
    </row>
    <row r="4973" ht="50.1" customHeight="1" s="3">
      <c r="A4973" s="23" t="n"/>
      <c r="B4973" s="24" t="inlineStr">
        <is>
          <t>20904</t>
        </is>
      </c>
      <c r="C4973" s="23" t="inlineStr">
        <is>
          <t>ШЕДЕВРЫ</t>
        </is>
      </c>
      <c r="D4973" s="23" t="inlineStr">
        <is>
          <t>Мусаси М.</t>
        </is>
      </c>
      <c r="E4973" s="23" t="inlineStr">
        <is>
          <t>Книга пяти колец. Горин-но сё. Путь стратегии</t>
        </is>
      </c>
      <c r="F4973" s="23" t="inlineStr">
        <is>
          <t>        </t>
        </is>
      </c>
      <c r="G4973" s="23" t="n">
        <v>554</v>
      </c>
      <c r="H4973" s="23" t="n">
        <v>10</v>
      </c>
      <c r="I4973" s="23" t="n">
        <v>20</v>
      </c>
      <c r="J4973" s="23" t="inlineStr">
        <is>
          <t>978-5-227-09887-0</t>
        </is>
      </c>
      <c r="K4973" s="23" t="inlineStr">
        <is>
          <t>70x108 1/32</t>
        </is>
      </c>
      <c r="L4973" s="23" t="inlineStr">
        <is>
          <t>тв</t>
        </is>
      </c>
      <c r="M4973" s="23" t="n">
        <v>190</v>
      </c>
      <c r="N4973" s="23" t="n">
        <v>2023</v>
      </c>
      <c r="O4973" s="23" t="n">
        <v>212</v>
      </c>
      <c r="P4973" s="23" t="n"/>
      <c r="Q4973" s="23" t="n"/>
      <c r="R4973" s="25" t="inlineStr">
        <is>
          <t>Миямото Мусаси — личность легендарная. Воин, мастер меча, а кроме того, художник, скульптор и каллиграф, оставивший письменный труд, занимающий важное место в истории японской культуры. Свой первый поединок Мусаси провел в тринадцать лет. На протяжении своего жизненного пути он вышел победителем в огромном количестве поединков и участвовал в шести войнах, пока наконец в возрасте пятидесяти лет не занялся подведением итогов. Его краткий, но содержательный «Горин-но сё», или «Книга пяти колец», является неким компендиумом об искусстве меча и трактатом по стратегии.</t>
        </is>
      </c>
      <c r="S4973" s="26">
        <f>HYPERLINK("http://www.cnpol.ru/covers/20904.jpg","фото на сайте")</f>
        <v/>
      </c>
    </row>
    <row r="4974" ht="50.1" customHeight="1" s="3">
      <c r="A4974" s="23" t="n"/>
      <c r="B4974" s="24" t="inlineStr">
        <is>
          <t>17500</t>
        </is>
      </c>
      <c r="C4974" s="23" t="inlineStr">
        <is>
          <t>ШЕДЕВРЫ</t>
        </is>
      </c>
      <c r="D4974" s="23" t="inlineStr">
        <is>
          <t>Ольденбург С.Ф.</t>
        </is>
      </c>
      <c r="E4974" s="23" t="inlineStr">
        <is>
          <t>Конфуций. Жизнь, деятельность,мысли</t>
        </is>
      </c>
      <c r="F4974" s="23" t="inlineStr">
        <is>
          <t>        </t>
        </is>
      </c>
      <c r="G4974" s="23" t="n">
        <v>554</v>
      </c>
      <c r="H4974" s="23" t="n">
        <v>10</v>
      </c>
      <c r="I4974" s="23" t="n">
        <v>16</v>
      </c>
      <c r="J4974" s="23" t="inlineStr">
        <is>
          <t>978-5-227-06634-3</t>
        </is>
      </c>
      <c r="K4974" s="23" t="inlineStr">
        <is>
          <t>70x108 1/32</t>
        </is>
      </c>
      <c r="L4974" s="23" t="inlineStr">
        <is>
          <t>тв</t>
        </is>
      </c>
      <c r="M4974" s="23" t="n">
        <v>160</v>
      </c>
      <c r="N4974" s="23" t="n">
        <v>2017</v>
      </c>
      <c r="O4974" s="23" t="n">
        <v>186</v>
      </c>
      <c r="P4974" s="23" t="n"/>
      <c r="Q4974" s="23" t="n"/>
      <c r="R4974" s="25" t="inlineStr">
        <is>
          <t>Сергей Федорович Ольденбург — выдающийся историк и востоковед, автор многочисленных работ по истории, религиям и искусству — описывает жизнь великого китайского ученого Конфуция, зарождение его философских взглядов, нашедших отражение во всех сферах жизни.</t>
        </is>
      </c>
      <c r="S4974" s="26">
        <f>HYPERLINK("http://www.cnpol.ru/covers/17500.jpg","фото на сайте")</f>
        <v/>
      </c>
    </row>
    <row r="4975" ht="50.1" customHeight="1" s="3">
      <c r="A4975" s="23" t="inlineStr">
        <is>
          <t>Н</t>
        </is>
      </c>
      <c r="B4975" s="24" t="inlineStr">
        <is>
          <t>21161</t>
        </is>
      </c>
      <c r="C4975" s="23" t="inlineStr">
        <is>
          <t>ШЕДЕВРЫ</t>
        </is>
      </c>
      <c r="D4975" s="23" t="inlineStr">
        <is>
          <t>Пигулевская И.С.</t>
        </is>
      </c>
      <c r="E4975" s="23" t="inlineStr">
        <is>
          <t>Кошки. Мистические истории, легенды и поверья. Коты целители, предсказатели и маги</t>
        </is>
      </c>
      <c r="F4975" s="23" t="inlineStr">
        <is>
          <t>        </t>
        </is>
      </c>
      <c r="G4975" s="23" t="n">
        <v>701</v>
      </c>
      <c r="H4975" s="23" t="n">
        <v>10</v>
      </c>
      <c r="I4975" s="23" t="n">
        <v>18</v>
      </c>
      <c r="J4975" s="23" t="inlineStr">
        <is>
          <t>978-5-9524-6068-3</t>
        </is>
      </c>
      <c r="K4975" s="23" t="inlineStr">
        <is>
          <t>70x108 1/32</t>
        </is>
      </c>
      <c r="L4975" s="23" t="inlineStr">
        <is>
          <t>тв</t>
        </is>
      </c>
      <c r="M4975" s="23" t="n">
        <v>287</v>
      </c>
      <c r="N4975" s="23" t="n">
        <v>2024</v>
      </c>
      <c r="O4975" s="23" t="n">
        <v>260</v>
      </c>
      <c r="P4975" s="23" t="n"/>
      <c r="Q4975" s="23" t="n"/>
      <c r="R4975" s="25" t="inlineStr">
        <is>
          <t>Много тысячелетий кошки живут рядом с человеком, но до сих пор «гуляют сами по себе»... Ловкие и пластичные, хрупкие и настырные, пушистые и бесшерстные, независимые и ручные, все они маленькие и грациозные хищники, не утратившие независимости. «Даже самое маленькое из кошачьих — совершенство» — слова гениального Леонардо да Винчи. И он прав, кошки — удивительные животные, земные, но абсолютно нереальные. Видят то, чего не видим мы, легко странствуют между мирами и мирно спят в солнечных лучах. Они могут быть нежными домашними питомцами и мистическими фамильярами ведьм, предсказателями катастроф и целителями от недугов. Читайте книгу об этих очаровательных животных, вас ждут кошачьи легенды, приметы и поверья, правдивые истории и сказочные рассказы.</t>
        </is>
      </c>
      <c r="S4975" s="26">
        <f>HYPERLINK("http://www.cnpol.ru/covers/21161.jpg","фото на сайте")</f>
        <v/>
      </c>
    </row>
    <row r="4976" ht="50.1" customHeight="1" s="3">
      <c r="A4976" s="23" t="n"/>
      <c r="B4976" s="24" t="inlineStr">
        <is>
          <t>20896</t>
        </is>
      </c>
      <c r="C4976" s="23" t="inlineStr">
        <is>
          <t>ШЕДЕВРЫ</t>
        </is>
      </c>
      <c r="D4976" s="23" t="inlineStr">
        <is>
          <t>Мартьянова Л.М.</t>
        </is>
      </c>
      <c r="E4976" s="23" t="inlineStr">
        <is>
          <t>Кто удивил, тот победил. Мысли и цитаты знаменитых полководцев и военачальников</t>
        </is>
      </c>
      <c r="F4976" s="23" t="inlineStr">
        <is>
          <t>        </t>
        </is>
      </c>
      <c r="G4976" s="23" t="n">
        <v>741</v>
      </c>
      <c r="H4976" s="23" t="n">
        <v>10</v>
      </c>
      <c r="I4976" s="23" t="n">
        <v>12</v>
      </c>
      <c r="J4976" s="23" t="inlineStr">
        <is>
          <t>978-5-227-10491-5</t>
        </is>
      </c>
      <c r="K4976" s="23" t="inlineStr">
        <is>
          <t>70x108 1/32</t>
        </is>
      </c>
      <c r="L4976" s="23" t="inlineStr">
        <is>
          <t>тв</t>
        </is>
      </c>
      <c r="M4976" s="23" t="n">
        <v>414</v>
      </c>
      <c r="N4976" s="23" t="n">
        <v>2023</v>
      </c>
      <c r="O4976" s="23" t="n">
        <v>373</v>
      </c>
      <c r="P4976" s="23" t="n"/>
      <c r="Q4976" s="23" t="n"/>
      <c r="R4976" s="25" t="inlineStr">
        <is>
          <t>Истории известны имена самых выдающихся военачальников, мудрыми мыслями которых хочется поделиться с читателями. Легендарный Александр Македонский и великий Ганнибал, знаменитые Аттила и Гай Юлий Цезарь, король франков Карл Великий и князь киевский Святослав Игоревич, политик и полководец Древней Руси Владимир Мономах и хан Монгольской империи Чингиcхан. Дмитрий Донской, Александр Невский, Пётр I, Джордж Вашингтон, Александр Суворов, Михаил Кутузов и ещё целый сонм мужественных мужей, которые были способны повести за собой и словом и делом.</t>
        </is>
      </c>
      <c r="S4976" s="26">
        <f>HYPERLINK("http://www.cnpol.ru/covers/20896.jpg","фото на сайте")</f>
        <v/>
      </c>
    </row>
    <row r="4977" ht="50.1" customHeight="1" s="3">
      <c r="A4977" s="23" t="n"/>
      <c r="B4977" s="24" t="inlineStr">
        <is>
          <t>20903</t>
        </is>
      </c>
      <c r="C4977" s="23" t="inlineStr">
        <is>
          <t>ШЕДЕВРЫ</t>
        </is>
      </c>
      <c r="D4977" s="23" t="inlineStr">
        <is>
          <t>Пу Сунлин</t>
        </is>
      </c>
      <c r="E4977" s="23" t="inlineStr">
        <is>
          <t>Лисьи чары. Легендарные новеллы китайского писателя XVII—XVIII вв.</t>
        </is>
      </c>
      <c r="F4977" s="23" t="inlineStr">
        <is>
          <t>        </t>
        </is>
      </c>
      <c r="G4977" s="23" t="n">
        <v>554</v>
      </c>
      <c r="H4977" s="23" t="n">
        <v>10</v>
      </c>
      <c r="I4977" s="23" t="n">
        <v>18</v>
      </c>
      <c r="J4977" s="23" t="inlineStr">
        <is>
          <t>978-5-227-10546-2</t>
        </is>
      </c>
      <c r="K4977" s="23" t="inlineStr">
        <is>
          <t>70x108 1/32</t>
        </is>
      </c>
      <c r="L4977" s="23" t="inlineStr">
        <is>
          <t>тв</t>
        </is>
      </c>
      <c r="M4977" s="23" t="n">
        <v>223</v>
      </c>
      <c r="N4977" s="23" t="n">
        <v>2023</v>
      </c>
      <c r="O4977" s="23" t="n">
        <v>236</v>
      </c>
      <c r="P4977" s="23" t="n"/>
      <c r="Q4977" s="23" t="n"/>
      <c r="R4977" s="25" t="inlineStr">
        <is>
          <t>Сегодня во всём мире очень популярна тема восточного эпоса. Мы хотим предложить вам сказочные рассказы известного китайского автора Пу Сунлина, которые стяжали в Китае бессмертную славу и, несмотря на свою трёхсотлетнюю историю, давно перешагнули границы Поднебесной и по сей день востребованы читателями._x000D__x000D_
Лиса — изворотливый персонаж сказок многих народов, но в китайской культуре ей отведено особое место. Лиса в Китае представляется существом-оборотнем, одарённым особой способностью к вкрадчивому лицемерию, легко обольщающим жертву и потом безжалостно её эксплуатирующим. Она наделена долголетием, достигающим тысячи лет, и сверхчеловеческими, даже божественными особенностями. Но лисы могут как обмануть, заморочить и запутать, так и помочь! Неся человеку фатальное очарование, порой приводя его к границе смерти, часто лиса сама же несёт ему чудесное исцеление…_x000D__x000D_
Книга переведена замечательным филологом-китаистом Василием Михайловичем Алексеевым, им же даны многочисленные примечания к тексту.</t>
        </is>
      </c>
      <c r="S4977" s="26">
        <f>HYPERLINK("http://www.cnpol.ru/covers/20903.jpg","фото на сайте")</f>
        <v/>
      </c>
    </row>
    <row r="4978" ht="50.1" customHeight="1" s="3">
      <c r="A4978" s="23" t="n"/>
      <c r="B4978" s="24" t="inlineStr">
        <is>
          <t>18337</t>
        </is>
      </c>
      <c r="C4978" s="23" t="inlineStr">
        <is>
          <t>ШЕДЕВРЫ</t>
        </is>
      </c>
      <c r="D4978" s="23" t="inlineStr">
        <is>
          <t>Группа авторов</t>
        </is>
      </c>
      <c r="E4978" s="23" t="inlineStr">
        <is>
          <t>Лучи света. Афоризмы и притчи Талмуда</t>
        </is>
      </c>
      <c r="F4978" s="23" t="inlineStr">
        <is>
          <t>        </t>
        </is>
      </c>
      <c r="G4978" s="23" t="n">
        <v>554</v>
      </c>
      <c r="H4978" s="23" t="n">
        <v>10</v>
      </c>
      <c r="I4978" s="23" t="n">
        <v>20</v>
      </c>
      <c r="J4978" s="23" t="inlineStr">
        <is>
          <t>978-5-227-07861-2</t>
        </is>
      </c>
      <c r="K4978" s="23" t="inlineStr">
        <is>
          <t>70x108 1/32</t>
        </is>
      </c>
      <c r="L4978" s="23" t="inlineStr">
        <is>
          <t>тв</t>
        </is>
      </c>
      <c r="M4978" s="23" t="n">
        <v>160</v>
      </c>
      <c r="N4978" s="23" t="n">
        <v>2018</v>
      </c>
      <c r="O4978" s="23" t="n">
        <v>186</v>
      </c>
      <c r="P4978" s="23" t="n"/>
      <c r="Q4978" s="23" t="n"/>
      <c r="R4978" s="25" t="inlineStr">
        <is>
          <t>Изучая культуру другого народа, мы часто обращаемся к пословицам, поговоркам, афоризмам. Ведь именно в мудрых изречениях и есть суть народного творчества. О еврейской мудрости целые народы складывают легенды. В буквальном переводе с иврита «талмуд» — это учение или наставление. Манера написания книги является непростой, а изложение — довольно сложным для восприятия. Лейтмотив этого писания есть побуждение еврейских народностей абсолютно всех поколений к обучению и совершенствованию своего духовного мира.</t>
        </is>
      </c>
      <c r="S4978" s="26">
        <f>HYPERLINK("http://www.cnpol.ru/covers/18337.jpg","фото на сайте")</f>
        <v/>
      </c>
    </row>
    <row r="4979" ht="50.1" customHeight="1" s="3">
      <c r="A4979" s="23" t="n"/>
      <c r="B4979" s="24" t="inlineStr">
        <is>
          <t>20938</t>
        </is>
      </c>
      <c r="C4979" s="23" t="inlineStr">
        <is>
          <t>ШЕДЕВРЫ</t>
        </is>
      </c>
      <c r="D4979" s="23" t="inlineStr">
        <is>
          <t>Пу Сунлин</t>
        </is>
      </c>
      <c r="E4979" s="23" t="inlineStr">
        <is>
          <t>Монахи-волшебники. Легендарные новеллы китайского писателя XVII—XVIII вв.</t>
        </is>
      </c>
      <c r="F4979" s="23" t="inlineStr">
        <is>
          <t>        </t>
        </is>
      </c>
      <c r="G4979" s="23" t="n">
        <v>741</v>
      </c>
      <c r="H4979" s="23" t="n">
        <v>10</v>
      </c>
      <c r="I4979" s="23" t="n">
        <v>14</v>
      </c>
      <c r="J4979" s="23" t="inlineStr">
        <is>
          <t>978-5-227-10547-9</t>
        </is>
      </c>
      <c r="K4979" s="23" t="inlineStr">
        <is>
          <t>70x108 1/32</t>
        </is>
      </c>
      <c r="L4979" s="23" t="inlineStr">
        <is>
          <t>тв</t>
        </is>
      </c>
      <c r="M4979" s="23" t="n">
        <v>383</v>
      </c>
      <c r="N4979" s="23" t="n">
        <v>2024</v>
      </c>
      <c r="O4979" s="23" t="n">
        <v>340</v>
      </c>
      <c r="P4979" s="23" t="n"/>
      <c r="Q4979" s="23" t="n"/>
      <c r="R4979" s="25" t="inlineStr">
        <is>
          <t>Сегодня во всём мире очень популярна тема восточного эпоса. Мы хотим предложить вам сказочные рассказы известного китайского автора Пу Сунлина, которые стяжали в Китае бессмертную славу и, несмотря на свою трёхсотлетнюю историю, давно перешагнули границы Поднебесной и по сей день востребованы читателями._x000D__x000D_
Автор погрузит вас в атмосферу средневекового Китая, раскроет удивительный мир всевозможных чудес, нечистой силы, оборотней и превращений. Здесь злые бесы мучают несчастных людей, а добрые посылают счастье… Буддийские монахи-волшебники знают секреты этого мира и тайны потустороннего, они смешивают эти миры в феерический коктейль, наказывают пороки и осуждают глупость…_x000D__x000D_
Книга переведена замечательным филологом-китаистом Василием Михайловичем Алексеевым, им же даны многочисленные примечания к тексту.</t>
        </is>
      </c>
      <c r="S4979" s="26">
        <f>HYPERLINK("http://www.cnpol.ru/covers/20938.jpg","фото на сайте")</f>
        <v/>
      </c>
    </row>
    <row r="4980" ht="50.1" customHeight="1" s="3">
      <c r="A4980" s="23" t="inlineStr">
        <is>
          <t>Н</t>
        </is>
      </c>
      <c r="B4980" s="24" t="inlineStr">
        <is>
          <t>21091</t>
        </is>
      </c>
      <c r="C4980" s="23" t="inlineStr">
        <is>
          <t>ШЕДЕВРЫ</t>
        </is>
      </c>
      <c r="D4980" s="23" t="inlineStr">
        <is>
          <t>Аврелий М.</t>
        </is>
      </c>
      <c r="E4980" s="23" t="inlineStr">
        <is>
          <t>Наедине с собой. Размышления римского императора о жизни, разуме и душе</t>
        </is>
      </c>
      <c r="F4980" s="23" t="inlineStr">
        <is>
          <t>        </t>
        </is>
      </c>
      <c r="G4980" s="23" t="n">
        <v>701</v>
      </c>
      <c r="H4980" s="23" t="n">
        <v>10</v>
      </c>
      <c r="I4980" s="23" t="n">
        <v>14</v>
      </c>
      <c r="J4980" s="23" t="inlineStr">
        <is>
          <t>978-5-227-10656-8</t>
        </is>
      </c>
      <c r="K4980" s="23" t="inlineStr">
        <is>
          <t>70x108 1/32</t>
        </is>
      </c>
      <c r="L4980" s="23" t="inlineStr">
        <is>
          <t>тв</t>
        </is>
      </c>
      <c r="M4980" s="23" t="n">
        <v>287</v>
      </c>
      <c r="N4980" s="23" t="n">
        <v>2024</v>
      </c>
      <c r="O4980" s="23" t="n">
        <v>265</v>
      </c>
      <c r="P4980" s="23" t="n"/>
      <c r="Q4980" s="23" t="n"/>
      <c r="R4980" s="25" t="inlineStr">
        <is>
          <t>«Философ на троне» — так часто называют великого императора Древнего Рима Марка Аврелия. Он был известен не только как государственный деятель, но и как философ, сторонник стоицизма. Империя процветала во время его правления, он не поступался своими принципами, принимал законы, основанные на древнем справедливом праве, и неуклонно следовал им. На протяжении всей жизни Марк Аврелий вел записи-размышления, которые вылились в двенадцать глав-книг и позже объединились в одну, которую вы и держите в своих руках. Сегодня цитаты из этого сборника по-прежнему актуальны, и мы предлагаем вам окунуться в этот кладезь мудрости — рассуждения о жизни, разуме и душе.</t>
        </is>
      </c>
      <c r="S4980" s="26">
        <f>HYPERLINK("http://www.cnpol.ru/covers/21091.jpg","фото на сайте")</f>
        <v/>
      </c>
    </row>
    <row r="4981" ht="50.1" customHeight="1" s="3">
      <c r="A4981" s="23" t="n"/>
      <c r="B4981" s="24" t="inlineStr">
        <is>
          <t>16174</t>
        </is>
      </c>
      <c r="C4981" s="23" t="inlineStr">
        <is>
          <t>ШЕДЕВРЫ</t>
        </is>
      </c>
      <c r="D4981" s="23" t="inlineStr">
        <is>
          <t>Тэффи Н., Черный С, Аверченко А.</t>
        </is>
      </c>
      <c r="E4981" s="23" t="inlineStr">
        <is>
          <t>Новейший самоучитель рекламы</t>
        </is>
      </c>
      <c r="F4981" s="23" t="inlineStr">
        <is>
          <t>        </t>
        </is>
      </c>
      <c r="G4981" s="23" t="n">
        <v>534</v>
      </c>
      <c r="H4981" s="23" t="n">
        <v>10</v>
      </c>
      <c r="I4981" s="23" t="n">
        <v>16</v>
      </c>
      <c r="J4981" s="23" t="inlineStr">
        <is>
          <t>978-5-227-05743-3</t>
        </is>
      </c>
      <c r="K4981" s="23" t="inlineStr">
        <is>
          <t>70x108 1/32</t>
        </is>
      </c>
      <c r="L4981" s="23" t="inlineStr">
        <is>
          <t>тв</t>
        </is>
      </c>
      <c r="M4981" s="23" t="n">
        <v>224</v>
      </c>
      <c r="N4981" s="23" t="n">
        <v>2015</v>
      </c>
      <c r="O4981" s="23" t="n">
        <v>236</v>
      </c>
      <c r="P4981" s="23" t="n"/>
      <c r="Q4981" s="23" t="n"/>
      <c r="R4981" s="25" t="n"/>
      <c r="S4981" s="26">
        <f>HYPERLINK("http://www.cnpol.ru/covers/16174.jpg","фото на сайте")</f>
        <v/>
      </c>
    </row>
    <row r="4982" ht="50.1" customHeight="1" s="3">
      <c r="A4982" s="23" t="inlineStr">
        <is>
          <t>Д</t>
        </is>
      </c>
      <c r="B4982" s="24" t="inlineStr">
        <is>
          <t>22076</t>
        </is>
      </c>
      <c r="C4982" s="23" t="inlineStr">
        <is>
          <t>ШЕДЕВРЫ</t>
        </is>
      </c>
      <c r="D4982" s="23" t="inlineStr">
        <is>
          <t>Толстая С.А.</t>
        </is>
      </c>
      <c r="E4982" s="23" t="inlineStr">
        <is>
          <t>Обед для Льва. Кулинарная книга С.А. Толстой</t>
        </is>
      </c>
      <c r="F4982" s="23" t="inlineStr">
        <is>
          <t>        </t>
        </is>
      </c>
      <c r="G4982" s="23" t="n">
        <v>567</v>
      </c>
      <c r="H4982" s="23" t="n">
        <v>10</v>
      </c>
      <c r="I4982" s="23" t="n">
        <v>16</v>
      </c>
      <c r="J4982" s="23" t="inlineStr">
        <is>
          <t>978-5-227-11214-9</t>
        </is>
      </c>
      <c r="K4982" s="23" t="inlineStr">
        <is>
          <t>70x108 1/32</t>
        </is>
      </c>
      <c r="L4982" s="23" t="inlineStr">
        <is>
          <t>тв</t>
        </is>
      </c>
      <c r="M4982" s="23" t="n">
        <v>191</v>
      </c>
      <c r="N4982" s="23" t="n">
        <v>2026</v>
      </c>
      <c r="O4982" s="23" t="n">
        <v>207</v>
      </c>
      <c r="P4982" s="23" t="n"/>
      <c r="Q4982" s="23" t="n"/>
      <c r="R4982" s="25" t="inlineStr">
        <is>
          <t>Семейные традиции в Ясной Поляне охраняла Софья Андреевна Толстая. Ее «Кулинарная книга» тому подтверждение. Названия блюд звучат так: яблочный квас Марии Николаевны – младшей сестры Л. Н. Толстого; лимонный квас Маруси Маклаковой – близкой знакомой семьи Толстых; пастила яблочная Марии Петровны Фет и, конечно, Анковский пирог – семейного доктора Берсов Николая Богдановича Анке. Толстая собрала рецепты 162 блюд, которыми питалась вся большая семья. Записывали кулинарные рецепты два человека – сама Софья Андреевна и ее младший брат Степан Андреевич Берс. У вас есть уникальная возможность узнать, что готовили в семье Толстых, и попробовать угостить этими блюдами своих родных, друзей и гостей.</t>
        </is>
      </c>
      <c r="S4982" s="26">
        <f>HYPERLINK("http://www.cnpol.ru/covers/22076.jpg","фото на сайте")</f>
        <v/>
      </c>
    </row>
    <row r="4983" ht="50.1" customHeight="1" s="3">
      <c r="A4983" s="23" t="inlineStr">
        <is>
          <t>Н</t>
        </is>
      </c>
      <c r="B4983" s="24" t="inlineStr">
        <is>
          <t>21237</t>
        </is>
      </c>
      <c r="C4983" s="23" t="inlineStr">
        <is>
          <t>ШЕДЕВРЫ</t>
        </is>
      </c>
      <c r="D4983" s="23" t="inlineStr">
        <is>
          <t>Мудрова И.А.</t>
        </is>
      </c>
      <c r="E4983" s="23" t="inlineStr">
        <is>
          <t>Погребальные обряды и обычаи разных народов. Курганы, склепы, пирамиды, мавзолеи. Ритуалы, траур, поминальные трапезы</t>
        </is>
      </c>
      <c r="F4983" s="23" t="inlineStr">
        <is>
          <t>        </t>
        </is>
      </c>
      <c r="G4983" s="23" t="n">
        <v>740</v>
      </c>
      <c r="H4983" s="23" t="n">
        <v>10</v>
      </c>
      <c r="I4983" s="23" t="n">
        <v>16</v>
      </c>
      <c r="J4983" s="23" t="inlineStr">
        <is>
          <t>978-5-9524-6065-2</t>
        </is>
      </c>
      <c r="K4983" s="23" t="inlineStr">
        <is>
          <t>70x108 1/32</t>
        </is>
      </c>
      <c r="L4983" s="23" t="inlineStr">
        <is>
          <t>тв</t>
        </is>
      </c>
      <c r="M4983" s="23" t="n">
        <v>319</v>
      </c>
      <c r="N4983" s="23" t="n">
        <v>2024</v>
      </c>
      <c r="O4983" s="23" t="n">
        <v>292</v>
      </c>
      <c r="P4983" s="23" t="n"/>
      <c r="Q4983" s="23" t="n"/>
      <c r="R4983" s="25" t="inlineStr">
        <is>
          <t>На всём протяжении существования человечества люди мечтают о вечной жизни, но, увы, земному пути каждого рано или поздно приходит конец. Уход из жизни окутан завесой тайн и суеверий. Никто ещё не вернулся с того света и не рассказал о своих переживаниях и ощущениях там, за гранью… Но тем не менее живые с огромной ответственностью относятся к проведению похорон и соблюдению всех необходимых формальностей._x000D_
Все без исключения с уважением относятся к данному таинству, сопровождая всяческими обрядами, которые уникальны для разных народов. Несмотря на ряд отличий, во всех мировых конфессиях обряд погребения имеет один и тот же смысл — покойного необходимо подготовить к переходу в мир иной и достойно проводить, чтобы душа его нашла вечный покой. Книга будет интересна самому широкому кругу читателей, она рассказывает о языческих курганах, семейных склепах, египетских пирамидах. Вы узнаете много интересного о мавзолеях и о том, что Великая Китайская стена — самое большое и длинное кладбище в мире, и ещё огромное количество уникальной информации на тему, избежать которой никому не удастся.</t>
        </is>
      </c>
      <c r="S4983" s="26">
        <f>HYPERLINK("http://www.cnpol.ru/covers/21237.jpg","фото на сайте")</f>
        <v/>
      </c>
    </row>
    <row r="4984" ht="50.1" customHeight="1" s="3">
      <c r="A4984" s="23" t="inlineStr">
        <is>
          <t>Н</t>
        </is>
      </c>
      <c r="B4984" s="24" t="inlineStr">
        <is>
          <t>22309</t>
        </is>
      </c>
      <c r="C4984" s="23" t="inlineStr">
        <is>
          <t>ШЕДЕВРЫ</t>
        </is>
      </c>
      <c r="D4984" s="23" t="inlineStr">
        <is>
          <t>Мартьянова Л.М.</t>
        </is>
      </c>
      <c r="E4984" s="23" t="inlineStr">
        <is>
          <t>Поэзия для взрослых. Четыре гения без цензуры. Хулиганские стихи Пушкина, Лермонтова, Маяковского, Есенина</t>
        </is>
      </c>
      <c r="F4984" s="23" t="inlineStr">
        <is>
          <t>        </t>
        </is>
      </c>
      <c r="G4984" s="23" t="n">
        <v>628</v>
      </c>
      <c r="H4984" s="23" t="n">
        <v>22</v>
      </c>
      <c r="I4984" s="23" t="n">
        <v>10</v>
      </c>
      <c r="J4984" s="23" t="inlineStr">
        <is>
          <t>978-5-9524-6493-3</t>
        </is>
      </c>
      <c r="K4984" s="23" t="inlineStr">
        <is>
          <t>70x108 1/32</t>
        </is>
      </c>
      <c r="L4984" s="23" t="inlineStr">
        <is>
          <t>тв</t>
        </is>
      </c>
      <c r="M4984" s="23" t="n">
        <v>271</v>
      </c>
      <c r="N4984" s="23" t="n">
        <v>2026</v>
      </c>
      <c r="O4984" s="23" t="n">
        <v>252</v>
      </c>
      <c r="P4984" s="23" t="n"/>
      <c r="Q4984" s="23" t="n"/>
      <c r="R4984" s="25" t="inlineStr">
        <is>
          <t>Абсценная лексика считается недостойной публикации. Однако некоторые известные русские поэты не видели в ней ничего зазорного. Они использовали бранные слова как острую приправу, чтобы придать некоторым своим произведениям особый хулиганский оттенок. Великие мастера рифмы Александр Пушкин, Михаил Лермонтов, Владимир Маяковский и Сергей Есенин владели матерщиной так же умело и органично, как и всеми прочими средствами русского языка. Представляем вам откровенные стихи, поэмы и эпиграммы от четырёх гениев российской поэзии.</t>
        </is>
      </c>
      <c r="S4984" s="26">
        <f>HYPERLINK("http://www.cnpol.ru/covers/22309.jpg","фото на сайте")</f>
        <v/>
      </c>
    </row>
    <row r="4985" ht="50.1" customHeight="1" s="3">
      <c r="A4985" s="23" t="n"/>
      <c r="B4985" s="24" t="inlineStr">
        <is>
          <t>20602</t>
        </is>
      </c>
      <c r="C4985" s="23" t="inlineStr">
        <is>
          <t>ШЕДЕВРЫ</t>
        </is>
      </c>
      <c r="D4985" s="23" t="inlineStr">
        <is>
          <t>Хирн Л.</t>
        </is>
      </c>
      <c r="E4985" s="23" t="inlineStr">
        <is>
          <t>Призраки и чудеса в старинных японских сказаниях</t>
        </is>
      </c>
      <c r="F4985" s="23" t="inlineStr">
        <is>
          <t>        </t>
        </is>
      </c>
      <c r="G4985" s="23" t="n">
        <v>554</v>
      </c>
      <c r="H4985" s="23" t="n">
        <v>10</v>
      </c>
      <c r="I4985" s="23" t="n">
        <v>14</v>
      </c>
      <c r="J4985" s="23" t="inlineStr">
        <is>
          <t>978-5-9524-5795-9</t>
        </is>
      </c>
      <c r="K4985" s="23" t="inlineStr">
        <is>
          <t>70x108 1/32</t>
        </is>
      </c>
      <c r="L4985" s="23" t="inlineStr">
        <is>
          <t>тв</t>
        </is>
      </c>
      <c r="M4985" s="23" t="n">
        <v>256</v>
      </c>
      <c r="N4985" s="23" t="n">
        <v>2023</v>
      </c>
      <c r="O4985" s="23" t="n">
        <v>242</v>
      </c>
      <c r="P4985" s="23" t="n"/>
      <c r="Q4985" s="23" t="n"/>
      <c r="R4985" s="25" t="inlineStr">
        <is>
          <t>Япония — удивительная, завораживающая страна с богатейшей историей — бережно сохраняет наследие своих предков. Один из образцов такого наследия — кайданы — диковинные легенды и рассказы о призраках, необычных суевериях, жутких и сверхъестественных событиях. Почти все они заимствованы из старинных японских книг, таких как «Ясо-кидан», «Буккё-хаякка-дзэнсё», «Кокон-тёмонсю», «Тамма-сдарэ», «Хяка-моногатари».</t>
        </is>
      </c>
      <c r="S4985" s="26">
        <f>HYPERLINK("http://www.cnpol.ru/covers/20602.jpg","фото на сайте")</f>
        <v/>
      </c>
    </row>
    <row r="4986" ht="50.1" customHeight="1" s="3">
      <c r="A4986" s="23" t="inlineStr">
        <is>
          <t>Н</t>
        </is>
      </c>
      <c r="B4986" s="24" t="inlineStr">
        <is>
          <t>21181</t>
        </is>
      </c>
      <c r="C4986" s="23" t="inlineStr">
        <is>
          <t>ШЕДЕВРЫ</t>
        </is>
      </c>
      <c r="D4986" s="23" t="inlineStr">
        <is>
          <t>Мартьянова Л.М.</t>
        </is>
      </c>
      <c r="E4986" s="23" t="inlineStr">
        <is>
          <t>Самые известные призраки и привидения. В замках, склепах, дворцах, усадьбах, отелях, музеях. Фамильные призраки, московские привидения, полтергейст и не только…</t>
        </is>
      </c>
      <c r="F4986" s="23" t="inlineStr">
        <is>
          <t>        </t>
        </is>
      </c>
      <c r="G4986" s="23" t="n">
        <v>766</v>
      </c>
      <c r="H4986" s="23" t="n">
        <v>10</v>
      </c>
      <c r="I4986" s="23" t="n">
        <v>16</v>
      </c>
      <c r="J4986" s="23" t="inlineStr">
        <is>
          <t>978-5-9524-6069-0</t>
        </is>
      </c>
      <c r="K4986" s="23" t="inlineStr">
        <is>
          <t>70x108 1/32</t>
        </is>
      </c>
      <c r="L4986" s="23" t="inlineStr">
        <is>
          <t>тв</t>
        </is>
      </c>
      <c r="M4986" s="23" t="n">
        <v>351</v>
      </c>
      <c r="N4986" s="23" t="n">
        <v>2024</v>
      </c>
      <c r="O4986" s="23" t="n">
        <v>312</v>
      </c>
      <c r="P4986" s="23" t="n"/>
      <c r="Q4986" s="23" t="n"/>
      <c r="R4986" s="25" t="inlineStr">
        <is>
          <t>С детства мы слышим пугающие истории о привидениях — душах, которые по каким-то причинам не попали в загробный мир и продолжают сосуществовать рядом с живыми. Некоторые из них ведут себя мирно и даже дружелюбно, а другие, напротив, всеми силами стремятся отомстить людям за грехи прошлого… Они бродят, завывая, по кладбищам и усадьбам, пугают постояльцев отелей и посетителей библиотек. Многие легендарные замки и дворцы имеют своё собственное привидение, и оно становится неотъемлемой частью их популярности._x000D_
Читайте книгу, вас ждут рассказы о шумных духах, мстительных призраках, рыдающих баньши и невинноубиенных детях — майлингарах. А также легенды о всемирно известной леди в белом и чёрном монахе из Понтефракта, всаднике без головы и гуляющей по Зимнему дворцу императрице. Отдельная глава посвящена московским призракам: хохочущий дух, живущий в сталинской высотке, Булгаковский дом на Большой Садовой и фантом машины Лаврентия Берии на Малой Никитской ждут вас на страницах.</t>
        </is>
      </c>
      <c r="S4986" s="26">
        <f>HYPERLINK("http://www.cnpol.ru/covers/21181.jpg","фото на сайте")</f>
        <v/>
      </c>
    </row>
    <row r="4987" ht="50.1" customHeight="1" s="3">
      <c r="A4987" s="23" t="n"/>
      <c r="B4987" s="24" t="inlineStr">
        <is>
          <t>18368</t>
        </is>
      </c>
      <c r="C4987" s="23" t="inlineStr">
        <is>
          <t>ШЕДЕВРЫ</t>
        </is>
      </c>
      <c r="D4987" s="23" t="inlineStr">
        <is>
          <t>Холл Д.</t>
        </is>
      </c>
      <c r="E4987" s="23" t="inlineStr">
        <is>
          <t>Сказания викингов. Истории о древних королях, отважных моряках, сражениях и невиданных странах</t>
        </is>
      </c>
      <c r="F4987" s="23" t="inlineStr">
        <is>
          <t>        </t>
        </is>
      </c>
      <c r="G4987" s="23" t="n">
        <v>554</v>
      </c>
      <c r="H4987" s="23" t="n">
        <v>10</v>
      </c>
      <c r="I4987" s="23" t="n">
        <v>20</v>
      </c>
      <c r="J4987" s="23" t="inlineStr">
        <is>
          <t>978-5-9524-5333-3</t>
        </is>
      </c>
      <c r="K4987" s="23" t="inlineStr">
        <is>
          <t>70x108 1/32</t>
        </is>
      </c>
      <c r="L4987" s="23" t="inlineStr">
        <is>
          <t>тв</t>
        </is>
      </c>
      <c r="M4987" s="23" t="n">
        <v>160</v>
      </c>
      <c r="N4987" s="23" t="n">
        <v>2018</v>
      </c>
      <c r="O4987" s="23" t="n">
        <v>186</v>
      </c>
      <c r="P4987" s="23" t="n"/>
      <c r="Q4987" s="23" t="n"/>
      <c r="R4987" s="25" t="n"/>
      <c r="S4987" s="26">
        <f>HYPERLINK("http://www.cnpol.ru/covers/18368.jpg","фото на сайте")</f>
        <v/>
      </c>
    </row>
    <row r="4988" ht="50.1" customHeight="1" s="3">
      <c r="A4988" s="23" t="inlineStr">
        <is>
          <t>Н</t>
        </is>
      </c>
      <c r="B4988" s="24" t="inlineStr">
        <is>
          <t>21543</t>
        </is>
      </c>
      <c r="C4988" s="23" t="inlineStr">
        <is>
          <t>ШЕДЕВРЫ</t>
        </is>
      </c>
      <c r="D4988" s="23" t="inlineStr">
        <is>
          <t>Мартьянова Л.М.</t>
        </is>
      </c>
      <c r="E4988" s="23" t="inlineStr">
        <is>
          <t>Славянские духи, чудовища и прочая нежить. В сказках, мифах и наших домах…</t>
        </is>
      </c>
      <c r="F4988" s="23" t="inlineStr">
        <is>
          <t>        </t>
        </is>
      </c>
      <c r="G4988" s="23" t="n">
        <v>700</v>
      </c>
      <c r="H4988" s="23" t="n">
        <v>10</v>
      </c>
      <c r="I4988" s="23" t="n">
        <v>12</v>
      </c>
      <c r="J4988" s="23" t="inlineStr">
        <is>
          <t>978-5-9524-6186-4</t>
        </is>
      </c>
      <c r="K4988" s="23" t="inlineStr">
        <is>
          <t>70x108 1/32</t>
        </is>
      </c>
      <c r="L4988" s="23" t="inlineStr">
        <is>
          <t>тв</t>
        </is>
      </c>
      <c r="M4988" s="23" t="n">
        <v>319</v>
      </c>
      <c r="N4988" s="23" t="n">
        <v>2025</v>
      </c>
      <c r="O4988" s="23" t="n">
        <v>220</v>
      </c>
      <c r="P4988" s="23" t="n"/>
      <c r="Q4988" s="23" t="n"/>
      <c r="R4988" s="25" t="inlineStr">
        <is>
          <t>Возраст языческих мифов и легенд впечатляет: по некоторым расчётам, он достигает нескольких тысяч лет! Наши предки всерьёз верили в ту нечисть, которую мы сейчас считаем достойной лишь детских страшилок. Все природные пространства у наших предков имели мифических обитателей. В лесу хозяйничал леший, в реках и озёрах — водяной, в болоте — болотник, в поле — полевик. Обжитое человеком пространство также было заселено духами. В доме тайно жил домовой, в бане — банник. Древние славяне одушевляли природу, верили в существование сверхъестественных сил и таинственных чудищ. На страницах этой книги нас ждут страшные кикиморы и лешие, безжалостные упыри, прекрасная птица Алконост, славянский кентавр — Полкан, проказник, Соловей-разбойник маленький, злой Анчутка, прекрасные русалки, оборотни-берендеи, бессмертный Кощей, пугающий детей бабайка, беспокойный барабашка и легендарная Баба Яга…</t>
        </is>
      </c>
      <c r="S4988" s="26">
        <f>HYPERLINK("http://www.cnpol.ru/covers/21543.jpg","фото на сайте")</f>
        <v/>
      </c>
    </row>
    <row r="4989" ht="50.1" customHeight="1" s="3">
      <c r="A4989" s="23" t="n"/>
      <c r="B4989" s="24" t="inlineStr">
        <is>
          <t>19298</t>
        </is>
      </c>
      <c r="C4989" s="23" t="inlineStr">
        <is>
          <t>ШЕДЕВРЫ</t>
        </is>
      </c>
      <c r="D4989" s="23" t="inlineStr">
        <is>
          <t>Мартьянова Л.М.</t>
        </is>
      </c>
      <c r="E4989" s="23" t="inlineStr">
        <is>
          <t>Словарь церковных терминов. Символы и понятия христианской веры</t>
        </is>
      </c>
      <c r="F4989" s="23" t="inlineStr">
        <is>
          <t>        </t>
        </is>
      </c>
      <c r="G4989" s="23" t="n">
        <v>554</v>
      </c>
      <c r="H4989" s="23" t="n">
        <v>10</v>
      </c>
      <c r="I4989" s="23" t="n">
        <v>10</v>
      </c>
      <c r="J4989" s="23" t="inlineStr">
        <is>
          <t>978-5-227-09124-6</t>
        </is>
      </c>
      <c r="K4989" s="23" t="inlineStr">
        <is>
          <t>70x108 1/32</t>
        </is>
      </c>
      <c r="L4989" s="23" t="inlineStr">
        <is>
          <t>тв</t>
        </is>
      </c>
      <c r="M4989" s="23" t="n">
        <v>384</v>
      </c>
      <c r="N4989" s="23" t="n">
        <v>2020</v>
      </c>
      <c r="O4989" s="23" t="n">
        <v>314</v>
      </c>
      <c r="P4989" s="23" t="n"/>
      <c r="Q4989" s="23" t="n"/>
      <c r="R4989" s="25" t="n"/>
      <c r="S4989" s="26">
        <f>HYPERLINK("http://www.cnpol.ru/covers/19298.jpg","фото на сайте")</f>
        <v/>
      </c>
    </row>
    <row r="4990" ht="50.1" customHeight="1" s="3">
      <c r="A4990" s="23" t="n"/>
      <c r="B4990" s="24" t="inlineStr">
        <is>
          <t>17908</t>
        </is>
      </c>
      <c r="C4990" s="23" t="inlineStr">
        <is>
          <t>ШЕДЕВРЫ</t>
        </is>
      </c>
      <c r="D4990" s="23" t="inlineStr">
        <is>
          <t>Конфуций</t>
        </is>
      </c>
      <c r="E4990" s="23" t="inlineStr">
        <is>
          <t>Суждения и беседы</t>
        </is>
      </c>
      <c r="F4990" s="23" t="inlineStr">
        <is>
          <t>        </t>
        </is>
      </c>
      <c r="G4990" s="23" t="n">
        <v>554</v>
      </c>
      <c r="H4990" s="23" t="n">
        <v>10</v>
      </c>
      <c r="I4990" s="23" t="n">
        <v>14</v>
      </c>
      <c r="J4990" s="23" t="inlineStr">
        <is>
          <t>978-5-227-06636-7</t>
        </is>
      </c>
      <c r="K4990" s="23" t="inlineStr">
        <is>
          <t>70x108 1/32</t>
        </is>
      </c>
      <c r="L4990" s="23" t="inlineStr">
        <is>
          <t>тв</t>
        </is>
      </c>
      <c r="M4990" s="23" t="n">
        <v>288</v>
      </c>
      <c r="N4990" s="23" t="n">
        <v>2018</v>
      </c>
      <c r="O4990" s="23" t="n">
        <v>272</v>
      </c>
      <c r="P4990" s="23" t="n"/>
      <c r="Q4990" s="23" t="n"/>
      <c r="R4990" s="25" t="n"/>
      <c r="S4990" s="26">
        <f>HYPERLINK("http://www.cnpol.ru/covers/17908.jpg","фото на сайте")</f>
        <v/>
      </c>
    </row>
    <row r="4991" ht="50.1" customHeight="1" s="3">
      <c r="A4991" s="23" t="inlineStr">
        <is>
          <t>Н</t>
        </is>
      </c>
      <c r="B4991" s="24" t="inlineStr">
        <is>
          <t>21338</t>
        </is>
      </c>
      <c r="C4991" s="23" t="inlineStr">
        <is>
          <t>ШЕДЕВРЫ</t>
        </is>
      </c>
      <c r="D4991" s="23" t="inlineStr">
        <is>
          <t>Мартьянова Л.М.,Пигулевская И.С.</t>
        </is>
      </c>
      <c r="E4991" s="23" t="inlineStr">
        <is>
          <t>Тайны символов. Зашифрованные знаки тайных обществ, архитектуры, мифологии, искусства, истории</t>
        </is>
      </c>
      <c r="F4991" s="23" t="inlineStr">
        <is>
          <t>        </t>
        </is>
      </c>
      <c r="G4991" s="23" t="n">
        <v>700</v>
      </c>
      <c r="H4991" s="23" t="n">
        <v>10</v>
      </c>
      <c r="I4991" s="23" t="n">
        <v>10</v>
      </c>
      <c r="J4991" s="23" t="inlineStr">
        <is>
          <t>978-5-9524-6074-4</t>
        </is>
      </c>
      <c r="K4991" s="23" t="inlineStr">
        <is>
          <t>70x108 1/32</t>
        </is>
      </c>
      <c r="L4991" s="23" t="inlineStr">
        <is>
          <t>тв</t>
        </is>
      </c>
      <c r="M4991" s="23" t="n">
        <v>319</v>
      </c>
      <c r="N4991" s="23" t="n">
        <v>2024</v>
      </c>
      <c r="O4991" s="23" t="n">
        <v>285</v>
      </c>
      <c r="P4991" s="23" t="n"/>
      <c r="Q4991" s="23" t="n"/>
      <c r="R4991" s="25" t="inlineStr">
        <is>
          <t>Символы — международный язык, понятный без слов. Этот способ общения доступен каждому в любом уголке мира, хотя значение знаков может меняться с течением времени. Первые символы появились раньше первой буквы или первого рисунка, и с тех пор люди пользуются ими во всех сферах своей жизни._x000D_
Многие символы обладают защитной функцией, и человек издавна окружал себя символикой, спасаясь от жизненных трудностей. Символ обращается не только к разуму, но и к чувствам, подсознанию, порождает сложные ассоциации и часто зависит от эпохи, религии, культуры народа. Символика нашла разнообразные выражения в архитектуре, в живописи, в миниатюрах, в легендах. Благодаря этой книге, вы научитесь читать символы старые и современные, разглядите знаки тайных обществ на домах, поймёте смысл, зашифрованный великими художниками на их полотнах, узнаете символику украшений и значение многих знаков, как древних, так и нововведённых.</t>
        </is>
      </c>
      <c r="S4991" s="26">
        <f>HYPERLINK("http://www.cnpol.ru/covers/21338.jpg","фото на сайте")</f>
        <v/>
      </c>
    </row>
    <row r="4992" ht="50.1" customHeight="1" s="3">
      <c r="A4992" s="23" t="n"/>
      <c r="B4992" s="24" t="inlineStr">
        <is>
          <t>18882</t>
        </is>
      </c>
      <c r="C4992" s="23" t="inlineStr">
        <is>
          <t>ШЕДЕВРЫ</t>
        </is>
      </c>
      <c r="D4992" s="23" t="inlineStr">
        <is>
          <t>Ляо-цзы Вэй</t>
        </is>
      </c>
      <c r="E4992" s="23" t="inlineStr">
        <is>
          <t>Трактат о военном искусстве. Советы по выживанию государства в эпоху Сражающихся царств</t>
        </is>
      </c>
      <c r="F4992" s="23" t="inlineStr">
        <is>
          <t>        </t>
        </is>
      </c>
      <c r="G4992" s="23" t="n">
        <v>554</v>
      </c>
      <c r="H4992" s="23" t="n">
        <v>10</v>
      </c>
      <c r="I4992" s="23" t="n">
        <v>16</v>
      </c>
      <c r="J4992" s="23" t="inlineStr">
        <is>
          <t>978-5-227-07509-3</t>
        </is>
      </c>
      <c r="K4992" s="23" t="inlineStr">
        <is>
          <t>70x108 1/32</t>
        </is>
      </c>
      <c r="L4992" s="23" t="inlineStr">
        <is>
          <t>тв</t>
        </is>
      </c>
      <c r="M4992" s="23" t="n">
        <v>192</v>
      </c>
      <c r="N4992" s="23" t="n">
        <v>2019</v>
      </c>
      <c r="O4992" s="23" t="n">
        <v>204</v>
      </c>
      <c r="P4992" s="23" t="n"/>
      <c r="Q4992" s="23" t="n"/>
      <c r="R4992" s="25" t="n"/>
      <c r="S4992" s="26">
        <f>HYPERLINK("http://www.cnpol.ru/covers/18882.jpg","фото на сайте")</f>
        <v/>
      </c>
    </row>
    <row r="4993" ht="50.1" customHeight="1" s="3">
      <c r="A4993" s="23" t="n"/>
      <c r="B4993" s="24" t="inlineStr">
        <is>
          <t>20977</t>
        </is>
      </c>
      <c r="C4993" s="23" t="inlineStr">
        <is>
          <t>ШЕДЕВРЫ</t>
        </is>
      </c>
      <c r="D4993" s="23" t="inlineStr">
        <is>
          <t>Ямамото Цунэтомо</t>
        </is>
      </c>
      <c r="E4993" s="23" t="inlineStr">
        <is>
          <t>Хагакурэ. Сокрытое в листве. Кодекс чести Самурая</t>
        </is>
      </c>
      <c r="F4993" s="23" t="inlineStr">
        <is>
          <t>        </t>
        </is>
      </c>
      <c r="G4993" s="23" t="n">
        <v>672</v>
      </c>
      <c r="H4993" s="23" t="n">
        <v>10</v>
      </c>
      <c r="I4993" s="23" t="n">
        <v>16</v>
      </c>
      <c r="J4993" s="23" t="inlineStr">
        <is>
          <t>978-5-227-10584-4</t>
        </is>
      </c>
      <c r="K4993" s="23" t="inlineStr">
        <is>
          <t>70x108 1/32</t>
        </is>
      </c>
      <c r="L4993" s="23" t="inlineStr">
        <is>
          <t>тв</t>
        </is>
      </c>
      <c r="M4993" s="23" t="n">
        <v>320</v>
      </c>
      <c r="N4993" s="23" t="n">
        <v>2024</v>
      </c>
      <c r="O4993" s="23" t="n">
        <v>342</v>
      </c>
      <c r="P4993" s="23" t="n"/>
      <c r="Q4993" s="23" t="n"/>
      <c r="R4993" s="25" t="inlineStr">
        <is>
          <t>«Хагакурэ» — наиболее авторитетный трактат, посвященный бусидо — кодексу чести самурая. Так называли в древней Японии свод правил и установлений, регламентирующих поведение и повседневную жизнь самураев — воинского сословия, определяющего историю своей страны на протяжении столетий. Чистота и ясность языка, глубина мысли и предельная искренность переживаний характеризуют произведение Ямамото Цунэтомо — великого самурая, пытавшегося по-своему ответить на вопрос: «Как мы живем? Как мы умираем?»</t>
        </is>
      </c>
      <c r="S4993" s="26">
        <f>HYPERLINK("http://www.cnpol.ru/covers/20977.jpg","фото на сайте")</f>
        <v/>
      </c>
    </row>
    <row r="4994" ht="50.1" customHeight="1" s="3">
      <c r="A4994" s="23" t="n"/>
      <c r="B4994" s="24" t="inlineStr">
        <is>
          <t>17630</t>
        </is>
      </c>
      <c r="C4994" s="23" t="inlineStr">
        <is>
          <t>ШЕДЕВРЫ</t>
        </is>
      </c>
      <c r="D4994" s="23" t="inlineStr">
        <is>
          <t>Мартьянова Л.М.</t>
        </is>
      </c>
      <c r="E4994" s="23" t="inlineStr">
        <is>
          <t>Цветочный гороскоп. Растения талисманы о вашем характере, судьбе и здоровье</t>
        </is>
      </c>
      <c r="F4994" s="23" t="inlineStr">
        <is>
          <t>        </t>
        </is>
      </c>
      <c r="G4994" s="23" t="n">
        <v>672</v>
      </c>
      <c r="H4994" s="23" t="n">
        <v>10</v>
      </c>
      <c r="I4994" s="23" t="n">
        <v>12</v>
      </c>
      <c r="J4994" s="23" t="inlineStr">
        <is>
          <t>978-5-227-07537-6</t>
        </is>
      </c>
      <c r="K4994" s="23" t="inlineStr">
        <is>
          <t>70x108 1/32</t>
        </is>
      </c>
      <c r="L4994" s="23" t="inlineStr">
        <is>
          <t>тв</t>
        </is>
      </c>
      <c r="M4994" s="23" t="n">
        <v>384</v>
      </c>
      <c r="N4994" s="23" t="n">
        <v>2017</v>
      </c>
      <c r="O4994" s="23" t="n">
        <v>334</v>
      </c>
      <c r="P4994" s="23" t="n"/>
      <c r="Q4994" s="23" t="n"/>
      <c r="R4994" s="25" t="n"/>
      <c r="S4994" s="26">
        <f>HYPERLINK("http://www.cnpol.ru/covers/17630.jpg","фото на сайте")</f>
        <v/>
      </c>
    </row>
    <row r="4995" ht="50.1" customHeight="1" s="3">
      <c r="A4995" s="23" t="n"/>
      <c r="B4995" s="24" t="inlineStr">
        <is>
          <t>17243</t>
        </is>
      </c>
      <c r="C4995" s="23" t="inlineStr">
        <is>
          <t>ШЕДЕВРЫ</t>
        </is>
      </c>
      <c r="D4995" s="23" t="inlineStr">
        <is>
          <t>Тай-гун</t>
        </is>
      </c>
      <c r="E4995" s="23" t="inlineStr">
        <is>
          <t>Шесть секретных учений. Наставления для эффективного свержения династии</t>
        </is>
      </c>
      <c r="F4995" s="23" t="inlineStr">
        <is>
          <t>        </t>
        </is>
      </c>
      <c r="G4995" s="23" t="n">
        <v>508</v>
      </c>
      <c r="H4995" s="23" t="n">
        <v>10</v>
      </c>
      <c r="I4995" s="23" t="n">
        <v>20</v>
      </c>
      <c r="J4995" s="23" t="inlineStr">
        <is>
          <t>978-5-227-06609-1</t>
        </is>
      </c>
      <c r="K4995" s="23" t="inlineStr">
        <is>
          <t>70x108 1/32</t>
        </is>
      </c>
      <c r="L4995" s="23" t="inlineStr">
        <is>
          <t>тв</t>
        </is>
      </c>
      <c r="M4995" s="23" t="n">
        <v>192</v>
      </c>
      <c r="N4995" s="23" t="n">
        <v>2016</v>
      </c>
      <c r="O4995" s="23" t="n">
        <v>192</v>
      </c>
      <c r="P4995" s="23" t="n"/>
      <c r="Q4995" s="23" t="n"/>
      <c r="R4995" s="25" t="n"/>
      <c r="S4995" s="26">
        <f>HYPERLINK("http://www.cnpol.ru/covers/17243.jpg","фото на сайте")</f>
        <v/>
      </c>
    </row>
    <row r="4996" ht="50.1" customHeight="1" s="3">
      <c r="A4996" s="23" t="n"/>
      <c r="B4996" s="24" t="inlineStr">
        <is>
          <t>11467</t>
        </is>
      </c>
      <c r="C4996" s="23" t="inlineStr">
        <is>
          <t>ШЛИМАН</t>
        </is>
      </c>
      <c r="D4996" s="23" t="inlineStr">
        <is>
          <t>Шлиман Г.</t>
        </is>
      </c>
      <c r="E4996" s="23" t="inlineStr">
        <is>
          <t>Илион. Город и страна троянцев кн.2</t>
        </is>
      </c>
      <c r="F4996" s="23" t="n">
        <v>2</v>
      </c>
      <c r="G4996" s="27" t="n">
        <v>1205</v>
      </c>
      <c r="H4996" s="23" t="n">
        <v>10</v>
      </c>
      <c r="I4996" s="23" t="n">
        <v>10</v>
      </c>
      <c r="J4996" s="23" t="inlineStr">
        <is>
          <t>978-5-9524-4575-8</t>
        </is>
      </c>
      <c r="K4996" s="23" t="inlineStr">
        <is>
          <t>60x90 1/16</t>
        </is>
      </c>
      <c r="L4996" s="23" t="inlineStr">
        <is>
          <t>тв</t>
        </is>
      </c>
      <c r="M4996" s="23" t="n">
        <v>543</v>
      </c>
      <c r="N4996" s="23" t="n">
        <v>2009</v>
      </c>
      <c r="O4996" s="23" t="n">
        <v>586</v>
      </c>
      <c r="P4996" s="23" t="n"/>
      <c r="Q4996" s="23" t="n"/>
      <c r="R4996" s="25" t="inlineStr">
        <is>
          <t>Великая мечта, ставшая смыслом жизни, долгим и кружным путем вела Генриха Шлимана, немецкого коммерсанта, путешественника и прославившегося необыкновенными открытиями археолога-любителя, к легендарному Илиону. Ознакомившись с подробнейшим отчетом о раскопках, проведенных Шлиманом в толще холма Гиссарлык, Микенах и Тиринфе, не только специалисты-археологи, но и все интересующиеся историей смогут оценить вклад в мировую науку знаменитого энтузиаста, общепризнанного "дилетанта" и всемирно известного исследователя древнегреческих древностей, посвятившего более десяти лет поискам и раскопкам "града Приама". Особую ценность книге придает обширный иллюстративный материал и автобиография автора, сотворившего легенду о самом себе. Данная работа переведена на русский язык впервые, что делает это издание уникальным.</t>
        </is>
      </c>
      <c r="S4996" s="26">
        <f>HYPERLINK("http://www.cnpol.ru/covers/11467.jpg","фото на сайте")</f>
        <v/>
      </c>
    </row>
    <row r="4997" ht="50.1" customHeight="1" s="3">
      <c r="A4997" s="23" t="n"/>
      <c r="B4997" s="24" t="inlineStr">
        <is>
          <t>19924</t>
        </is>
      </c>
      <c r="C4997" s="23" t="inlineStr">
        <is>
          <t>ШЛИМАН НОВ</t>
        </is>
      </c>
      <c r="D4997" s="23" t="inlineStr">
        <is>
          <t>Шлиман Г.</t>
        </is>
      </c>
      <c r="E4997" s="23" t="inlineStr">
        <is>
          <t>Илион. Город и страна троянцев. Т. 1</t>
        </is>
      </c>
      <c r="F4997" s="23" t="n">
        <v>1</v>
      </c>
      <c r="G4997" s="27" t="n">
        <v>1594</v>
      </c>
      <c r="H4997" s="23" t="n">
        <v>10</v>
      </c>
      <c r="I4997" s="23" t="n">
        <v>8</v>
      </c>
      <c r="J4997" s="23" t="inlineStr">
        <is>
          <t>978-5-9524-5530-6</t>
        </is>
      </c>
      <c r="K4997" s="23" t="inlineStr">
        <is>
          <t>60x90 1/16</t>
        </is>
      </c>
      <c r="L4997" s="23" t="inlineStr">
        <is>
          <t>тв</t>
        </is>
      </c>
      <c r="M4997" s="23" t="n">
        <v>543</v>
      </c>
      <c r="N4997" s="23" t="n">
        <v>2021</v>
      </c>
      <c r="O4997" s="23" t="n">
        <v>650</v>
      </c>
      <c r="P4997" s="23" t="n"/>
      <c r="Q4997" s="23" t="n"/>
      <c r="R4997" s="25" t="inlineStr">
        <is>
          <t>Великая мечта, ставшая смыслом жизни, долгим и кружным путем вела Генриха Шлимана, немецкого коммерсанта, путешественника и прославившегося необыкновенными открытиями археолога-любителя, к легендарному Илиону. Ознакомившись с подробнейшим отчетом о раскопках, проведенных Шлиманом в толще холма Гиссарлык, Микенах и Тиринфе, не только специалисты-археологи, но и все интересующиеся историей смогут оценить вклад в мировую науку знаменитого энтузиаста, общепризнанного «дилетанта» и всемирно известного исследователя древнегреческих древностей, посвятившего более десяти лет поискам и раскопкам «града Приама». Особую ценность книге придает обширный иллюстративный материал и автобиография автора, сотворившего легенду о самом себе. Данная работа переведена на русский язык впервые, что делает это издание уникальным.</t>
        </is>
      </c>
      <c r="S4997" s="26">
        <f>HYPERLINK("http://www.cnpol.ru/covers/19924.jpg","фото на сайте")</f>
        <v/>
      </c>
    </row>
    <row r="4998" ht="50.1" customHeight="1" s="3">
      <c r="A4998" s="23" t="n"/>
      <c r="B4998" s="24" t="inlineStr">
        <is>
          <t>19925</t>
        </is>
      </c>
      <c r="C4998" s="23" t="inlineStr">
        <is>
          <t>ШЛИМАН НОВ</t>
        </is>
      </c>
      <c r="D4998" s="23" t="inlineStr">
        <is>
          <t>Шлиман Г.</t>
        </is>
      </c>
      <c r="E4998" s="23" t="inlineStr">
        <is>
          <t>Илион. Город и страна троянцев. Т. 2</t>
        </is>
      </c>
      <c r="F4998" s="23" t="n">
        <v>2</v>
      </c>
      <c r="G4998" s="27" t="n">
        <v>1634</v>
      </c>
      <c r="H4998" s="23" t="n">
        <v>10</v>
      </c>
      <c r="I4998" s="23" t="n">
        <v>8</v>
      </c>
      <c r="J4998" s="23" t="inlineStr">
        <is>
          <t>978-5-9524-5531-3</t>
        </is>
      </c>
      <c r="K4998" s="23" t="inlineStr">
        <is>
          <t>60x90 1/16</t>
        </is>
      </c>
      <c r="L4998" s="23" t="inlineStr">
        <is>
          <t>тв</t>
        </is>
      </c>
      <c r="M4998" s="23" t="n">
        <v>559</v>
      </c>
      <c r="N4998" s="23" t="n">
        <v>2021</v>
      </c>
      <c r="O4998" s="23" t="n">
        <v>650</v>
      </c>
      <c r="P4998" s="23" t="n"/>
      <c r="Q4998" s="23" t="n"/>
      <c r="R4998" s="25" t="inlineStr">
        <is>
          <t>Великая мечта, ставшая смыслом жизни, долгим и кружным путем вела Генриха Шлимана, немецкого коммерсанта, путешественника и прославившегося необыкновенными открытиями археолога-любителя, к легендарному Илиону. Ознакомившись с подробнейшим отчетом о раскопках, проведенных Шлиманом в толще холма Гиссарлык, Микенах и Тиринфе, не только специалисты-археологи, но и все интересующиеся историей смогут оценить вклад в мировую науку знаменитого энтузиаста, общепризнанного "дилетанта" и всемирно известного исследователя древнегреческих древностей, посвятившего более десяти лет поискам и раскопкам "града Приама". Особую ценность книге придает обширный иллюстративный материал и автобиография автора, сотворившего легенду о самом себе. Данная работа переведена на русский язык впервые, что делает это издание уникальным.</t>
        </is>
      </c>
      <c r="S4998" s="26">
        <f>HYPERLINK("http://www.cnpol.ru/covers/19925.jpg","фото на сайте")</f>
        <v/>
      </c>
    </row>
    <row r="4999" ht="50.1" customHeight="1" s="3">
      <c r="A4999" s="23" t="n"/>
      <c r="B4999" s="24" t="inlineStr">
        <is>
          <t>19926</t>
        </is>
      </c>
      <c r="C4999" s="23" t="inlineStr">
        <is>
          <t>ШЛИМАН НОВ</t>
        </is>
      </c>
      <c r="D4999" s="23" t="inlineStr">
        <is>
          <t>Шлиман Г.</t>
        </is>
      </c>
      <c r="E4999" s="23" t="inlineStr">
        <is>
          <t>Троя</t>
        </is>
      </c>
      <c r="F4999" s="23" t="inlineStr">
        <is>
          <t>        </t>
        </is>
      </c>
      <c r="G4999" s="27" t="n">
        <v>1286</v>
      </c>
      <c r="H4999" s="23" t="n">
        <v>10</v>
      </c>
      <c r="I4999" s="23" t="n">
        <v>10</v>
      </c>
      <c r="J4999" s="23" t="inlineStr">
        <is>
          <t>978-5-9524-5529-0</t>
        </is>
      </c>
      <c r="K4999" s="23" t="inlineStr">
        <is>
          <t>60x90 1/16</t>
        </is>
      </c>
      <c r="L4999" s="23" t="inlineStr">
        <is>
          <t>тв</t>
        </is>
      </c>
      <c r="M4999" s="23" t="n">
        <v>399</v>
      </c>
      <c r="N4999" s="23" t="n">
        <v>2021</v>
      </c>
      <c r="O4999" s="23" t="n">
        <v>500</v>
      </c>
      <c r="P4999" s="23" t="n"/>
      <c r="Q4999" s="23" t="n"/>
      <c r="R4999" s="25" t="n"/>
      <c r="S4999" s="26">
        <f>HYPERLINK("http://www.cnpol.ru/covers/19926.jpg","фото на сайте")</f>
        <v/>
      </c>
    </row>
    <row r="5000" ht="50.1" customHeight="1" s="3">
      <c r="A5000" s="23" t="inlineStr">
        <is>
          <t>Д</t>
        </is>
      </c>
      <c r="B5000" s="24" t="inlineStr">
        <is>
          <t>22039</t>
        </is>
      </c>
      <c r="C5000" s="23" t="inlineStr">
        <is>
          <t>ШМК</t>
        </is>
      </c>
      <c r="D5000" s="23" t="inlineStr">
        <is>
          <t>Меньшикова К.Е.</t>
        </is>
      </c>
      <c r="E5000" s="23" t="inlineStr">
        <is>
          <t>Здоровье через силу стихий</t>
        </is>
      </c>
      <c r="F5000" s="23" t="inlineStr">
        <is>
          <t>        </t>
        </is>
      </c>
      <c r="G5000" s="23" t="n">
        <v>284</v>
      </c>
      <c r="H5000" s="23" t="n">
        <v>10</v>
      </c>
      <c r="I5000" s="23" t="n">
        <v>12</v>
      </c>
      <c r="J5000" s="23" t="inlineStr">
        <is>
          <t>978-5-227-11219-4</t>
        </is>
      </c>
      <c r="K5000" s="23" t="inlineStr">
        <is>
          <t>84x108 1/32 (обл)</t>
        </is>
      </c>
      <c r="L5000" s="23" t="inlineStr">
        <is>
          <t>мяг</t>
        </is>
      </c>
      <c r="M5000" s="23" t="n">
        <v>224</v>
      </c>
      <c r="N5000" s="23" t="n">
        <v>2026</v>
      </c>
      <c r="O5000" s="23" t="n">
        <v>136</v>
      </c>
      <c r="P5000" s="23" t="n"/>
      <c r="Q5000" s="23" t="n"/>
      <c r="R5000" s="25" t="inlineStr">
        <is>
          <t>Здоровье — это сила земли, сила природы, и каждый рождённый имеет право на эту силу лишь на основании факта своего рождения здесь — все живые в равной степени. Это очень важно понять: потенциально на поток здоровья как на источник жизненной силы каждый живущий равно имеет право. Потенциально. То, что человек оказывается не способен взять силу жизни совсем или не в том объёме, который нужен ему для нормальной работы своего тела и сознания, зависит исключительно от психического устройства самого человека, а также от среды, в которой он живёт._x000D_
Почему с течением времени поток силы жизни начинает иссякать? Кто или что перекрывает эту силу и ограничивает святое право рождённого на неё? Что нужно сделать, чтобы восстановить утраченное здоровье? Ответы на эти и многие другие вопросы вы найдёте в этой книге.</t>
        </is>
      </c>
      <c r="S5000" s="26">
        <f>HYPERLINK("http://www.cnpol.ru/covers/22039.jpg","фото на сайте")</f>
        <v/>
      </c>
    </row>
    <row r="5001" ht="50.1" customHeight="1" s="3">
      <c r="A5001" s="23" t="inlineStr">
        <is>
          <t>Д</t>
        </is>
      </c>
      <c r="B5001" s="24" t="inlineStr">
        <is>
          <t>22166</t>
        </is>
      </c>
      <c r="C5001" s="23" t="inlineStr">
        <is>
          <t>ШМК</t>
        </is>
      </c>
      <c r="D5001" s="23" t="inlineStr">
        <is>
          <t>Меньшикова К.Е.</t>
        </is>
      </c>
      <c r="E5001" s="23" t="inlineStr">
        <is>
          <t>Цели и ценности. Как перестать быть таким, как все</t>
        </is>
      </c>
      <c r="F5001" s="23" t="inlineStr">
        <is>
          <t>        </t>
        </is>
      </c>
      <c r="G5001" s="23" t="n">
        <v>284</v>
      </c>
      <c r="H5001" s="23" t="n">
        <v>10</v>
      </c>
      <c r="I5001" s="23" t="n">
        <v>12</v>
      </c>
      <c r="J5001" s="23" t="inlineStr">
        <is>
          <t>978-5-227-11310-8</t>
        </is>
      </c>
      <c r="K5001" s="23" t="inlineStr">
        <is>
          <t>84x108 1/32 (обл)</t>
        </is>
      </c>
      <c r="L5001" s="23" t="inlineStr">
        <is>
          <t>мяг</t>
        </is>
      </c>
      <c r="M5001" s="23" t="n">
        <v>224</v>
      </c>
      <c r="N5001" s="23" t="n">
        <v>2026</v>
      </c>
      <c r="O5001" s="23" t="inlineStr">
        <is>
          <t>     </t>
        </is>
      </c>
      <c r="P5001" s="23" t="n"/>
      <c r="Q5001" s="23" t="n"/>
      <c r="R5001" s="25" t="inlineStr">
        <is>
          <t>Судьбу человека определяют его ценности. Если у людей одинаковые ценности, то и сценарий их жизни будет очень похож. Но если такая жизнь не нравится и перспектива повторить судьбу родителей тоже не радует, можно ли что-то изменить? Можно! Для этого нужно переписать ценности и растворить события, которые прописаны в жизни как обязательные. Сделать это трудно, но реально. Ключ — в правильной методике. Он заключается в специальной перезаписи лежащих в сознании, но скрытых от своего владельца связей между ценностями и целями. Такие связи — тайные программы: они есть, просто вы о них не знаете. Если все сделать правильно, то жизнь будущего освобождается от обязательств идти по прописанному сценарию и исправлять своей жизнью ошибки родителей. Снимается жесткое влияние системы._x000D_
Данная книга написана по результатам работы, которая проводится в Школе Меньшиковой по магическому развитию сознания. Все ученики, которые изменили себя через этот метод, достигли серьезных успехов в жизни, полностью или частично переписав свою судьбу и изменив карму как программу построения событий.</t>
        </is>
      </c>
      <c r="S5001" s="26">
        <f>HYPERLINK("http://www.cnpol.ru/covers/22166.jpg","фото на сайте")</f>
        <v/>
      </c>
    </row>
    <row r="5002" ht="50.1" customHeight="1" s="3">
      <c r="A5002" s="23" t="n"/>
      <c r="B5002" s="24" t="inlineStr">
        <is>
          <t>10678</t>
        </is>
      </c>
      <c r="C5002" s="23" t="inlineStr">
        <is>
          <t>ШОК</t>
        </is>
      </c>
      <c r="D5002" s="23" t="inlineStr">
        <is>
          <t>Гуджон Б.</t>
        </is>
      </c>
      <c r="E5002" s="23" t="inlineStr">
        <is>
          <t>Девственницы</t>
        </is>
      </c>
      <c r="F5002" s="23" t="inlineStr">
        <is>
          <t>        </t>
        </is>
      </c>
      <c r="G5002" s="23" t="n">
        <v>486</v>
      </c>
      <c r="H5002" s="23" t="n">
        <v>10</v>
      </c>
      <c r="I5002" s="23" t="n">
        <v>24</v>
      </c>
      <c r="J5002" s="23" t="inlineStr">
        <is>
          <t>978-5-9524-3849-1</t>
        </is>
      </c>
      <c r="K5002" s="23" t="inlineStr">
        <is>
          <t>84x108 1/32</t>
        </is>
      </c>
      <c r="L5002" s="23" t="inlineStr">
        <is>
          <t>тв</t>
        </is>
      </c>
      <c r="M5002" s="23" t="n">
        <v>233</v>
      </c>
      <c r="N5002" s="23" t="n">
        <v>2008</v>
      </c>
      <c r="O5002" s="23" t="n">
        <v>238</v>
      </c>
      <c r="P5002" s="23" t="n"/>
      <c r="Q5002" s="23" t="n"/>
      <c r="R5002" s="25" t="inlineStr">
        <is>
          <t>Книга впервые вышла в Америке в 2008 году, произведя сразу большое впечатление на общественность и став бестселлером крупнейшего американского издания Permanent Press._x000D_
"Девственницы" Банни Гуджон - это сложная по форме психологическая проза. Главные герои - подростки, период их взросления, когда взрослый мир, с одной стороны, непонятен, а с другой - так притягивает._x000D_
В книге описывается один год из жизни взросления двух девочек с декабря по декабрь. Лондонское предместье, бедный квартал. Девочки начинают интересоваться противоположным полом, что приводит к беременности одной из них. Героиня не знает, как сказать матери. Попытки самостоятельно прервать беременность (таблетки, горячие ванны, отвары из трав и т. д.) оказываются тщетны. И в канун Рождества в их детском тайнике-шалаше рождается младенец. Детская паника заставляет девочек спрятать младенца в сумку и отнести в местный клуб, где жители празднуют Рождество. Мальчик-даун находит младенца и, согласно своей логике, относит его в рождественские декорации - в ясли рядом с Девой Марией._x000D_
Заканчивается книга неописуемой радостью местных жителей - в Рождество произошло чудо - им явился младенец Христос.</t>
        </is>
      </c>
      <c r="S5002" s="26">
        <f>HYPERLINK("http://www.cnpol.ru/covers/10678.jpg","фото на сайте")</f>
        <v/>
      </c>
    </row>
    <row r="5003" ht="50.1" customHeight="1" s="3">
      <c r="A5003" s="23" t="n"/>
      <c r="B5003" s="24" t="inlineStr">
        <is>
          <t>10761</t>
        </is>
      </c>
      <c r="C5003" s="23" t="inlineStr">
        <is>
          <t>ШОК</t>
        </is>
      </c>
      <c r="D5003" s="23" t="inlineStr">
        <is>
          <t>Дэвис Ч.</t>
        </is>
      </c>
      <c r="E5003" s="23" t="inlineStr">
        <is>
          <t>Мания</t>
        </is>
      </c>
      <c r="F5003" s="23" t="inlineStr">
        <is>
          <t>        </t>
        </is>
      </c>
      <c r="G5003" s="23" t="n">
        <v>486</v>
      </c>
      <c r="H5003" s="23" t="n">
        <v>10</v>
      </c>
      <c r="I5003" s="23" t="n">
        <v>26</v>
      </c>
      <c r="J5003" s="23" t="inlineStr">
        <is>
          <t>978-5-9524-3879-8</t>
        </is>
      </c>
      <c r="K5003" s="23" t="inlineStr">
        <is>
          <t>84x108 1/32</t>
        </is>
      </c>
      <c r="L5003" s="23" t="inlineStr">
        <is>
          <t>тв</t>
        </is>
      </c>
      <c r="M5003" s="23" t="n">
        <v>157</v>
      </c>
      <c r="N5003" s="23" t="n">
        <v>2008</v>
      </c>
      <c r="O5003" s="23" t="n">
        <v>200</v>
      </c>
      <c r="P5003" s="23" t="n"/>
      <c r="Q5003" s="23" t="n"/>
      <c r="R5003" s="25" t="inlineStr">
        <is>
          <t>В бедном селении, где скудно живут крестьяне, время от времени пропадают маленькие дети... Чтобы разобраться во всех этих преступлениях, маленькую деревню посетил пышный кортеж Инквизитора. Подозрения и обвинения завистливых бедняков пали на чужака-мавра, любимца местной детворы..._x000D_
Борьба между добром и злом постоянно совершается в нашем сердце, и то, что выберет каждый из нас, станет ясно только в самую последнюю минуту...</t>
        </is>
      </c>
      <c r="S5003" s="26">
        <f>HYPERLINK("http://www.cnpol.ru/covers/10761.jpg","фото на сайте")</f>
        <v/>
      </c>
    </row>
    <row r="5004" ht="50.1" customHeight="1" s="3">
      <c r="A5004" s="23" t="inlineStr">
        <is>
          <t>Н</t>
        </is>
      </c>
      <c r="B5004" s="24" t="inlineStr">
        <is>
          <t>21601</t>
        </is>
      </c>
      <c r="C5004" s="23" t="inlineStr">
        <is>
          <t>ШПИОН</t>
        </is>
      </c>
      <c r="D5004" s="23" t="inlineStr">
        <is>
          <t>Дейтон Л.</t>
        </is>
      </c>
      <c r="E5004" s="23" t="inlineStr">
        <is>
          <t>Берлинский гейм</t>
        </is>
      </c>
      <c r="F5004" s="23" t="inlineStr">
        <is>
          <t>        </t>
        </is>
      </c>
      <c r="G5004" s="27" t="n">
        <v>1185</v>
      </c>
      <c r="H5004" s="23" t="n">
        <v>10</v>
      </c>
      <c r="I5004" s="23" t="n">
        <v>5</v>
      </c>
      <c r="J5004" s="23" t="inlineStr">
        <is>
          <t>978-5-9524-6367-7</t>
        </is>
      </c>
      <c r="K5004" s="23" t="inlineStr">
        <is>
          <t>84x108 1/32</t>
        </is>
      </c>
      <c r="L5004" s="23" t="inlineStr">
        <is>
          <t>тв</t>
        </is>
      </c>
      <c r="M5004" s="23" t="n">
        <v>471</v>
      </c>
      <c r="N5004" s="23" t="n">
        <v>2025</v>
      </c>
      <c r="O5004" s="23" t="n">
        <v>375</v>
      </c>
      <c r="P5004" s="23" t="n"/>
      <c r="Q5004" s="23" t="n"/>
      <c r="R5004" s="25" t="inlineStr">
        <is>
          <t>Осведомитель британской разведки за железным занавесом под кодовым именем Брамс Четвертый требует срочной переправки на Запад. В ходе операции Брамс предупреждает о кроте в недрах МИ-6, и агент Сэмсон вступает в игру, полную опасностей и неожиданных разоблачений… Роман о берлинской операции открывает шпионскую трилогию о сотруднике британской секретной службы Бернарде Сэмсоне «Гейм, сет и матч».</t>
        </is>
      </c>
      <c r="S5004" s="26">
        <f>HYPERLINK("http://www.cnpol.ru/covers/21601.jpg","фото на сайте")</f>
        <v/>
      </c>
    </row>
    <row r="5005" ht="50.1" customHeight="1" s="3">
      <c r="A5005" s="23" t="inlineStr">
        <is>
          <t>Н</t>
        </is>
      </c>
      <c r="B5005" s="24" t="inlineStr">
        <is>
          <t>22073</t>
        </is>
      </c>
      <c r="C5005" s="23" t="inlineStr">
        <is>
          <t>ШПИОН</t>
        </is>
      </c>
      <c r="D5005" s="23" t="inlineStr">
        <is>
          <t>Джонс С.</t>
        </is>
      </c>
      <c r="E5005" s="23" t="inlineStr">
        <is>
          <t>Время волка</t>
        </is>
      </c>
      <c r="F5005" s="23" t="inlineStr">
        <is>
          <t>        </t>
        </is>
      </c>
      <c r="G5005" s="27" t="n">
        <v>1184</v>
      </c>
      <c r="H5005" s="23" t="n">
        <v>10</v>
      </c>
      <c r="I5005" s="23" t="n">
        <v>10</v>
      </c>
      <c r="J5005" s="23" t="inlineStr">
        <is>
          <t>978-5-9524-6645-6</t>
        </is>
      </c>
      <c r="K5005" s="23" t="inlineStr">
        <is>
          <t>84x108 1/32</t>
        </is>
      </c>
      <c r="L5005" s="23" t="inlineStr">
        <is>
          <t>тв</t>
        </is>
      </c>
      <c r="M5005" s="23" t="n">
        <v>415</v>
      </c>
      <c r="N5005" s="23" t="n">
        <v>2026</v>
      </c>
      <c r="O5005" s="23" t="n">
        <v>456</v>
      </c>
      <c r="P5005" s="23" t="n"/>
      <c r="Q5005" s="23" t="n"/>
      <c r="R5005" s="25" t="inlineStr">
        <is>
          <t>Гюнтер Радок по прозвищу Паганини, преданный своему делу полицейский, получает в «наследство» от погибшего немецкого генерала сверхсекретные документы – ужасающие свидетельства геноцидной программы Гитлера против евреев. В письме генерал заклинает Радока передать документы представителям антигитлеровской коалиции, чтобы помешать осуществлению чудовищного злодейства. На этом смертельно опасном пути Гюнтер встречает свою настоящую любовь – талантливую пианистку Фриду Лассен, работающую в подполье. Вместе они приступают к выполнению опасной миссии. Но о похищенных документах знает Вольф Хартман — самый безжалостный секретный нацистский агент, опытный охотник и убийца, которого боятся даже его руководители и которого Фрида когда-то страстно любила. Он преследует Фриду и Гюнтера от темных глубин венских катакомб до коварных горных троп величественных Альп, чтобы не дать им добраться до швейцарской границы…</t>
        </is>
      </c>
      <c r="S5005" s="26">
        <f>HYPERLINK("http://www.cnpol.ru/covers/22073.jpg","фото на сайте")</f>
        <v/>
      </c>
    </row>
    <row r="5006" ht="50.1" customHeight="1" s="3">
      <c r="A5006" s="23" t="inlineStr">
        <is>
          <t>Н</t>
        </is>
      </c>
      <c r="B5006" s="24" t="inlineStr">
        <is>
          <t>21659</t>
        </is>
      </c>
      <c r="C5006" s="23" t="inlineStr">
        <is>
          <t>ШПИОН</t>
        </is>
      </c>
      <c r="D5006" s="23" t="inlineStr">
        <is>
          <t>Форсайт Ф.</t>
        </is>
      </c>
      <c r="E5006" s="23" t="inlineStr">
        <is>
          <t>День Шакала</t>
        </is>
      </c>
      <c r="F5006" s="23" t="inlineStr">
        <is>
          <t>        </t>
        </is>
      </c>
      <c r="G5006" s="27" t="n">
        <v>1286</v>
      </c>
      <c r="H5006" s="23" t="n">
        <v>10</v>
      </c>
      <c r="I5006" s="23" t="n">
        <v>5</v>
      </c>
      <c r="J5006" s="23" t="inlineStr">
        <is>
          <t>978-5-9524-6415-5</t>
        </is>
      </c>
      <c r="K5006" s="23" t="inlineStr">
        <is>
          <t>84x108 1/32</t>
        </is>
      </c>
      <c r="L5006" s="23" t="inlineStr">
        <is>
          <t>тв</t>
        </is>
      </c>
      <c r="M5006" s="23" t="n">
        <v>472</v>
      </c>
      <c r="N5006" s="23" t="n">
        <v>2025</v>
      </c>
      <c r="O5006" s="23" t="n">
        <v>280</v>
      </c>
      <c r="P5006" s="23" t="n"/>
      <c r="Q5006" s="23" t="n"/>
      <c r="R5006" s="25" t="inlineStr">
        <is>
          <t>Тайная организация террористов нанимает киллера. Человек-монстр по кличке Шакал не знает ни страха ни жалости, и ему нет дороги назад. На пути у него встал комиссар Лебель, с которым у преступника личные счеты…</t>
        </is>
      </c>
      <c r="S5006" s="26">
        <f>HYPERLINK("http://www.cnpol.ru/covers/21659.jpg","фото на сайте")</f>
        <v/>
      </c>
    </row>
    <row r="5007" ht="50.1" customHeight="1" s="3">
      <c r="A5007" s="23" t="inlineStr">
        <is>
          <t>Н</t>
        </is>
      </c>
      <c r="B5007" s="24" t="inlineStr">
        <is>
          <t>22086</t>
        </is>
      </c>
      <c r="C5007" s="23" t="inlineStr">
        <is>
          <t>ШПИОН</t>
        </is>
      </c>
      <c r="D5007" s="23" t="inlineStr">
        <is>
          <t>Джонс С.</t>
        </is>
      </c>
      <c r="E5007" s="23" t="inlineStr">
        <is>
          <t>Игры героев</t>
        </is>
      </c>
      <c r="F5007" s="23" t="inlineStr">
        <is>
          <t>        </t>
        </is>
      </c>
      <c r="G5007" s="27" t="n">
        <v>1057</v>
      </c>
      <c r="H5007" s="23" t="n">
        <v>10</v>
      </c>
      <c r="I5007" s="23" t="n">
        <v>10</v>
      </c>
      <c r="J5007" s="23" t="inlineStr">
        <is>
          <t>978-5-9524-6650-0</t>
        </is>
      </c>
      <c r="K5007" s="23" t="inlineStr">
        <is>
          <t>84x108 1/32</t>
        </is>
      </c>
      <c r="L5007" s="23" t="inlineStr">
        <is>
          <t>тв</t>
        </is>
      </c>
      <c r="M5007" s="23" t="n">
        <v>351</v>
      </c>
      <c r="N5007" s="23" t="n">
        <v>2026</v>
      </c>
      <c r="O5007" s="23" t="n">
        <v>403</v>
      </c>
      <c r="P5007" s="23" t="n"/>
      <c r="Q5007" s="23" t="n"/>
      <c r="R5007" s="25" t="inlineStr">
        <is>
          <t>Ирландскому герою Джеку Кавене, заключенному в тюрьму за борьбу против фашизма в Испании, нацисты предложили выбор: работать на них или гнить в тюрьме. Он должен был разжечь восстание в Ирландии, которое заставит англичан воевать на два фронта и сделает их уязвимыми для нацистского вторжения. Но Джек узнает, что стал жертвой двойного предательства — пешкой в заговоре с целью убийства. Оказавшись в ловушке зловещей схемы, разработанной самым опасным секретным агентом Третьего рейха, в отчаянии Кавена обращается к прекрасной Бриджит О’Тул, достаточно осведомленной, смелой и готовой помочь…</t>
        </is>
      </c>
      <c r="S5007" s="26">
        <f>HYPERLINK("http://www.cnpol.ru/covers/22086.jpg","фото на сайте")</f>
        <v/>
      </c>
    </row>
    <row r="5008" ht="50.1" customHeight="1" s="3">
      <c r="A5008" s="23" t="inlineStr">
        <is>
          <t>Н</t>
        </is>
      </c>
      <c r="B5008" s="24" t="inlineStr">
        <is>
          <t>21600</t>
        </is>
      </c>
      <c r="C5008" s="23" t="inlineStr">
        <is>
          <t>ШПИОН</t>
        </is>
      </c>
      <c r="D5008" s="23" t="inlineStr">
        <is>
          <t>Дейтон Л.</t>
        </is>
      </c>
      <c r="E5008" s="23" t="inlineStr">
        <is>
          <t>Лондонский матч</t>
        </is>
      </c>
      <c r="F5008" s="23" t="inlineStr">
        <is>
          <t>        </t>
        </is>
      </c>
      <c r="G5008" s="27" t="n">
        <v>1185</v>
      </c>
      <c r="H5008" s="23" t="n">
        <v>10</v>
      </c>
      <c r="I5008" s="23" t="n">
        <v>5</v>
      </c>
      <c r="J5008" s="23" t="inlineStr">
        <is>
          <t>978-5-9524-6369-1</t>
        </is>
      </c>
      <c r="K5008" s="23" t="inlineStr">
        <is>
          <t>84x108 1/32</t>
        </is>
      </c>
      <c r="L5008" s="23" t="inlineStr">
        <is>
          <t>тв</t>
        </is>
      </c>
      <c r="M5008" s="23" t="n">
        <v>469</v>
      </c>
      <c r="N5008" s="23" t="n">
        <v>2025</v>
      </c>
      <c r="O5008" s="23" t="n">
        <v>366</v>
      </c>
      <c r="P5008" s="23" t="n"/>
      <c r="Q5008" s="23" t="n"/>
      <c r="R5008" s="25" t="inlineStr">
        <is>
          <t>Бернарду Сэмсону удалось завербовать агента КГБ, но на этом его миссия не завершена — под подозрением не только он, но и все руководство лондонского Центра. В заключительном романе шпионской трилогии «Гейм, сет и матч» сотрудник британской секретной службы Бернард Сэмсон идет на отчаянную авантюру, чтобы узнать правду и выйти победителем из этой схватки.</t>
        </is>
      </c>
      <c r="S5008" s="26">
        <f>HYPERLINK("http://www.cnpol.ru/covers/21600.jpg","фото на сайте")</f>
        <v/>
      </c>
    </row>
    <row r="5009" ht="50.1" customHeight="1" s="3">
      <c r="A5009" s="23" t="inlineStr">
        <is>
          <t>Н</t>
        </is>
      </c>
      <c r="B5009" s="24" t="inlineStr">
        <is>
          <t>21625</t>
        </is>
      </c>
      <c r="C5009" s="23" t="inlineStr">
        <is>
          <t>ШПИОН</t>
        </is>
      </c>
      <c r="D5009" s="23" t="inlineStr">
        <is>
          <t>Дейтон Л.</t>
        </is>
      </c>
      <c r="E5009" s="23" t="inlineStr">
        <is>
          <t>Мексиканский сет</t>
        </is>
      </c>
      <c r="F5009" s="23" t="inlineStr">
        <is>
          <t>        </t>
        </is>
      </c>
      <c r="G5009" s="27" t="n">
        <v>1185</v>
      </c>
      <c r="H5009" s="23" t="n">
        <v>10</v>
      </c>
      <c r="I5009" s="23" t="n">
        <v>5</v>
      </c>
      <c r="J5009" s="23" t="inlineStr">
        <is>
          <t>978-5-9524-6368-4</t>
        </is>
      </c>
      <c r="K5009" s="23" t="inlineStr">
        <is>
          <t>84x108 1/32</t>
        </is>
      </c>
      <c r="L5009" s="23" t="inlineStr">
        <is>
          <t>тв</t>
        </is>
      </c>
      <c r="M5009" s="23" t="n">
        <v>470</v>
      </c>
      <c r="N5009" s="23" t="n">
        <v>2025</v>
      </c>
      <c r="O5009" s="23" t="n">
        <v>310</v>
      </c>
      <c r="P5009" s="23" t="n"/>
      <c r="Q5009" s="23" t="n"/>
      <c r="R5009" s="25" t="inlineStr">
        <is>
          <t>Во втором романе шпионской трилогии «Гейм, сет и матч» сотрудник британской секретной службы Бернард Сэмсон после разоблачения жены, переметнувшейся к противнику, отправляется в Мексику, чтобы завербовать агента КГБ. После череды непредвиденных происшествий успех операции под вопросом, однако Бернард готов пойти на риск, чтобы убедить Центр в своей благонадежности и снять с себя подозрения в причастности к подрывной деятельности Фионы...</t>
        </is>
      </c>
      <c r="S5009" s="26">
        <f>HYPERLINK("http://www.cnpol.ru/covers/21625.jpg","фото на сайте")</f>
        <v/>
      </c>
    </row>
    <row r="5010" ht="50.1" customHeight="1" s="3">
      <c r="A5010" s="23" t="inlineStr">
        <is>
          <t>Н</t>
        </is>
      </c>
      <c r="B5010" s="24" t="inlineStr">
        <is>
          <t>21883</t>
        </is>
      </c>
      <c r="C5010" s="23" t="inlineStr">
        <is>
          <t>ШПИОН</t>
        </is>
      </c>
      <c r="D5010" s="23" t="inlineStr">
        <is>
          <t>Корнуэлл Б.</t>
        </is>
      </c>
      <c r="E5010" s="23" t="inlineStr">
        <is>
          <t>Негодяй</t>
        </is>
      </c>
      <c r="F5010" s="23" t="inlineStr">
        <is>
          <t>        </t>
        </is>
      </c>
      <c r="G5010" s="23" t="n">
        <v>983</v>
      </c>
      <c r="H5010" s="23" t="n">
        <v>10</v>
      </c>
      <c r="I5010" s="23" t="n">
        <v>12</v>
      </c>
      <c r="J5010" s="23" t="inlineStr">
        <is>
          <t>978-5-9524-6538-1</t>
        </is>
      </c>
      <c r="K5010" s="23" t="inlineStr">
        <is>
          <t>84x108 1/32</t>
        </is>
      </c>
      <c r="L5010" s="23" t="inlineStr">
        <is>
          <t>тв</t>
        </is>
      </c>
      <c r="M5010" s="23" t="n">
        <v>319</v>
      </c>
      <c r="N5010" s="23" t="n">
        <v>2026</v>
      </c>
      <c r="O5010" s="23" t="n">
        <v>363</v>
      </c>
      <c r="P5010" s="23" t="n"/>
      <c r="Q5010" s="23" t="n"/>
      <c r="R5010" s="25" t="inlineStr">
        <is>
          <t>Пол Шэннен — известный торговец оружием и некогда подозреваемый агент ЦРУ — настоящий негодяй. Но он идеален в случае необходимости провести незаконную операцию и сделать это качественно. Поэтому, когда контрабандное золото на пять миллионов долларов понадобилось без лишних вопросов доставить из Марокко в Майами, он — самая подходящая кандидатура. Только на этот раз у Пола другие планы — он хочет воспользоваться этими деньгами в личных целях. Учитывая, что секретные службы крупных держав мира, не говоря уже об одной опасной террористической организации, также охотятся за золотом, Полу придется очень постараться, чтобы остаться живым и при сокровище...</t>
        </is>
      </c>
      <c r="S5010" s="26">
        <f>HYPERLINK("http://www.cnpol.ru/covers/21883.jpg","фото на сайте")</f>
        <v/>
      </c>
    </row>
    <row r="5011" ht="50.1" customHeight="1" s="3">
      <c r="A5011" s="23" t="inlineStr">
        <is>
          <t>Н</t>
        </is>
      </c>
      <c r="B5011" s="24" t="inlineStr">
        <is>
          <t>22013</t>
        </is>
      </c>
      <c r="C5011" s="23" t="inlineStr">
        <is>
          <t>ШПИОН</t>
        </is>
      </c>
      <c r="D5011" s="23" t="inlineStr">
        <is>
          <t>Райт Г.</t>
        </is>
      </c>
      <c r="E5011" s="23" t="inlineStr">
        <is>
          <t>Охотник за головами</t>
        </is>
      </c>
      <c r="F5011" s="23" t="inlineStr">
        <is>
          <t>        </t>
        </is>
      </c>
      <c r="G5011" s="27" t="n">
        <v>1057</v>
      </c>
      <c r="H5011" s="23" t="n">
        <v>10</v>
      </c>
      <c r="I5011" s="23" t="n">
        <v>10</v>
      </c>
      <c r="J5011" s="23" t="inlineStr">
        <is>
          <t>978-5-9524-6632-6</t>
        </is>
      </c>
      <c r="K5011" s="23" t="inlineStr">
        <is>
          <t>84x108 1/32</t>
        </is>
      </c>
      <c r="L5011" s="23" t="inlineStr">
        <is>
          <t>тв</t>
        </is>
      </c>
      <c r="M5011" s="23" t="n">
        <v>351</v>
      </c>
      <c r="N5011" s="23" t="n">
        <v>2026</v>
      </c>
      <c r="O5011" s="23" t="n">
        <v>397</v>
      </c>
      <c r="P5011" s="23" t="n"/>
      <c r="Q5011" s="23" t="n"/>
      <c r="R5011" s="25" t="inlineStr">
        <is>
          <t>Северная Ирландия, начало 90-х. Американский бизнесмен Патрик Бреннигэн убит в Белфасте. Вдова предлагает миллион долларов за головы убийц мужа, и вскоре в ее гостиничный номер доставляют именно то, что она просила, в подарочной коробке. Безжалостный охотник за головами выполнил «заказ» и теперь требует оплаты своих услуг. Пытаясь собрать необходимую сумму, Кэт Бреннигэн погружается в опасный мир криминала и узнает неприятную правду о делах своего мужа...</t>
        </is>
      </c>
      <c r="S5011" s="26">
        <f>HYPERLINK("http://www.cnpol.ru/covers/22013.jpg","фото на сайте")</f>
        <v/>
      </c>
    </row>
    <row r="5012" ht="50.1" customHeight="1" s="3">
      <c r="A5012" s="23" t="inlineStr">
        <is>
          <t>Н</t>
        </is>
      </c>
      <c r="B5012" s="24" t="inlineStr">
        <is>
          <t>21576</t>
        </is>
      </c>
      <c r="C5012" s="23" t="inlineStr">
        <is>
          <t>ШПИОН</t>
        </is>
      </c>
      <c r="D5012" s="23" t="inlineStr">
        <is>
          <t>Дейтон Л.</t>
        </is>
      </c>
      <c r="E5012" s="23" t="inlineStr">
        <is>
          <t>Шпионская леска</t>
        </is>
      </c>
      <c r="F5012" s="23" t="inlineStr">
        <is>
          <t>        </t>
        </is>
      </c>
      <c r="G5012" s="27" t="n">
        <v>1185</v>
      </c>
      <c r="H5012" s="23" t="n">
        <v>10</v>
      </c>
      <c r="I5012" s="23" t="n">
        <v>5</v>
      </c>
      <c r="J5012" s="23" t="inlineStr">
        <is>
          <t>978-5-9524-6371-4</t>
        </is>
      </c>
      <c r="K5012" s="23" t="inlineStr">
        <is>
          <t>84x108 1/32</t>
        </is>
      </c>
      <c r="L5012" s="23" t="inlineStr">
        <is>
          <t>тв</t>
        </is>
      </c>
      <c r="M5012" s="23" t="n">
        <v>455</v>
      </c>
      <c r="N5012" s="23" t="n">
        <v>2025</v>
      </c>
      <c r="O5012" s="23" t="n">
        <v>322</v>
      </c>
      <c r="P5012" s="23" t="n"/>
      <c r="Q5012" s="23" t="n"/>
      <c r="R5012" s="25" t="inlineStr">
        <is>
          <t>Бернард Сэмсон, офицер разведки, сотрудник британской секретной службы, после ложного обвинения в госизмене (события описаны в первом романе трилогии «Крючок, леска и грузило») вынужден скрываться в Берлине. Однако Лондон не намерен отпускать своего самого ценного агента. В обмен на свободу и восстановление репутации Бернард по заданию Центра отправляется с новой миссией в Вену, где ему предстоит сделать непростой выбор и решить, что для него важнее — профессиональный долг или личное счастье?..</t>
        </is>
      </c>
      <c r="S5012" s="26">
        <f>HYPERLINK("http://www.cnpol.ru/covers/21576.jpg","фото на сайте")</f>
        <v/>
      </c>
    </row>
    <row r="5013" ht="50.1" customHeight="1" s="3">
      <c r="A5013" s="23" t="inlineStr">
        <is>
          <t>Н</t>
        </is>
      </c>
      <c r="B5013" s="24" t="inlineStr">
        <is>
          <t>21581</t>
        </is>
      </c>
      <c r="C5013" s="23" t="inlineStr">
        <is>
          <t>ШПИОН</t>
        </is>
      </c>
      <c r="D5013" s="23" t="inlineStr">
        <is>
          <t>Дейтон Л.</t>
        </is>
      </c>
      <c r="E5013" s="23" t="inlineStr">
        <is>
          <t>Шпионский крючок</t>
        </is>
      </c>
      <c r="F5013" s="23" t="inlineStr">
        <is>
          <t>        </t>
        </is>
      </c>
      <c r="G5013" s="27" t="n">
        <v>1185</v>
      </c>
      <c r="H5013" s="23" t="n">
        <v>10</v>
      </c>
      <c r="I5013" s="23" t="n">
        <v>5</v>
      </c>
      <c r="J5013" s="23" t="inlineStr">
        <is>
          <t>978-5-9524-6370-7</t>
        </is>
      </c>
      <c r="K5013" s="23" t="inlineStr">
        <is>
          <t>84x108 1/32</t>
        </is>
      </c>
      <c r="L5013" s="23" t="inlineStr">
        <is>
          <t>тв</t>
        </is>
      </c>
      <c r="M5013" s="23" t="n">
        <v>454</v>
      </c>
      <c r="N5013" s="23" t="n">
        <v>2025</v>
      </c>
      <c r="O5013" s="23" t="n">
        <v>404</v>
      </c>
      <c r="P5013" s="23" t="n"/>
      <c r="Q5013" s="23" t="n"/>
      <c r="R5013" s="25" t="inlineStr">
        <is>
          <t>Департамент отправляет агента Бернарда Сэмсона в Вашингтон, чтобы разыскать пропавшие миллионы. В ходе миссии Сэмсон переправляется из Лондона в Берлин, затем с юга Франции в Лос-Анджелес, в эпицентр водоворота, и раскрывает масштабную финансовую аферу британской секретной службы.  Но даже это открытие не поможет, если сам Департамент намерен свести с ним счеты. В первой части трилогии шпионских романов «Крючок, леска и грузило» друзья становятся врагами, преследователь — жертвой, и все причастные к делу, даже сам Бернард, под подозрением...</t>
        </is>
      </c>
      <c r="S5013" s="26">
        <f>HYPERLINK("http://www.cnpol.ru/covers/21581.jpg","фото на сайте")</f>
        <v/>
      </c>
    </row>
    <row r="5014" ht="50.1" customHeight="1" s="3">
      <c r="A5014" s="23" t="inlineStr">
        <is>
          <t>Н</t>
        </is>
      </c>
      <c r="B5014" s="24" t="inlineStr">
        <is>
          <t>21565</t>
        </is>
      </c>
      <c r="C5014" s="23" t="inlineStr">
        <is>
          <t>ШПИОН</t>
        </is>
      </c>
      <c r="D5014" s="23" t="inlineStr">
        <is>
          <t>Дейтон Л.</t>
        </is>
      </c>
      <c r="E5014" s="23" t="inlineStr">
        <is>
          <t>Шпионское грузило</t>
        </is>
      </c>
      <c r="F5014" s="23" t="inlineStr">
        <is>
          <t>        </t>
        </is>
      </c>
      <c r="G5014" s="27" t="n">
        <v>1185</v>
      </c>
      <c r="H5014" s="23" t="n">
        <v>10</v>
      </c>
      <c r="I5014" s="23" t="n">
        <v>5</v>
      </c>
      <c r="J5014" s="23" t="inlineStr">
        <is>
          <t>978-5-9524-6372-1</t>
        </is>
      </c>
      <c r="K5014" s="23" t="inlineStr">
        <is>
          <t>84x108 1/32</t>
        </is>
      </c>
      <c r="L5014" s="23" t="inlineStr">
        <is>
          <t>тв</t>
        </is>
      </c>
      <c r="M5014" s="23" t="n">
        <v>486</v>
      </c>
      <c r="N5014" s="23" t="n">
        <v>2025</v>
      </c>
      <c r="O5014" s="23" t="n">
        <v>355</v>
      </c>
      <c r="P5014" s="23" t="n"/>
      <c r="Q5014" s="23" t="n"/>
      <c r="R5014" s="25" t="inlineStr">
        <is>
          <t>В третьем романе трилогии «Крючок, леска и грузило» распутывается паутина обмана, погубившая карьеру и брак офицера разведки Бернарда Сэмсона, несправедливо обвиненного в госизмене. Фиона Сэмсон — кто она: неверная супруга и перебежчица или суперагент секретной службы, вынужденная играть вдолгую, чтобы с честью выполнить миссию?..</t>
        </is>
      </c>
      <c r="S5014" s="26">
        <f>HYPERLINK("http://www.cnpol.ru/covers/21565.jpg","фото на сайте")</f>
        <v/>
      </c>
    </row>
    <row r="5015" ht="50.1" customHeight="1" s="3">
      <c r="A5015" s="23" t="n"/>
      <c r="B5015" s="24" t="inlineStr">
        <is>
          <t>3588</t>
        </is>
      </c>
      <c r="C5015" s="23" t="inlineStr">
        <is>
          <t>ШР</t>
        </is>
      </c>
      <c r="D5015" s="23" t="inlineStr">
        <is>
          <t>Авдеенко</t>
        </is>
      </c>
      <c r="E5015" s="23" t="inlineStr">
        <is>
          <t>Простые истины история 4</t>
        </is>
      </c>
      <c r="F5015" s="23" t="inlineStr">
        <is>
          <t>        </t>
        </is>
      </c>
      <c r="G5015" s="23" t="n">
        <v>115</v>
      </c>
      <c r="H5015" s="23" t="n">
        <v>10</v>
      </c>
      <c r="I5015" s="23" t="n">
        <v>32</v>
      </c>
      <c r="J5015" s="23" t="inlineStr">
        <is>
          <t>5-9524-0061-2</t>
        </is>
      </c>
      <c r="K5015" s="23" t="inlineStr">
        <is>
          <t>84x108 1/32 (обл)</t>
        </is>
      </c>
      <c r="L5015" s="23" t="inlineStr">
        <is>
          <t>мяг</t>
        </is>
      </c>
      <c r="M5015" s="23" t="n">
        <v>190</v>
      </c>
      <c r="N5015" s="23" t="n">
        <v>2002</v>
      </c>
      <c r="O5015" s="23" t="n">
        <v>116</v>
      </c>
      <c r="P5015" s="23" t="n"/>
      <c r="Q5015" s="23" t="n"/>
      <c r="R5015" s="25" t="n"/>
      <c r="S5015" s="26">
        <f>HYPERLINK("http://www.cnpol.ru/covers/3588.jpg","фото на сайте")</f>
        <v/>
      </c>
    </row>
    <row r="5016" ht="50.1" customHeight="1" s="3">
      <c r="A5016" s="23" t="n"/>
      <c r="B5016" s="24" t="inlineStr">
        <is>
          <t>3579</t>
        </is>
      </c>
      <c r="C5016" s="23" t="inlineStr">
        <is>
          <t>ШР</t>
        </is>
      </c>
      <c r="D5016" s="23" t="inlineStr">
        <is>
          <t>Авдеенко</t>
        </is>
      </c>
      <c r="E5016" s="23" t="inlineStr">
        <is>
          <t>Простые истины история 6</t>
        </is>
      </c>
      <c r="F5016" s="23" t="inlineStr">
        <is>
          <t>        </t>
        </is>
      </c>
      <c r="G5016" s="23" t="n">
        <v>115</v>
      </c>
      <c r="H5016" s="23" t="n">
        <v>10</v>
      </c>
      <c r="I5016" s="23" t="n">
        <v>34</v>
      </c>
      <c r="J5016" s="23" t="inlineStr">
        <is>
          <t>5-9524-0076-0</t>
        </is>
      </c>
      <c r="K5016" s="23" t="inlineStr">
        <is>
          <t>84x108 1/32 (обл)</t>
        </is>
      </c>
      <c r="L5016" s="23" t="inlineStr">
        <is>
          <t>мяг</t>
        </is>
      </c>
      <c r="M5016" s="23" t="n">
        <v>204</v>
      </c>
      <c r="N5016" s="23" t="n">
        <v>2002</v>
      </c>
      <c r="O5016" s="23" t="n">
        <v>122</v>
      </c>
      <c r="P5016" s="23" t="n"/>
      <c r="Q5016" s="23" t="n"/>
      <c r="R5016" s="25" t="n"/>
      <c r="S5016" s="26">
        <f>HYPERLINK("http://www.cnpol.ru/covers/3579.jpg","фото на сайте")</f>
        <v/>
      </c>
    </row>
    <row r="5017" ht="50.1" customHeight="1" s="3">
      <c r="A5017" s="23" t="n"/>
      <c r="B5017" s="24" t="inlineStr">
        <is>
          <t>11596</t>
        </is>
      </c>
      <c r="C5017" s="23" t="inlineStr">
        <is>
          <t>ШС</t>
        </is>
      </c>
      <c r="D5017" s="23" t="inlineStr">
        <is>
          <t>Москвин А.Ю.</t>
        </is>
      </c>
      <c r="E5017" s="23" t="inlineStr">
        <is>
          <t>Школьный англо-русский и русско-английский словарь</t>
        </is>
      </c>
      <c r="F5017" s="23" t="inlineStr">
        <is>
          <t>        </t>
        </is>
      </c>
      <c r="G5017" s="23" t="n">
        <v>389</v>
      </c>
      <c r="H5017" s="23" t="n">
        <v>10</v>
      </c>
      <c r="I5017" s="23" t="n">
        <v>16</v>
      </c>
      <c r="J5017" s="23" t="inlineStr">
        <is>
          <t>978-5-9524-4670-0</t>
        </is>
      </c>
      <c r="K5017" s="23" t="inlineStr">
        <is>
          <t>60x84 1/32</t>
        </is>
      </c>
      <c r="L5017" s="23" t="inlineStr">
        <is>
          <t>тв</t>
        </is>
      </c>
      <c r="M5017" s="23" t="n">
        <v>639</v>
      </c>
      <c r="N5017" s="23" t="n">
        <v>2009</v>
      </c>
      <c r="O5017" s="23" t="n">
        <v>284</v>
      </c>
      <c r="P5017" s="23" t="n"/>
      <c r="Q5017" s="23" t="n"/>
      <c r="R5017" s="25" t="n"/>
      <c r="S5017" s="26">
        <f>HYPERLINK("http://www.cnpol.ru/covers/11596.jpg","фото на сайте")</f>
        <v/>
      </c>
    </row>
    <row r="5018" ht="50.1" customHeight="1" s="3">
      <c r="A5018" s="23" t="n"/>
      <c r="B5018" s="24" t="inlineStr">
        <is>
          <t>17038</t>
        </is>
      </c>
      <c r="C5018" s="23" t="inlineStr">
        <is>
          <t>ШС</t>
        </is>
      </c>
      <c r="D5018" s="23" t="inlineStr">
        <is>
          <t>Москвин А.Ю.</t>
        </is>
      </c>
      <c r="E5018" s="23" t="inlineStr">
        <is>
          <t>Школьный англо-русский и русско-английский словарь</t>
        </is>
      </c>
      <c r="F5018" s="23" t="inlineStr">
        <is>
          <t>        </t>
        </is>
      </c>
      <c r="G5018" s="23" t="n">
        <v>486</v>
      </c>
      <c r="H5018" s="23" t="n">
        <v>10</v>
      </c>
      <c r="I5018" s="23" t="n">
        <v>24</v>
      </c>
      <c r="J5018" s="23" t="inlineStr">
        <is>
          <t>978-5-227-07098-2</t>
        </is>
      </c>
      <c r="K5018" s="23" t="inlineStr">
        <is>
          <t>60х84 1/32</t>
        </is>
      </c>
      <c r="L5018" s="23" t="inlineStr">
        <is>
          <t>тв</t>
        </is>
      </c>
      <c r="M5018" s="23" t="n">
        <v>543</v>
      </c>
      <c r="N5018" s="23" t="n">
        <v>2016</v>
      </c>
      <c r="O5018" s="23" t="n">
        <v>228</v>
      </c>
      <c r="P5018" s="23" t="n"/>
      <c r="Q5018" s="23" t="n"/>
      <c r="R5018" s="25" t="n"/>
      <c r="S5018" s="26">
        <f>HYPERLINK("http://www.cnpol.ru/covers/17038.jpg","фото на сайте")</f>
        <v/>
      </c>
    </row>
    <row r="5019" ht="50.1" customHeight="1" s="3">
      <c r="A5019" s="23" t="n"/>
      <c r="B5019" s="24" t="inlineStr">
        <is>
          <t>11266</t>
        </is>
      </c>
      <c r="C5019" s="23" t="inlineStr">
        <is>
          <t>ШС</t>
        </is>
      </c>
      <c r="D5019" s="23" t="inlineStr">
        <is>
          <t>Мудрова И.А.</t>
        </is>
      </c>
      <c r="E5019" s="23" t="inlineStr">
        <is>
          <t>Школьный словарь слитно-раздельно</t>
        </is>
      </c>
      <c r="F5019" s="23" t="inlineStr">
        <is>
          <t>        </t>
        </is>
      </c>
      <c r="G5019" s="23" t="n">
        <v>428</v>
      </c>
      <c r="H5019" s="23" t="n">
        <v>10</v>
      </c>
      <c r="I5019" s="23" t="n">
        <v>16</v>
      </c>
      <c r="J5019" s="23" t="inlineStr">
        <is>
          <t>978-5-9524-4372-3</t>
        </is>
      </c>
      <c r="K5019" s="23" t="inlineStr">
        <is>
          <t>60x84 1/32</t>
        </is>
      </c>
      <c r="L5019" s="23" t="inlineStr">
        <is>
          <t>тв</t>
        </is>
      </c>
      <c r="M5019" s="23" t="n">
        <v>525</v>
      </c>
      <c r="N5019" s="23" t="n">
        <v>2009</v>
      </c>
      <c r="O5019" s="23" t="n">
        <v>278</v>
      </c>
      <c r="P5019" s="23" t="n"/>
      <c r="Q5019" s="23" t="n"/>
      <c r="R5019" s="25" t="n"/>
      <c r="S5019" s="26">
        <f>HYPERLINK("http://www.cnpol.ru/covers/11266.jpg","фото на сайте")</f>
        <v/>
      </c>
    </row>
    <row r="5020" ht="50.1" customHeight="1" s="3">
      <c r="A5020" s="23" t="n"/>
      <c r="B5020" s="24" t="inlineStr">
        <is>
          <t>10634</t>
        </is>
      </c>
      <c r="C5020" s="23" t="inlineStr">
        <is>
          <t>ШС</t>
        </is>
      </c>
      <c r="D5020" s="23" t="inlineStr">
        <is>
          <t>Мудрова И.А.</t>
        </is>
      </c>
      <c r="E5020" s="23" t="inlineStr">
        <is>
          <t>Школьный словарь трудностей русского языка</t>
        </is>
      </c>
      <c r="F5020" s="23" t="inlineStr">
        <is>
          <t>        </t>
        </is>
      </c>
      <c r="G5020" s="23" t="n">
        <v>428</v>
      </c>
      <c r="H5020" s="23" t="n">
        <v>10</v>
      </c>
      <c r="I5020" s="23" t="n">
        <v>16</v>
      </c>
      <c r="J5020" s="23" t="inlineStr">
        <is>
          <t>978-5-9524-3768-5</t>
        </is>
      </c>
      <c r="K5020" s="23" t="inlineStr">
        <is>
          <t>60x84 1/32</t>
        </is>
      </c>
      <c r="L5020" s="23" t="inlineStr">
        <is>
          <t>тв</t>
        </is>
      </c>
      <c r="M5020" s="23" t="n">
        <v>575</v>
      </c>
      <c r="N5020" s="23" t="n">
        <v>2008</v>
      </c>
      <c r="O5020" s="23" t="n">
        <v>292</v>
      </c>
      <c r="P5020" s="23" t="n"/>
      <c r="Q5020" s="23" t="n"/>
      <c r="R5020" s="25" t="n"/>
      <c r="S5020" s="26">
        <f>HYPERLINK("http://www.cnpol.ru/covers/10634.jpg","фото на сайте")</f>
        <v/>
      </c>
    </row>
    <row r="5021" ht="50.1" customHeight="1" s="3">
      <c r="A5021" s="23" t="n"/>
      <c r="B5021" s="24" t="inlineStr">
        <is>
          <t>14583</t>
        </is>
      </c>
      <c r="C5021" s="23" t="inlineStr">
        <is>
          <t>ШС</t>
        </is>
      </c>
      <c r="D5021" s="23" t="inlineStr">
        <is>
          <t>Мудрова И.А.</t>
        </is>
      </c>
      <c r="E5021" s="23" t="inlineStr">
        <is>
          <t>Школьный словарь трудностей русского языка</t>
        </is>
      </c>
      <c r="F5021" s="23" t="inlineStr">
        <is>
          <t>        </t>
        </is>
      </c>
      <c r="G5021" s="23" t="n">
        <v>468</v>
      </c>
      <c r="H5021" s="23" t="n">
        <v>10</v>
      </c>
      <c r="I5021" s="23" t="n">
        <v>16</v>
      </c>
      <c r="J5021" s="23" t="inlineStr">
        <is>
          <t>978-5-227-04594-2</t>
        </is>
      </c>
      <c r="K5021" s="23" t="inlineStr">
        <is>
          <t>60x84 1/32</t>
        </is>
      </c>
      <c r="L5021" s="23" t="inlineStr">
        <is>
          <t>тв</t>
        </is>
      </c>
      <c r="M5021" s="23" t="n">
        <v>575</v>
      </c>
      <c r="N5021" s="23" t="n">
        <v>2013</v>
      </c>
      <c r="O5021" s="23" t="n">
        <v>240</v>
      </c>
      <c r="P5021" s="23" t="n"/>
      <c r="Q5021" s="23" t="n"/>
      <c r="R5021" s="25" t="n"/>
      <c r="S5021" s="26">
        <f>HYPERLINK("http://www.cnpol.ru/covers/14583.jpg","фото на сайте")</f>
        <v/>
      </c>
    </row>
    <row r="5022" ht="50.1" customHeight="1" s="3">
      <c r="A5022" s="23" t="n"/>
      <c r="B5022" s="24" t="inlineStr">
        <is>
          <t>10629</t>
        </is>
      </c>
      <c r="C5022" s="23" t="inlineStr">
        <is>
          <t>ШС</t>
        </is>
      </c>
      <c r="D5022" s="23" t="inlineStr">
        <is>
          <t>Николаев В.И.</t>
        </is>
      </c>
      <c r="E5022" s="23" t="inlineStr">
        <is>
          <t>Школьный словообразовательный словарь</t>
        </is>
      </c>
      <c r="F5022" s="23" t="inlineStr">
        <is>
          <t>        </t>
        </is>
      </c>
      <c r="G5022" s="23" t="n">
        <v>389</v>
      </c>
      <c r="H5022" s="23" t="n">
        <v>10</v>
      </c>
      <c r="I5022" s="23" t="n">
        <v>20</v>
      </c>
      <c r="J5022" s="23" t="inlineStr">
        <is>
          <t>978-5-9524-3767-8</t>
        </is>
      </c>
      <c r="K5022" s="23" t="inlineStr">
        <is>
          <t>60x84 1/32</t>
        </is>
      </c>
      <c r="L5022" s="23" t="inlineStr">
        <is>
          <t>тв</t>
        </is>
      </c>
      <c r="M5022" s="23" t="n">
        <v>511</v>
      </c>
      <c r="N5022" s="23" t="n">
        <v>2008</v>
      </c>
      <c r="O5022" s="23" t="n">
        <v>264</v>
      </c>
      <c r="P5022" s="23" t="n"/>
      <c r="Q5022" s="23" t="n"/>
      <c r="R5022" s="25" t="n"/>
      <c r="S5022" s="26">
        <f>HYPERLINK("http://www.cnpol.ru/covers/10629.jpg","фото на сайте")</f>
        <v/>
      </c>
    </row>
    <row r="5023" ht="50.1" customHeight="1" s="3">
      <c r="A5023" s="23" t="n"/>
      <c r="B5023" s="24" t="inlineStr">
        <is>
          <t>13952</t>
        </is>
      </c>
      <c r="C5023" s="23" t="inlineStr">
        <is>
          <t>ШС</t>
        </is>
      </c>
      <c r="D5023" s="23" t="inlineStr">
        <is>
          <t>Воронкова Л.М.</t>
        </is>
      </c>
      <c r="E5023" s="23" t="inlineStr">
        <is>
          <t>Школьный толковый словарь русского языка</t>
        </is>
      </c>
      <c r="F5023" s="23" t="inlineStr">
        <is>
          <t>        </t>
        </is>
      </c>
      <c r="G5023" s="23" t="n">
        <v>428</v>
      </c>
      <c r="H5023" s="23" t="n">
        <v>10</v>
      </c>
      <c r="I5023" s="23" t="n">
        <v>16</v>
      </c>
      <c r="J5023" s="23" t="inlineStr">
        <is>
          <t>978-5-227-03951-4</t>
        </is>
      </c>
      <c r="K5023" s="23" t="inlineStr">
        <is>
          <t>60x84 1/32</t>
        </is>
      </c>
      <c r="L5023" s="23" t="inlineStr">
        <is>
          <t>тв</t>
        </is>
      </c>
      <c r="M5023" s="23" t="n">
        <v>543</v>
      </c>
      <c r="N5023" s="23" t="n">
        <v>2012</v>
      </c>
      <c r="O5023" s="23" t="n">
        <v>262</v>
      </c>
      <c r="P5023" s="23" t="n"/>
      <c r="Q5023" s="23" t="n"/>
      <c r="R5023" s="25" t="n"/>
      <c r="S5023" s="26">
        <f>HYPERLINK("http://www.cnpol.ru/covers/13952.jpg","фото на сайте")</f>
        <v/>
      </c>
    </row>
    <row r="5024" ht="50.1" customHeight="1" s="3">
      <c r="A5024" s="23" t="n"/>
      <c r="B5024" s="24" t="inlineStr">
        <is>
          <t>15464</t>
        </is>
      </c>
      <c r="C5024" s="23" t="inlineStr">
        <is>
          <t>ШС</t>
        </is>
      </c>
      <c r="D5024" s="23" t="inlineStr">
        <is>
          <t>Воронкова Л.М.</t>
        </is>
      </c>
      <c r="E5024" s="23" t="inlineStr">
        <is>
          <t>Школьный толковый словарь русского языка</t>
        </is>
      </c>
      <c r="F5024" s="23" t="inlineStr">
        <is>
          <t>        </t>
        </is>
      </c>
      <c r="G5024" s="23" t="n">
        <v>468</v>
      </c>
      <c r="H5024" s="23" t="n">
        <v>10</v>
      </c>
      <c r="I5024" s="23" t="n">
        <v>16</v>
      </c>
      <c r="J5024" s="23" t="inlineStr">
        <is>
          <t>978-5-227-05071-7</t>
        </is>
      </c>
      <c r="K5024" s="23" t="inlineStr">
        <is>
          <t>60x84 1/32</t>
        </is>
      </c>
      <c r="L5024" s="23" t="inlineStr">
        <is>
          <t>тв</t>
        </is>
      </c>
      <c r="M5024" s="23" t="n">
        <v>543</v>
      </c>
      <c r="N5024" s="23" t="n">
        <v>2014</v>
      </c>
      <c r="O5024" s="23" t="n">
        <v>224</v>
      </c>
      <c r="P5024" s="23" t="n"/>
      <c r="Q5024" s="23" t="n"/>
      <c r="R5024" s="25" t="n"/>
      <c r="S5024" s="26">
        <f>HYPERLINK("http://www.cnpol.ru/covers/15464.jpg","фото на сайте")</f>
        <v/>
      </c>
    </row>
    <row r="5025" ht="50.1" customHeight="1" s="3">
      <c r="A5025" s="23" t="n"/>
      <c r="B5025" s="24" t="inlineStr">
        <is>
          <t>14581</t>
        </is>
      </c>
      <c r="C5025" s="23" t="inlineStr">
        <is>
          <t>ШС</t>
        </is>
      </c>
      <c r="D5025" s="23" t="inlineStr">
        <is>
          <t>Москвин А.Ю.</t>
        </is>
      </c>
      <c r="E5025" s="23" t="inlineStr">
        <is>
          <t>Школьный фразеологический словарь русского языка</t>
        </is>
      </c>
      <c r="F5025" s="23" t="inlineStr">
        <is>
          <t>        </t>
        </is>
      </c>
      <c r="G5025" s="23" t="n">
        <v>468</v>
      </c>
      <c r="H5025" s="23" t="n">
        <v>10</v>
      </c>
      <c r="I5025" s="23" t="n">
        <v>16</v>
      </c>
      <c r="J5025" s="23" t="inlineStr">
        <is>
          <t>978-5-227-04592-8</t>
        </is>
      </c>
      <c r="K5025" s="23" t="inlineStr">
        <is>
          <t>60x84 1/32</t>
        </is>
      </c>
      <c r="L5025" s="23" t="inlineStr">
        <is>
          <t>тв</t>
        </is>
      </c>
      <c r="M5025" s="23" t="n">
        <v>639</v>
      </c>
      <c r="N5025" s="23" t="n">
        <v>2013</v>
      </c>
      <c r="O5025" s="23" t="n">
        <v>262</v>
      </c>
      <c r="P5025" s="23" t="n"/>
      <c r="Q5025" s="23" t="n"/>
      <c r="R5025" s="25" t="n"/>
      <c r="S5025" s="26">
        <f>HYPERLINK("http://www.cnpol.ru/covers/14581.jpg","фото на сайте")</f>
        <v/>
      </c>
    </row>
    <row r="5026" ht="50.1" customHeight="1" s="3">
      <c r="A5026" s="23" t="n"/>
      <c r="B5026" s="24" t="inlineStr">
        <is>
          <t>14685</t>
        </is>
      </c>
      <c r="C5026" s="23" t="inlineStr">
        <is>
          <t>ШС</t>
        </is>
      </c>
      <c r="D5026" s="23" t="inlineStr">
        <is>
          <t>Понятин</t>
        </is>
      </c>
      <c r="E5026" s="23" t="inlineStr">
        <is>
          <t>Школьный французско - русский и русско - французский словарь</t>
        </is>
      </c>
      <c r="F5026" s="23" t="inlineStr">
        <is>
          <t>        </t>
        </is>
      </c>
      <c r="G5026" s="23" t="n">
        <v>468</v>
      </c>
      <c r="H5026" s="23" t="n">
        <v>10</v>
      </c>
      <c r="I5026" s="23" t="n">
        <v>12</v>
      </c>
      <c r="J5026" s="23" t="inlineStr">
        <is>
          <t>978-5-227-04531-7</t>
        </is>
      </c>
      <c r="K5026" s="23" t="inlineStr">
        <is>
          <t>60х84 1/32</t>
        </is>
      </c>
      <c r="L5026" s="23" t="inlineStr">
        <is>
          <t>тв</t>
        </is>
      </c>
      <c r="M5026" s="23" t="n">
        <v>608</v>
      </c>
      <c r="N5026" s="23" t="n">
        <v>2013</v>
      </c>
      <c r="O5026" s="23" t="n">
        <v>250</v>
      </c>
      <c r="P5026" s="23" t="n"/>
      <c r="Q5026" s="23" t="n"/>
      <c r="R5026" s="25" t="n"/>
      <c r="S5026" s="26">
        <f>HYPERLINK("http://www.cnpol.ru/covers/14685.jpg","фото на сайте")</f>
        <v/>
      </c>
    </row>
    <row r="5027" ht="50.1" customHeight="1" s="3">
      <c r="A5027" s="23" t="n"/>
      <c r="B5027" s="24" t="inlineStr">
        <is>
          <t>12755</t>
        </is>
      </c>
      <c r="C5027" s="23" t="inlineStr">
        <is>
          <t>ШС М</t>
        </is>
      </c>
      <c r="D5027" s="23" t="inlineStr">
        <is>
          <t>Шпаковский В.Ф.</t>
        </is>
      </c>
      <c r="E5027" s="23" t="inlineStr">
        <is>
          <t>Карманный англо-русский словарь</t>
        </is>
      </c>
      <c r="F5027" s="23" t="inlineStr">
        <is>
          <t>        </t>
        </is>
      </c>
      <c r="G5027" s="23" t="n">
        <v>150</v>
      </c>
      <c r="H5027" s="23" t="n">
        <v>10</v>
      </c>
      <c r="I5027" s="23" t="n">
        <v>36</v>
      </c>
      <c r="J5027" s="23" t="inlineStr">
        <is>
          <t>978-5-227-02792-4</t>
        </is>
      </c>
      <c r="K5027" s="23" t="inlineStr">
        <is>
          <t>60х84 1/32</t>
        </is>
      </c>
      <c r="L5027" s="23" t="inlineStr">
        <is>
          <t>мяг</t>
        </is>
      </c>
      <c r="M5027" s="23" t="n">
        <v>269</v>
      </c>
      <c r="N5027" s="23" t="n">
        <v>2011</v>
      </c>
      <c r="O5027" s="23" t="n">
        <v>98</v>
      </c>
      <c r="P5027" s="23" t="n"/>
      <c r="Q5027" s="23" t="n"/>
      <c r="R5027" s="25" t="inlineStr">
        <is>
          <t>Словарь содержит 6000 наиболее употребительных общественно-бытовых слов и словосочетаний.</t>
        </is>
      </c>
      <c r="S5027" s="26">
        <f>HYPERLINK("http://www.cnpol.ru/covers/12755.jpg","фото на сайте")</f>
        <v/>
      </c>
    </row>
    <row r="5028" ht="50.1" customHeight="1" s="3">
      <c r="A5028" s="23" t="n"/>
      <c r="B5028" s="24" t="inlineStr">
        <is>
          <t>13177</t>
        </is>
      </c>
      <c r="C5028" s="23" t="inlineStr">
        <is>
          <t>ШС М</t>
        </is>
      </c>
      <c r="D5028" s="23" t="inlineStr">
        <is>
          <t>Шпаковский В.Ф.</t>
        </is>
      </c>
      <c r="E5028" s="23" t="inlineStr">
        <is>
          <t>Карманный англо-русский словарь</t>
        </is>
      </c>
      <c r="F5028" s="23" t="inlineStr">
        <is>
          <t>        </t>
        </is>
      </c>
      <c r="G5028" s="23" t="n">
        <v>229</v>
      </c>
      <c r="H5028" s="23" t="n">
        <v>10</v>
      </c>
      <c r="I5028" s="23" t="n">
        <v>40</v>
      </c>
      <c r="J5028" s="23" t="inlineStr">
        <is>
          <t>978-5-227-03235-5</t>
        </is>
      </c>
      <c r="K5028" s="23" t="inlineStr">
        <is>
          <t>60х84 1/32</t>
        </is>
      </c>
      <c r="L5028" s="23" t="inlineStr">
        <is>
          <t>мяг</t>
        </is>
      </c>
      <c r="M5028" s="23" t="n">
        <v>269</v>
      </c>
      <c r="N5028" s="23" t="n">
        <v>2012</v>
      </c>
      <c r="O5028" s="23" t="n">
        <v>94</v>
      </c>
      <c r="P5028" s="23" t="n"/>
      <c r="Q5028" s="23" t="n"/>
      <c r="R5028" s="25" t="inlineStr">
        <is>
          <t>Словарь содержит 6000 наиболее употребительных общественно-бытовых слов и словосочетаний.</t>
        </is>
      </c>
      <c r="S5028" s="26">
        <f>HYPERLINK("http://www.cnpol.ru/covers/13177.jpg","фото на сайте")</f>
        <v/>
      </c>
    </row>
    <row r="5029" ht="50.1" customHeight="1" s="3">
      <c r="A5029" s="23" t="n"/>
      <c r="B5029" s="24" t="inlineStr">
        <is>
          <t>13791</t>
        </is>
      </c>
      <c r="C5029" s="23" t="inlineStr">
        <is>
          <t>ШС М</t>
        </is>
      </c>
      <c r="D5029" s="23" t="inlineStr">
        <is>
          <t>Шпаковский В.Ф., Шпаковская И.В</t>
        </is>
      </c>
      <c r="E5029" s="23" t="inlineStr">
        <is>
          <t>Карманный англо-русский словарь</t>
        </is>
      </c>
      <c r="F5029" s="23" t="inlineStr">
        <is>
          <t>        </t>
        </is>
      </c>
      <c r="G5029" s="23" t="n">
        <v>140</v>
      </c>
      <c r="H5029" s="23" t="n">
        <v>10</v>
      </c>
      <c r="I5029" s="23" t="n">
        <v>40</v>
      </c>
      <c r="J5029" s="23" t="inlineStr">
        <is>
          <t>978-5-227-03235-5</t>
        </is>
      </c>
      <c r="K5029" s="23" t="inlineStr">
        <is>
          <t>60x84 1/32</t>
        </is>
      </c>
      <c r="L5029" s="23" t="inlineStr">
        <is>
          <t>мяг</t>
        </is>
      </c>
      <c r="M5029" s="23" t="n">
        <v>269</v>
      </c>
      <c r="N5029" s="23" t="n">
        <v>2012</v>
      </c>
      <c r="O5029" s="23" t="n">
        <v>100</v>
      </c>
      <c r="P5029" s="23" t="n"/>
      <c r="Q5029" s="23" t="n"/>
      <c r="R5029" s="25" t="inlineStr">
        <is>
          <t>Словарь содержит 6000 наиболее употребительных общественно-бытовых слов и словосочетаний.</t>
        </is>
      </c>
      <c r="S5029" s="26">
        <f>HYPERLINK("http://www.cnpol.ru/covers/13791.jpg","фото на сайте")</f>
        <v/>
      </c>
    </row>
    <row r="5030" ht="50.1" customHeight="1" s="3">
      <c r="A5030" s="23" t="n"/>
      <c r="B5030" s="24" t="inlineStr">
        <is>
          <t>14885</t>
        </is>
      </c>
      <c r="C5030" s="23" t="inlineStr">
        <is>
          <t>ШС М</t>
        </is>
      </c>
      <c r="D5030" s="23" t="inlineStr">
        <is>
          <t>Шпаковский В.Ф., Шпаковская И.В</t>
        </is>
      </c>
      <c r="E5030" s="23" t="inlineStr">
        <is>
          <t>Карманный англо-русский словарь. 6000 слов и словосочетаний</t>
        </is>
      </c>
      <c r="F5030" s="23" t="inlineStr">
        <is>
          <t>        </t>
        </is>
      </c>
      <c r="G5030" s="23" t="n">
        <v>229</v>
      </c>
      <c r="H5030" s="23" t="n">
        <v>10</v>
      </c>
      <c r="I5030" s="23" t="n">
        <v>40</v>
      </c>
      <c r="J5030" s="23" t="inlineStr">
        <is>
          <t>978-5-227-04812-7</t>
        </is>
      </c>
      <c r="K5030" s="23" t="inlineStr">
        <is>
          <t>60x84 1/32</t>
        </is>
      </c>
      <c r="L5030" s="23" t="inlineStr">
        <is>
          <t>мяг</t>
        </is>
      </c>
      <c r="M5030" s="23" t="n">
        <v>269</v>
      </c>
      <c r="N5030" s="23" t="n">
        <v>2014</v>
      </c>
      <c r="O5030" s="23" t="n">
        <v>96</v>
      </c>
      <c r="P5030" s="23" t="n"/>
      <c r="Q5030" s="23" t="n"/>
      <c r="R5030" s="25" t="inlineStr">
        <is>
          <t>Словарь содержит 6000 наиболее употребительных общественно-бытовых слов и словосочетаний.</t>
        </is>
      </c>
      <c r="S5030" s="26">
        <f>HYPERLINK("http://www.cnpol.ru/covers/14885.jpg","фото на сайте")</f>
        <v/>
      </c>
    </row>
    <row r="5031" ht="50.1" customHeight="1" s="3">
      <c r="A5031" s="23" t="n"/>
      <c r="B5031" s="24" t="inlineStr">
        <is>
          <t>17123</t>
        </is>
      </c>
      <c r="C5031" s="23" t="inlineStr">
        <is>
          <t>ШС М</t>
        </is>
      </c>
      <c r="D5031" s="23" t="inlineStr">
        <is>
          <t>Шпаковский В.Ф., Шпаковская И.В</t>
        </is>
      </c>
      <c r="E5031" s="23" t="inlineStr">
        <is>
          <t>Карманный англо-русский словарь. 6000 слов и словосочетаний</t>
        </is>
      </c>
      <c r="F5031" s="23" t="inlineStr">
        <is>
          <t>        </t>
        </is>
      </c>
      <c r="G5031" s="23" t="n">
        <v>229</v>
      </c>
      <c r="H5031" s="23" t="n">
        <v>10</v>
      </c>
      <c r="I5031" s="23" t="n">
        <v>32</v>
      </c>
      <c r="J5031" s="23" t="inlineStr">
        <is>
          <t>978-5-227-07114-9</t>
        </is>
      </c>
      <c r="K5031" s="23" t="inlineStr">
        <is>
          <t>60х84 1/32</t>
        </is>
      </c>
      <c r="L5031" s="23" t="inlineStr">
        <is>
          <t>мяг</t>
        </is>
      </c>
      <c r="M5031" s="23" t="n">
        <v>272</v>
      </c>
      <c r="N5031" s="23" t="n">
        <v>2016</v>
      </c>
      <c r="O5031" s="23" t="n">
        <v>120</v>
      </c>
      <c r="P5031" s="23" t="n"/>
      <c r="Q5031" s="23" t="n"/>
      <c r="R5031" s="25" t="inlineStr">
        <is>
          <t>Словарь содержит 6000 наиболее употребительных общественно-бытовых слов и словосочетаний.</t>
        </is>
      </c>
      <c r="S5031" s="26">
        <f>HYPERLINK("http://www.cnpol.ru/covers/17123.jpg","фото на сайте")</f>
        <v/>
      </c>
    </row>
    <row r="5032" ht="50.1" customHeight="1" s="3">
      <c r="A5032" s="23" t="n"/>
      <c r="B5032" s="24" t="inlineStr">
        <is>
          <t>13978</t>
        </is>
      </c>
      <c r="C5032" s="23" t="inlineStr">
        <is>
          <t>ШС М</t>
        </is>
      </c>
      <c r="D5032" s="23" t="inlineStr">
        <is>
          <t>Шпаковский В.Ф.</t>
        </is>
      </c>
      <c r="E5032" s="23" t="inlineStr">
        <is>
          <t>Карманный русско-английский словарь</t>
        </is>
      </c>
      <c r="F5032" s="23" t="inlineStr">
        <is>
          <t>        </t>
        </is>
      </c>
      <c r="G5032" s="23" t="n">
        <v>229</v>
      </c>
      <c r="H5032" s="23" t="n">
        <v>10</v>
      </c>
      <c r="I5032" s="23" t="n">
        <v>32</v>
      </c>
      <c r="J5032" s="23" t="inlineStr">
        <is>
          <t>978-5-227-03395-6</t>
        </is>
      </c>
      <c r="K5032" s="23" t="inlineStr">
        <is>
          <t>60x84 1/32</t>
        </is>
      </c>
      <c r="L5032" s="23" t="inlineStr">
        <is>
          <t>мяг</t>
        </is>
      </c>
      <c r="M5032" s="23" t="n">
        <v>351</v>
      </c>
      <c r="N5032" s="23" t="n">
        <v>2012</v>
      </c>
      <c r="O5032" s="23" t="n">
        <v>124</v>
      </c>
      <c r="P5032" s="23" t="n"/>
      <c r="Q5032" s="23" t="n"/>
      <c r="R5032" s="25" t="inlineStr">
        <is>
          <t>Впервые в этом словаре использован новый подход — каждое английское слово снабжено транслитерацией на основе русского алфавита. Словарь содержит 6000 наиболее популярных слов и словосочетаний.</t>
        </is>
      </c>
      <c r="S5032" s="26">
        <f>HYPERLINK("http://www.cnpol.ru/covers/13978.jpg","фото на сайте")</f>
        <v/>
      </c>
    </row>
    <row r="5033" ht="50.1" customHeight="1" s="3">
      <c r="A5033" s="23" t="n"/>
      <c r="B5033" s="24" t="inlineStr">
        <is>
          <t>16113</t>
        </is>
      </c>
      <c r="C5033" s="23" t="inlineStr">
        <is>
          <t>ШС М</t>
        </is>
      </c>
      <c r="D5033" s="23" t="inlineStr">
        <is>
          <t>Шпаковский В.Ф., Шпаковская И.В</t>
        </is>
      </c>
      <c r="E5033" s="23" t="inlineStr">
        <is>
          <t>Русско-итальянский суперразговорник и словарь</t>
        </is>
      </c>
      <c r="F5033" s="23" t="inlineStr">
        <is>
          <t>        </t>
        </is>
      </c>
      <c r="G5033" s="23" t="n">
        <v>311</v>
      </c>
      <c r="H5033" s="23" t="n">
        <v>10</v>
      </c>
      <c r="I5033" s="23" t="n">
        <v>24</v>
      </c>
      <c r="J5033" s="23" t="inlineStr">
        <is>
          <t>978-5-227-06089-1</t>
        </is>
      </c>
      <c r="K5033" s="23" t="inlineStr">
        <is>
          <t>70x100 1/32</t>
        </is>
      </c>
      <c r="L5033" s="23" t="inlineStr">
        <is>
          <t>мяг</t>
        </is>
      </c>
      <c r="M5033" s="23" t="n">
        <v>478</v>
      </c>
      <c r="N5033" s="23" t="n">
        <v>2015</v>
      </c>
      <c r="O5033" s="23" t="n">
        <v>218</v>
      </c>
      <c r="P5033" s="23" t="n"/>
      <c r="Q5033" s="23" t="n"/>
      <c r="R5033" s="25" t="n"/>
      <c r="S5033" s="26">
        <f>HYPERLINK("http://www.cnpol.ru/covers/16113.jpg","фото на сайте")</f>
        <v/>
      </c>
    </row>
    <row r="5034" ht="50.1" customHeight="1" s="3">
      <c r="A5034" s="23" t="n"/>
      <c r="B5034" s="24" t="inlineStr">
        <is>
          <t>18575</t>
        </is>
      </c>
      <c r="C5034" s="23" t="inlineStr">
        <is>
          <t>ШС Т</t>
        </is>
      </c>
      <c r="D5034" s="23" t="inlineStr">
        <is>
          <t>Шпаковский В.Ф., Шпаковская И.В</t>
        </is>
      </c>
      <c r="E5034" s="23" t="inlineStr">
        <is>
          <t>Англо-русский словарь для каждого. English-russian Dictionary for Everyone</t>
        </is>
      </c>
      <c r="F5034" s="23" t="inlineStr">
        <is>
          <t>        </t>
        </is>
      </c>
      <c r="G5034" s="23" t="n">
        <v>724</v>
      </c>
      <c r="H5034" s="23" t="n">
        <v>10</v>
      </c>
      <c r="I5034" s="23" t="n">
        <v>10</v>
      </c>
      <c r="J5034" s="23" t="inlineStr">
        <is>
          <t>978-5-227-08535-1</t>
        </is>
      </c>
      <c r="K5034" s="23" t="inlineStr">
        <is>
          <t>75x100 1/32</t>
        </is>
      </c>
      <c r="L5034" s="23" t="inlineStr">
        <is>
          <t>тв</t>
        </is>
      </c>
      <c r="M5034" s="23" t="n">
        <v>416</v>
      </c>
      <c r="N5034" s="23" t="n">
        <v>2019</v>
      </c>
      <c r="O5034" s="23" t="n">
        <v>314</v>
      </c>
      <c r="P5034" s="23" t="n"/>
      <c r="Q5034" s="23" t="n"/>
      <c r="R5034" s="25" t="inlineStr">
        <is>
          <t>Словарь содержит 11 000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а также выезжающих за границу в деловые и туристические поездки._x000D_
Уникальность словаря в том, что он снабжен международной транскрипцией английского языка и транслитерацией на основе русского алфавита. Пользователь найдет в нем также информацию прикладного характера: грамматический материал, перечень континентов, стран и национальностей, списки личных имен и аббревиатур, таблицы измерений.</t>
        </is>
      </c>
      <c r="S5034" s="26">
        <f>HYPERLINK("http://www.cnpol.ru/covers/18575.jpg","фото на сайте")</f>
        <v/>
      </c>
    </row>
    <row r="5035" ht="50.1" customHeight="1" s="3">
      <c r="A5035" s="23" t="n"/>
      <c r="B5035" s="24" t="inlineStr">
        <is>
          <t>17109</t>
        </is>
      </c>
      <c r="C5035" s="23" t="inlineStr">
        <is>
          <t>ШС Т</t>
        </is>
      </c>
      <c r="D5035" s="23" t="inlineStr">
        <is>
          <t>Шпаковский В.Ф., Шпаковская И.В</t>
        </is>
      </c>
      <c r="E5035" s="23" t="inlineStr">
        <is>
          <t>Краткий англо-русский словарь. Abridged English­Russian Dictionary</t>
        </is>
      </c>
      <c r="F5035" s="23" t="inlineStr">
        <is>
          <t>        </t>
        </is>
      </c>
      <c r="G5035" s="23" t="n">
        <v>724</v>
      </c>
      <c r="H5035" s="23" t="n">
        <v>10</v>
      </c>
      <c r="I5035" s="23" t="n">
        <v>12</v>
      </c>
      <c r="J5035" s="23" t="inlineStr">
        <is>
          <t>978-5-227-07111-8</t>
        </is>
      </c>
      <c r="K5035" s="23" t="inlineStr">
        <is>
          <t>84x108 1/32</t>
        </is>
      </c>
      <c r="L5035" s="23" t="inlineStr">
        <is>
          <t>тв</t>
        </is>
      </c>
      <c r="M5035" s="23" t="n">
        <v>416</v>
      </c>
      <c r="N5035" s="23" t="n">
        <v>2016</v>
      </c>
      <c r="O5035" s="23" t="n">
        <v>406</v>
      </c>
      <c r="P5035" s="23" t="n"/>
      <c r="Q5035" s="23" t="n"/>
      <c r="R5035" s="25" t="inlineStr">
        <is>
          <t>Словарь содержит 15 000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а также выезжа­ющих за границу в деловые и туристические поездки. Уникальность настоящего издания в том, что наряду с международной транскрипцией английского языка слова снабжены транслитерацией на основе русского алфавита. Словарь также включает информацию прикладного характера: грамматический материал, списки личных имен и аббревиатур, таблицы измерений и пр.</t>
        </is>
      </c>
      <c r="S5035" s="26">
        <f>HYPERLINK("http://www.cnpol.ru/covers/17109.jpg","фото на сайте")</f>
        <v/>
      </c>
    </row>
    <row r="5036" ht="50.1" customHeight="1" s="3">
      <c r="A5036" s="23" t="n"/>
      <c r="B5036" s="24" t="inlineStr">
        <is>
          <t>20937</t>
        </is>
      </c>
      <c r="C5036" s="23" t="inlineStr">
        <is>
          <t>ШС Т</t>
        </is>
      </c>
      <c r="D5036" s="23" t="inlineStr">
        <is>
          <t>Шпаковский В.Ф., Шпаковская И.В</t>
        </is>
      </c>
      <c r="E5036" s="23" t="inlineStr">
        <is>
          <t>Популярный англо­русский и русско­английский словарь. Транскрипция и транслитерация английских слов</t>
        </is>
      </c>
      <c r="F5036" s="23" t="inlineStr">
        <is>
          <t>        </t>
        </is>
      </c>
      <c r="G5036" s="23" t="n">
        <v>468</v>
      </c>
      <c r="H5036" s="23" t="n">
        <v>10</v>
      </c>
      <c r="I5036" s="23" t="n">
        <v>12</v>
      </c>
      <c r="J5036" s="23" t="inlineStr">
        <is>
          <t>978-5-227-10570-7</t>
        </is>
      </c>
      <c r="K5036" s="23" t="inlineStr">
        <is>
          <t>70x90 1/32</t>
        </is>
      </c>
      <c r="L5036" s="23" t="inlineStr">
        <is>
          <t>тв</t>
        </is>
      </c>
      <c r="M5036" s="23" t="n">
        <v>441</v>
      </c>
      <c r="N5036" s="23" t="n">
        <v>2024</v>
      </c>
      <c r="O5036" s="23" t="n">
        <v>292</v>
      </c>
      <c r="P5036" s="23" t="n"/>
      <c r="Q5036" s="23" t="n"/>
      <c r="R5036" s="25" t="inlineStr">
        <is>
          <t>Словарь содержит 12 000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выезжающих за границу в деловые и туристические поездки.Уникальность настоящего издания в том, что впервые английские слова одновременно снабжены транскрипцией и транслитерацией. Для удобства обе части - англо-русский и русско-английский словари - объединены в одной книге.</t>
        </is>
      </c>
      <c r="S5036" s="26">
        <f>HYPERLINK("http://www.cnpol.ru/covers/20937.jpg","фото на сайте")</f>
        <v/>
      </c>
    </row>
    <row r="5037" ht="50.1" customHeight="1" s="3">
      <c r="A5037" s="23" t="n"/>
      <c r="B5037" s="24" t="inlineStr">
        <is>
          <t>15769</t>
        </is>
      </c>
      <c r="C5037" s="23" t="inlineStr">
        <is>
          <t>ШС Т</t>
        </is>
      </c>
      <c r="D5037" s="23" t="inlineStr">
        <is>
          <t>Шпаковский В.Ф., Шпаковская И.В</t>
        </is>
      </c>
      <c r="E5037" s="23" t="inlineStr">
        <is>
          <t>Популярный англо­русский и русско­английский словарь. Транскрипция и транслитерация английских слов русскими буквами</t>
        </is>
      </c>
      <c r="F5037" s="23" t="inlineStr">
        <is>
          <t>        </t>
        </is>
      </c>
      <c r="G5037" s="23" t="n">
        <v>389</v>
      </c>
      <c r="H5037" s="23" t="n">
        <v>10</v>
      </c>
      <c r="I5037" s="23" t="n">
        <v>12</v>
      </c>
      <c r="J5037" s="23" t="inlineStr">
        <is>
          <t>978-5-227-05710-5</t>
        </is>
      </c>
      <c r="K5037" s="23" t="inlineStr">
        <is>
          <t>70x90 1/32</t>
        </is>
      </c>
      <c r="L5037" s="23" t="inlineStr">
        <is>
          <t>тв</t>
        </is>
      </c>
      <c r="M5037" s="23" t="n">
        <v>441</v>
      </c>
      <c r="N5037" s="23" t="n">
        <v>2015</v>
      </c>
      <c r="O5037" s="23" t="n">
        <v>294</v>
      </c>
      <c r="P5037" s="23" t="n"/>
      <c r="Q5037" s="23" t="n"/>
      <c r="R5037" s="25" t="n"/>
      <c r="S5037" s="26">
        <f>HYPERLINK("http://www.cnpol.ru/covers/15769.jpg","фото на сайте")</f>
        <v/>
      </c>
    </row>
    <row r="5038" ht="50.1" customHeight="1" s="3">
      <c r="A5038" s="23" t="n"/>
      <c r="B5038" s="24" t="inlineStr">
        <is>
          <t>18450</t>
        </is>
      </c>
      <c r="C5038" s="23" t="inlineStr">
        <is>
          <t>ШС Т</t>
        </is>
      </c>
      <c r="D5038" s="23" t="inlineStr">
        <is>
          <t>Шпаковский В.Ф., Шпаковская И.В</t>
        </is>
      </c>
      <c r="E5038" s="23" t="inlineStr">
        <is>
          <t>Уникальный англо-русский и русско-английский словарь и мини-разговорник. Международная фонетическая</t>
        </is>
      </c>
      <c r="F5038" s="23" t="inlineStr">
        <is>
          <t>        </t>
        </is>
      </c>
      <c r="G5038" s="23" t="n">
        <v>851</v>
      </c>
      <c r="H5038" s="23" t="n">
        <v>10</v>
      </c>
      <c r="I5038" s="23" t="n">
        <v>8</v>
      </c>
      <c r="J5038" s="23" t="inlineStr">
        <is>
          <t>978-5-227-08235-0</t>
        </is>
      </c>
      <c r="K5038" s="23" t="inlineStr">
        <is>
          <t>60x90 1/16</t>
        </is>
      </c>
      <c r="L5038" s="23" t="inlineStr">
        <is>
          <t>тв</t>
        </is>
      </c>
      <c r="M5038" s="23" t="n">
        <v>512</v>
      </c>
      <c r="N5038" s="23" t="n">
        <v>2019</v>
      </c>
      <c r="O5038" s="23" t="n">
        <v>574</v>
      </c>
      <c r="P5038" s="23" t="n"/>
      <c r="Q5038" s="23" t="n"/>
      <c r="R5038" s="25" t="n"/>
      <c r="S5038" s="26">
        <f>HYPERLINK("http://www.cnpol.ru/covers/18450.jpg","фото на сайте")</f>
        <v/>
      </c>
    </row>
    <row r="5039" ht="50.1" customHeight="1" s="3">
      <c r="A5039" s="23" t="n"/>
      <c r="B5039" s="24" t="inlineStr">
        <is>
          <t>17149</t>
        </is>
      </c>
      <c r="C5039" s="23" t="inlineStr">
        <is>
          <t>ШС Т</t>
        </is>
      </c>
      <c r="D5039" s="23" t="inlineStr">
        <is>
          <t>Шпаковский В.Ф., Шпаковская И.В</t>
        </is>
      </c>
      <c r="E5039" s="23" t="inlineStr">
        <is>
          <t>Я буду говорить по-английски! I shall speak English! Ускоренный курс английского языка</t>
        </is>
      </c>
      <c r="F5039" s="23" t="inlineStr">
        <is>
          <t>        </t>
        </is>
      </c>
      <c r="G5039" s="23" t="n">
        <v>653</v>
      </c>
      <c r="H5039" s="23" t="n">
        <v>10</v>
      </c>
      <c r="I5039" s="23" t="n">
        <v>16</v>
      </c>
      <c r="J5039" s="23" t="inlineStr">
        <is>
          <t>978-5-227-07112-5</t>
        </is>
      </c>
      <c r="K5039" s="23" t="inlineStr">
        <is>
          <t>84x108 1/32</t>
        </is>
      </c>
      <c r="L5039" s="23" t="inlineStr">
        <is>
          <t>тв</t>
        </is>
      </c>
      <c r="M5039" s="23" t="n">
        <v>367</v>
      </c>
      <c r="N5039" s="23" t="n">
        <v>2016</v>
      </c>
      <c r="O5039" s="23" t="n">
        <v>372</v>
      </c>
      <c r="P5039" s="23" t="n"/>
      <c r="Q5039" s="23" t="n"/>
      <c r="R5039" s="25" t="n"/>
      <c r="S5039" s="26">
        <f>HYPERLINK("http://www.cnpol.ru/covers/17149.jpg","фото на сайте")</f>
        <v/>
      </c>
    </row>
    <row r="5040" ht="50.1" customHeight="1" s="3">
      <c r="A5040" s="23" t="inlineStr">
        <is>
          <t>Н</t>
        </is>
      </c>
      <c r="B5040" s="24" t="inlineStr">
        <is>
          <t>21691</t>
        </is>
      </c>
      <c r="C5040" s="23" t="inlineStr">
        <is>
          <t>Э УВЛ</t>
        </is>
      </c>
      <c r="D5040" s="23" t="inlineStr">
        <is>
          <t>Белл Р.</t>
        </is>
      </c>
      <c r="E5040" s="23" t="inlineStr">
        <is>
          <t>Энциклопедия настольных игр народов мира</t>
        </is>
      </c>
      <c r="F5040" s="23" t="inlineStr">
        <is>
          <t>        </t>
        </is>
      </c>
      <c r="G5040" s="27" t="n">
        <v>1009</v>
      </c>
      <c r="H5040" s="23" t="n">
        <v>10</v>
      </c>
      <c r="I5040" s="23" t="n">
        <v>9</v>
      </c>
      <c r="J5040" s="23" t="inlineStr">
        <is>
          <t>978-5-9524-5606-8</t>
        </is>
      </c>
      <c r="K5040" s="23" t="inlineStr">
        <is>
          <t>84x108 1/32</t>
        </is>
      </c>
      <c r="L5040" s="23" t="inlineStr">
        <is>
          <t>тв</t>
        </is>
      </c>
      <c r="M5040" s="23" t="n">
        <v>318</v>
      </c>
      <c r="N5040" s="23" t="n">
        <v>2025</v>
      </c>
      <c r="O5040" s="23" t="n">
        <v>288</v>
      </c>
      <c r="P5040" s="23" t="n"/>
      <c r="Q5040" s="23" t="n"/>
      <c r="R5040" s="25" t="inlineStr">
        <is>
          <t>Вы держите в руках уникальное издание, где можно найти детальное описание около ста игр всех времен и народов — как широко распространенных (шахматы, шашки), так и малоизвестных (манкала, тафл). Эта книга, где собраны игры на любой вкус, доставит вам немало приятных минут при чтении и станет прекрасным пополнением вашей домашней библиотеки.</t>
        </is>
      </c>
      <c r="S5040" s="26">
        <f>HYPERLINK("http://www.cnpol.ru/covers/21691.jpg","фото на сайте")</f>
        <v/>
      </c>
    </row>
    <row r="5041" ht="50.1" customHeight="1" s="3">
      <c r="A5041" s="23" t="n"/>
      <c r="B5041" s="24" t="inlineStr">
        <is>
          <t>3525</t>
        </is>
      </c>
      <c r="C5041" s="23" t="inlineStr">
        <is>
          <t>ЭР</t>
        </is>
      </c>
      <c r="D5041" s="23" t="inlineStr">
        <is>
          <t>Старк Р.</t>
        </is>
      </c>
      <c r="E5041" s="23" t="inlineStr">
        <is>
          <t>Расплата</t>
        </is>
      </c>
      <c r="F5041" s="23" t="inlineStr">
        <is>
          <t>        </t>
        </is>
      </c>
      <c r="G5041" s="23" t="n">
        <v>358</v>
      </c>
      <c r="H5041" s="23" t="n">
        <v>10</v>
      </c>
      <c r="I5041" s="23" t="n">
        <v>16</v>
      </c>
      <c r="J5041" s="23" t="inlineStr">
        <is>
          <t>5-9524-0020-5</t>
        </is>
      </c>
      <c r="K5041" s="23" t="inlineStr">
        <is>
          <t>76x90 1/32</t>
        </is>
      </c>
      <c r="L5041" s="23" t="inlineStr">
        <is>
          <t>тв</t>
        </is>
      </c>
      <c r="M5041" s="23" t="n">
        <v>239</v>
      </c>
      <c r="N5041" s="23" t="n">
        <v>2002</v>
      </c>
      <c r="O5041" s="23" t="n">
        <v>170</v>
      </c>
      <c r="P5041" s="23" t="n"/>
      <c r="Q5041" s="23" t="n"/>
      <c r="R5041" s="25" t="n"/>
      <c r="S5041" s="26">
        <f>HYPERLINK("http://www.cnpol.ru/covers/3525.jpg","фото на сайте")</f>
        <v/>
      </c>
    </row>
    <row r="5042" ht="50.1" customHeight="1" s="3">
      <c r="A5042" s="23" t="inlineStr">
        <is>
          <t>Д</t>
        </is>
      </c>
      <c r="B5042" s="24" t="inlineStr">
        <is>
          <t>22174</t>
        </is>
      </c>
      <c r="C5042" s="23" t="inlineStr">
        <is>
          <t>ЭТИКЕТ НОВ</t>
        </is>
      </c>
      <c r="D5042" s="23" t="inlineStr">
        <is>
          <t>Миллер Л.</t>
        </is>
      </c>
      <c r="E5042" s="23" t="inlineStr">
        <is>
          <t>Энциклопедия этикета. Все о правилах хорошего тона</t>
        </is>
      </c>
      <c r="F5042" s="23" t="inlineStr">
        <is>
          <t>        </t>
        </is>
      </c>
      <c r="G5042" s="27" t="n">
        <v>1008</v>
      </c>
      <c r="H5042" s="23" t="n">
        <v>10</v>
      </c>
      <c r="I5042" s="23" t="n">
        <v>10</v>
      </c>
      <c r="J5042" s="23" t="inlineStr">
        <is>
          <t>978-5-9524-6699-9</t>
        </is>
      </c>
      <c r="K5042" s="23" t="inlineStr">
        <is>
          <t>84x108 1/32</t>
        </is>
      </c>
      <c r="L5042" s="23" t="inlineStr">
        <is>
          <t>тв</t>
        </is>
      </c>
      <c r="M5042" s="23" t="n">
        <v>349</v>
      </c>
      <c r="N5042" s="23" t="n">
        <v>2026</v>
      </c>
      <c r="O5042" s="23" t="n">
        <v>398</v>
      </c>
      <c r="P5042" s="23" t="n"/>
      <c r="Q5042" s="23" t="n"/>
      <c r="R5042" s="25" t="inlineStr">
        <is>
          <t>«Энциклопедия этикета» — настольная книга для тех, кто хочет знать, как правильно вести себя в самых разных ситуациях и не совершать оплошностей, иметь хорошие манеры и безупречный внешний вид, быть приятным собеседником и уверенным в себе человеком дома, на работе и в гостях как в своей стране, так и за границей.</t>
        </is>
      </c>
      <c r="S5042" s="26">
        <f>HYPERLINK("http://www.cnpol.ru/covers/22174.jpg","фото на сайте")</f>
        <v/>
      </c>
    </row>
    <row r="5043" ht="50.1" customHeight="1" s="3">
      <c r="A5043" s="23" t="n"/>
      <c r="B5043" s="24" t="inlineStr">
        <is>
          <t>14226</t>
        </is>
      </c>
      <c r="C5043" s="23" t="inlineStr">
        <is>
          <t>ЭЭ</t>
        </is>
      </c>
      <c r="D5043" s="23" t="inlineStr">
        <is>
          <t>Мартьянов  И.Ю</t>
        </is>
      </c>
      <c r="E5043" s="23" t="inlineStr">
        <is>
          <t>Народные традиции Китая</t>
        </is>
      </c>
      <c r="F5043" s="23" t="inlineStr">
        <is>
          <t>        </t>
        </is>
      </c>
      <c r="G5043" s="23" t="n">
        <v>150</v>
      </c>
      <c r="H5043" s="23" t="n">
        <v>10</v>
      </c>
      <c r="I5043" s="23" t="n">
        <v>24</v>
      </c>
      <c r="J5043" s="23" t="inlineStr">
        <is>
          <t>978-5-227-04056-5</t>
        </is>
      </c>
      <c r="K5043" s="23" t="inlineStr">
        <is>
          <t>75x100 1/32</t>
        </is>
      </c>
      <c r="L5043" s="23" t="inlineStr">
        <is>
          <t>мяг</t>
        </is>
      </c>
      <c r="M5043" s="23" t="n">
        <v>224</v>
      </c>
      <c r="N5043" s="23" t="n">
        <v>2013</v>
      </c>
      <c r="O5043" s="23" t="n">
        <v>116</v>
      </c>
      <c r="P5043" s="23" t="n"/>
      <c r="Q5043" s="23" t="n"/>
      <c r="R5043" s="25" t="n"/>
      <c r="S5043" s="26">
        <f>HYPERLINK("http://www.cnpol.ru/covers/14226.jpg","фото на сайте")</f>
        <v/>
      </c>
    </row>
    <row r="5044" ht="50.1" customHeight="1" s="3">
      <c r="A5044" s="23" t="n"/>
      <c r="B5044" s="24" t="inlineStr">
        <is>
          <t>10565</t>
        </is>
      </c>
      <c r="C5044" s="23" t="inlineStr">
        <is>
          <t>ЮМОР FM</t>
        </is>
      </c>
      <c r="D5044" s="23" t="inlineStr">
        <is>
          <t>Сидоров-Кассир и товарищ Сухов</t>
        </is>
      </c>
      <c r="E5044" s="23" t="inlineStr">
        <is>
          <t>Педерастры в штабе</t>
        </is>
      </c>
      <c r="F5044" s="23" t="inlineStr">
        <is>
          <t>        </t>
        </is>
      </c>
      <c r="G5044" s="23" t="n">
        <v>256</v>
      </c>
      <c r="H5044" s="23" t="n">
        <v>22</v>
      </c>
      <c r="I5044" s="23" t="n">
        <v>24</v>
      </c>
      <c r="J5044" s="23" t="inlineStr">
        <is>
          <t>978-5-9524-3651-0</t>
        </is>
      </c>
      <c r="K5044" s="23" t="inlineStr">
        <is>
          <t>70x100 1/32</t>
        </is>
      </c>
      <c r="L5044" s="23" t="inlineStr">
        <is>
          <t>Интегр</t>
        </is>
      </c>
      <c r="M5044" s="23" t="n">
        <v>189</v>
      </c>
      <c r="N5044" s="23" t="n">
        <v>2008</v>
      </c>
      <c r="O5044" s="23" t="n">
        <v>126</v>
      </c>
      <c r="P5044" s="23" t="n"/>
      <c r="Q5044" s="23" t="n"/>
      <c r="R5044" s="25" t="n"/>
      <c r="S5044" s="26">
        <f>HYPERLINK("http://www.cnpol.ru/covers/10565.jpg","фото на сайте")</f>
        <v/>
      </c>
    </row>
    <row r="5045" ht="50.1" customHeight="1" s="3">
      <c r="A5045" s="23" t="n"/>
      <c r="B5045" s="24" t="inlineStr">
        <is>
          <t>12147</t>
        </is>
      </c>
      <c r="C5045" s="23" t="inlineStr">
        <is>
          <t>ЮР</t>
        </is>
      </c>
      <c r="D5045" s="23" t="inlineStr">
        <is>
          <t>Рогожин М.Ю.</t>
        </is>
      </c>
      <c r="E5045" s="23" t="inlineStr">
        <is>
          <t>Заявления и жалобы в суд. Образцы документов с комментариями</t>
        </is>
      </c>
      <c r="F5045" s="23" t="inlineStr">
        <is>
          <t>        </t>
        </is>
      </c>
      <c r="G5045" s="23" t="n">
        <v>266</v>
      </c>
      <c r="H5045" s="23" t="n">
        <v>10</v>
      </c>
      <c r="I5045" s="23" t="n">
        <v>20</v>
      </c>
      <c r="J5045" s="23" t="inlineStr">
        <is>
          <t>978-5-227-02306-3</t>
        </is>
      </c>
      <c r="K5045" s="23" t="inlineStr">
        <is>
          <t>84x108 1/32 (обл)</t>
        </is>
      </c>
      <c r="L5045" s="23" t="inlineStr">
        <is>
          <t>мяг</t>
        </is>
      </c>
      <c r="M5045" s="23" t="n">
        <v>334</v>
      </c>
      <c r="N5045" s="23" t="n">
        <v>2010</v>
      </c>
      <c r="O5045" s="23" t="n">
        <v>250</v>
      </c>
      <c r="P5045" s="23" t="n"/>
      <c r="Q5045" s="23" t="n"/>
      <c r="R5045" s="25" t="inlineStr">
        <is>
          <t>Сборник содержит более 100 форм исковых заявлений и жалоб, которые помогут вам защитить свои права и интересы в суде. В нем вы найдете всю необходимую информацию о защите семейных, имущественных, наследственных прав, защите от неправомерных действий органов власти (местного самоуправления)._x000D_
Структура представленных исков и жалоб отвечает требованиям Гражданского процессуального кодекса РФ, а их оформление — требованиям Государственного стандарта. К любому интересующему вас иску или жалобе вы найдете перечень документов — его доказательную базу. Все образцы документов снабжены краткими ситуативными комментариями со ссылками на действующее законодательство.</t>
        </is>
      </c>
      <c r="S5045" s="26">
        <f>HYPERLINK("http://www.cnpol.ru/covers/12147.jpg","фото на сайте")</f>
        <v/>
      </c>
    </row>
    <row r="5046" ht="50.1" customHeight="1" s="3">
      <c r="A5046" s="23" t="inlineStr">
        <is>
          <t>Н</t>
        </is>
      </c>
      <c r="B5046" s="24" t="inlineStr">
        <is>
          <t>22203</t>
        </is>
      </c>
      <c r="C5046" s="23" t="inlineStr">
        <is>
          <t>ЯП</t>
        </is>
      </c>
      <c r="D5046" s="23" t="inlineStr">
        <is>
          <t>Ариеси С.</t>
        </is>
      </c>
      <c r="E5046" s="23" t="inlineStr">
        <is>
          <t>Жена лекаря Сэйсю Ханаоки</t>
        </is>
      </c>
      <c r="F5046" s="23" t="inlineStr">
        <is>
          <t>        </t>
        </is>
      </c>
      <c r="G5046" s="23" t="n">
        <v>849</v>
      </c>
      <c r="H5046" s="23" t="n">
        <v>10</v>
      </c>
      <c r="I5046" s="23" t="n">
        <v>10</v>
      </c>
      <c r="J5046" s="23" t="inlineStr">
        <is>
          <t>978-5-9524-6721-7</t>
        </is>
      </c>
      <c r="K5046" s="23" t="inlineStr">
        <is>
          <t>84x108 1/32</t>
        </is>
      </c>
      <c r="L5046" s="23" t="inlineStr">
        <is>
          <t>тв</t>
        </is>
      </c>
      <c r="M5046" s="23" t="n">
        <v>238</v>
      </c>
      <c r="N5046" s="23" t="n">
        <v>2026</v>
      </c>
      <c r="O5046" s="23" t="n">
        <v>306</v>
      </c>
      <c r="P5046" s="23" t="n"/>
      <c r="Q5046" s="23" t="n"/>
      <c r="R5046" s="25" t="inlineStr">
        <is>
          <t>"Роман известной японской писательницы Савако Ариёси (1931—1984) основан на реальных событиях: в 1805 году Сэйсю Ханаока (1760—1835) впервые в мире провел операцию под общим наркозом. Открытию обезболивающего снадобья предшествовали десятилетия научных изысканий, в экспериментах участвовали мать и жена лекаря.
У Каэ и Оцуги много общего: обе родились в знатных самурайских семьях, обе вышли замуж за простых деревенских лекарей, обе знают, что такое чувство долга, и готовы посвятить себя служению медицине. Но между невесткой и свекровью возникает отчаянное соперничество — каждая претендует на главную роль в жизни человека, которому предстоит совершить переворот в хирургии и прославить род Ханаока..."</t>
        </is>
      </c>
      <c r="S5046" s="26">
        <f>HYPERLINK("http://www.cnpol.ru/covers/22203.jpg","фото на сайте")</f>
        <v/>
      </c>
    </row>
    <row r="5047" ht="50.1" customHeight="1" s="3">
      <c r="A5047" s="23" t="inlineStr">
        <is>
          <t>Н</t>
        </is>
      </c>
      <c r="B5047" s="24" t="inlineStr">
        <is>
          <t>22183</t>
        </is>
      </c>
      <c r="C5047" s="23" t="inlineStr">
        <is>
          <t>ЯП</t>
        </is>
      </c>
      <c r="D5047" s="23" t="inlineStr">
        <is>
          <t>Ариеси С.</t>
        </is>
      </c>
      <c r="E5047" s="23" t="inlineStr">
        <is>
          <t>Кинокава</t>
        </is>
      </c>
      <c r="F5047" s="23" t="inlineStr">
        <is>
          <t>        </t>
        </is>
      </c>
      <c r="G5047" s="27" t="n">
        <v>1057</v>
      </c>
      <c r="H5047" s="23" t="n">
        <v>10</v>
      </c>
      <c r="I5047" s="23" t="n">
        <v>10</v>
      </c>
      <c r="J5047" s="23" t="inlineStr">
        <is>
          <t>978-5-9524-6695-1</t>
        </is>
      </c>
      <c r="K5047" s="23" t="inlineStr">
        <is>
          <t>84x108 1/32</t>
        </is>
      </c>
      <c r="L5047" s="23" t="inlineStr">
        <is>
          <t>тв</t>
        </is>
      </c>
      <c r="M5047" s="23" t="n">
        <v>350</v>
      </c>
      <c r="N5047" s="23" t="n">
        <v>2026</v>
      </c>
      <c r="O5047" s="23" t="n">
        <v>395</v>
      </c>
      <c r="P5047" s="23" t="n"/>
      <c r="Q5047" s="23" t="n"/>
      <c r="R5047" s="25" t="inlineStr">
        <is>
          <t>Савако Ариёси (1931—1984), одна из самых ярких писательниц Японии, в своем романе рассказывает о женщинах трех поколений знатного рода Матани, взрослевших, любивших, страдавших и менявшихся вместе со своей страной на фоне драматических событий японской истории первой половины XX века.</t>
        </is>
      </c>
      <c r="S5047" s="26">
        <f>HYPERLINK("http://www.cnpol.ru/covers/22183.jpg","фото на сайте")</f>
        <v/>
      </c>
    </row>
    <row r="5048" ht="50.1" customHeight="1" s="3">
      <c r="A5048" s="23" t="inlineStr">
        <is>
          <t>Н</t>
        </is>
      </c>
      <c r="B5048" s="24" t="inlineStr">
        <is>
          <t>22278</t>
        </is>
      </c>
      <c r="C5048" s="23" t="inlineStr">
        <is>
          <t>ЯП</t>
        </is>
      </c>
      <c r="D5048" s="23" t="inlineStr">
        <is>
          <t>Оока С.</t>
        </is>
      </c>
      <c r="E5048" s="23" t="inlineStr">
        <is>
          <t>Огни на равнине</t>
        </is>
      </c>
      <c r="F5048" s="23" t="inlineStr">
        <is>
          <t>        </t>
        </is>
      </c>
      <c r="G5048" s="23" t="n">
        <v>936</v>
      </c>
      <c r="H5048" s="23" t="n">
        <v>10</v>
      </c>
      <c r="I5048" s="23" t="n">
        <v>8</v>
      </c>
      <c r="J5048" s="23" t="inlineStr">
        <is>
          <t>978-5-9524-6719-4</t>
        </is>
      </c>
      <c r="K5048" s="23" t="inlineStr">
        <is>
          <t>84x108 1/32</t>
        </is>
      </c>
      <c r="L5048" s="23" t="inlineStr">
        <is>
          <t>тв</t>
        </is>
      </c>
      <c r="M5048" s="23" t="n">
        <v>285</v>
      </c>
      <c r="N5048" s="23" t="n">
        <v>2026</v>
      </c>
      <c r="O5048" s="23" t="n">
        <v>340</v>
      </c>
      <c r="P5048" s="23" t="n"/>
      <c r="Q5048" s="23" t="n"/>
      <c r="R5048" s="25" t="inlineStr">
        <is>
          <t>В экзистенциальной драме, разворачивающейся на Филиппинах в конце Второй мировой войны, классик японской литературы XX века Сёхэй Оока (1909—1988) с поразительной честностью и отвагой подходит к тому рубежу человеческого бытия, за которым простирается пустыня отверженности и одиночества. В России роман «Огни на равнине», удостоенный премии Ёмиури, издается впервые.</t>
        </is>
      </c>
      <c r="S5048" s="26">
        <f>HYPERLINK("http://www.cnpol.ru/covers/22278.jpg","фото на сайте")</f>
        <v/>
      </c>
    </row>
    <row r="5049">
      <c r="A5049" s="29" t="n"/>
      <c r="B5049" s="29" t="n"/>
      <c r="C5049" s="30" t="n"/>
      <c r="D5049" s="30" t="n"/>
      <c r="E5049" s="29" t="n"/>
      <c r="F5049" s="29" t="n"/>
      <c r="G5049" s="29" t="n"/>
      <c r="H5049" s="29" t="n"/>
      <c r="I5049" s="29" t="n"/>
      <c r="J5049" s="29" t="n"/>
      <c r="K5049" s="29" t="n"/>
      <c r="L5049" s="29" t="n"/>
      <c r="M5049" s="29" t="n"/>
      <c r="N5049" s="29" t="n"/>
      <c r="O5049" s="29" t="n"/>
      <c r="P5049" s="29" t="n"/>
      <c r="Q5049" s="30" t="n"/>
    </row>
  </sheetData>
  <mergeCells count="11">
    <mergeCell ref="J3:K3"/>
    <mergeCell ref="B1:O1"/>
    <mergeCell ref="P3:Q3"/>
    <mergeCell ref="L3:O3"/>
    <mergeCell ref="B2:O2"/>
    <mergeCell ref="D4:L4"/>
    <mergeCell ref="B7:O7"/>
    <mergeCell ref="L6:O6"/>
    <mergeCell ref="B5:O5"/>
    <mergeCell ref="D6:I6"/>
    <mergeCell ref="N4:O4"/>
  </mergeCells>
  <pageMargins left="0.75" right="0.75" top="1" bottom="1" header="0.5" footer="0.5"/>
  <pageSetup orientation="portrait" paperSize="9"/>
  <headerFooter>
    <oddHeader/>
    <oddFooter>&amp;C&amp;8 #D Стр. #P из #Q_x000d_</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manager3</dc:creator>
  <dcterms:created xsi:type="dcterms:W3CDTF">2026-09-29T08:49:25Z</dcterms:created>
  <dcterms:modified xsi:type="dcterms:W3CDTF">2026-10-07T07:45:05Z</dcterms:modified>
  <cp:lastModifiedBy>maria.k@mnogoknig.eu</cp:lastModifiedBy>
</cp:coreProperties>
</file>